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omments2.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omments7.xml" ContentType="application/vnd.openxmlformats-officedocument.spreadsheetml.comments+xml"/>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comments8.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omments9.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omments10.xml" ContentType="application/vnd.openxmlformats-officedocument.spreadsheetml.comments+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11.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omments12.xml" ContentType="application/vnd.openxmlformats-officedocument.spreadsheetml.comments+xml"/>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omments13.xml" ContentType="application/vnd.openxmlformats-officedocument.spreadsheetml.comments+xml"/>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omments14.xml" ContentType="application/vnd.openxmlformats-officedocument.spreadsheetml.comments+xml"/>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omments15.xml" ContentType="application/vnd.openxmlformats-officedocument.spreadsheetml.comments+xml"/>
  <Override PartName="/xl/customProperty46.bin" ContentType="application/vnd.openxmlformats-officedocument.spreadsheetml.customProperty"/>
  <Override PartName="/xl/customProperty47.bin" ContentType="application/vnd.openxmlformats-officedocument.spreadsheetml.customProperty"/>
  <Override PartName="/xl/customProperty48.bin" ContentType="application/vnd.openxmlformats-officedocument.spreadsheetml.customProperty"/>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comments16.xml" ContentType="application/vnd.openxmlformats-officedocument.spreadsheetml.comments+xml"/>
  <Override PartName="/xl/customProperty49.bin" ContentType="application/vnd.openxmlformats-officedocument.spreadsheetml.customProperty"/>
  <Override PartName="/xl/customProperty50.bin" ContentType="application/vnd.openxmlformats-officedocument.spreadsheetml.customProperty"/>
  <Override PartName="/xl/customProperty51.bin" ContentType="application/vnd.openxmlformats-officedocument.spreadsheetml.customProperty"/>
  <Override PartName="/xl/comments17.xml" ContentType="application/vnd.openxmlformats-officedocument.spreadsheetml.comments+xml"/>
  <Override PartName="/xl/customProperty52.bin" ContentType="application/vnd.openxmlformats-officedocument.spreadsheetml.customProperty"/>
  <Override PartName="/xl/customProperty53.bin" ContentType="application/vnd.openxmlformats-officedocument.spreadsheetml.customProperty"/>
  <Override PartName="/xl/customProperty54.bin" ContentType="application/vnd.openxmlformats-officedocument.spreadsheetml.customProperty"/>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comments18.xml" ContentType="application/vnd.openxmlformats-officedocument.spreadsheetml.comments+xml"/>
  <Override PartName="/xl/customProperty55.bin" ContentType="application/vnd.openxmlformats-officedocument.spreadsheetml.customProperty"/>
  <Override PartName="/xl/customProperty56.bin" ContentType="application/vnd.openxmlformats-officedocument.spreadsheetml.customProperty"/>
  <Override PartName="/xl/customProperty57.bin" ContentType="application/vnd.openxmlformats-officedocument.spreadsheetml.customProperty"/>
  <Override PartName="/xl/comments19.xml" ContentType="application/vnd.openxmlformats-officedocument.spreadsheetml.comments+xml"/>
  <Override PartName="/xl/customProperty58.bin" ContentType="application/vnd.openxmlformats-officedocument.spreadsheetml.customProperty"/>
  <Override PartName="/xl/customProperty59.bin" ContentType="application/vnd.openxmlformats-officedocument.spreadsheetml.customProperty"/>
  <Override PartName="/xl/customProperty60.bin" ContentType="application/vnd.openxmlformats-officedocument.spreadsheetml.customProperty"/>
  <Override PartName="/xl/comments20.xml" ContentType="application/vnd.openxmlformats-officedocument.spreadsheetml.comments+xml"/>
  <Override PartName="/xl/customProperty61.bin" ContentType="application/vnd.openxmlformats-officedocument.spreadsheetml.customProperty"/>
  <Override PartName="/xl/customProperty62.bin" ContentType="application/vnd.openxmlformats-officedocument.spreadsheetml.customProperty"/>
  <Override PartName="/xl/customProperty63.bin" ContentType="application/vnd.openxmlformats-officedocument.spreadsheetml.customProperty"/>
  <Override PartName="/xl/comments21.xml" ContentType="application/vnd.openxmlformats-officedocument.spreadsheetml.comments+xml"/>
  <Override PartName="/xl/customProperty64.bin" ContentType="application/vnd.openxmlformats-officedocument.spreadsheetml.customProperty"/>
  <Override PartName="/xl/customProperty65.bin" ContentType="application/vnd.openxmlformats-officedocument.spreadsheetml.customProperty"/>
  <Override PartName="/xl/customProperty66.bin" ContentType="application/vnd.openxmlformats-officedocument.spreadsheetml.customProperty"/>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comments22.xml" ContentType="application/vnd.openxmlformats-officedocument.spreadsheetml.comments+xml"/>
  <Override PartName="/xl/customProperty67.bin" ContentType="application/vnd.openxmlformats-officedocument.spreadsheetml.customProperty"/>
  <Override PartName="/xl/customProperty68.bin" ContentType="application/vnd.openxmlformats-officedocument.spreadsheetml.customProperty"/>
  <Override PartName="/xl/customProperty69.bin" ContentType="application/vnd.openxmlformats-officedocument.spreadsheetml.customProperty"/>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comments23.xml" ContentType="application/vnd.openxmlformats-officedocument.spreadsheetml.comments+xml"/>
  <Override PartName="/xl/customProperty70.bin" ContentType="application/vnd.openxmlformats-officedocument.spreadsheetml.customProperty"/>
  <Override PartName="/xl/customProperty71.bin" ContentType="application/vnd.openxmlformats-officedocument.spreadsheetml.customProperty"/>
  <Override PartName="/xl/customProperty72.bin" ContentType="application/vnd.openxmlformats-officedocument.spreadsheetml.customProperty"/>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comments24.xml" ContentType="application/vnd.openxmlformats-officedocument.spreadsheetml.comments+xml"/>
  <Override PartName="/xl/customProperty73.bin" ContentType="application/vnd.openxmlformats-officedocument.spreadsheetml.customProperty"/>
  <Override PartName="/xl/customProperty74.bin" ContentType="application/vnd.openxmlformats-officedocument.spreadsheetml.customProperty"/>
  <Override PartName="/xl/customProperty75.bin" ContentType="application/vnd.openxmlformats-officedocument.spreadsheetml.customProperty"/>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comments25.xml" ContentType="application/vnd.openxmlformats-officedocument.spreadsheetml.comments+xml"/>
  <Override PartName="/xl/customProperty76.bin" ContentType="application/vnd.openxmlformats-officedocument.spreadsheetml.customProperty"/>
  <Override PartName="/xl/customProperty77.bin" ContentType="application/vnd.openxmlformats-officedocument.spreadsheetml.customProperty"/>
  <Override PartName="/xl/customProperty78.bin" ContentType="application/vnd.openxmlformats-officedocument.spreadsheetml.customProperty"/>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comments26.xml" ContentType="application/vnd.openxmlformats-officedocument.spreadsheetml.comments+xml"/>
  <Override PartName="/xl/customProperty79.bin" ContentType="application/vnd.openxmlformats-officedocument.spreadsheetml.customProperty"/>
  <Override PartName="/xl/customProperty80.bin" ContentType="application/vnd.openxmlformats-officedocument.spreadsheetml.customProperty"/>
  <Override PartName="/xl/customProperty81.bin" ContentType="application/vnd.openxmlformats-officedocument.spreadsheetml.customProperty"/>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comments27.xml" ContentType="application/vnd.openxmlformats-officedocument.spreadsheetml.comments+xml"/>
  <Override PartName="/xl/customProperty82.bin" ContentType="application/vnd.openxmlformats-officedocument.spreadsheetml.customProperty"/>
  <Override PartName="/xl/customProperty83.bin" ContentType="application/vnd.openxmlformats-officedocument.spreadsheetml.customProperty"/>
  <Override PartName="/xl/customProperty84.bin" ContentType="application/vnd.openxmlformats-officedocument.spreadsheetml.customProperty"/>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omments28.xml" ContentType="application/vnd.openxmlformats-officedocument.spreadsheetml.comments+xml"/>
  <Override PartName="/xl/customProperty85.bin" ContentType="application/vnd.openxmlformats-officedocument.spreadsheetml.customProperty"/>
  <Override PartName="/xl/customProperty86.bin" ContentType="application/vnd.openxmlformats-officedocument.spreadsheetml.customProperty"/>
  <Override PartName="/xl/customProperty87.bin" ContentType="application/vnd.openxmlformats-officedocument.spreadsheetml.customProperty"/>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omments29.xml" ContentType="application/vnd.openxmlformats-officedocument.spreadsheetml.comments+xml"/>
  <Override PartName="/xl/customProperty88.bin" ContentType="application/vnd.openxmlformats-officedocument.spreadsheetml.customProperty"/>
  <Override PartName="/xl/customProperty89.bin" ContentType="application/vnd.openxmlformats-officedocument.spreadsheetml.customProperty"/>
  <Override PartName="/xl/customProperty90.bin" ContentType="application/vnd.openxmlformats-officedocument.spreadsheetml.customProperty"/>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omments30.xml" ContentType="application/vnd.openxmlformats-officedocument.spreadsheetml.comments+xml"/>
  <Override PartName="/xl/customProperty91.bin" ContentType="application/vnd.openxmlformats-officedocument.spreadsheetml.customProperty"/>
  <Override PartName="/xl/customProperty92.bin" ContentType="application/vnd.openxmlformats-officedocument.spreadsheetml.customProperty"/>
  <Override PartName="/xl/customProperty93.bin" ContentType="application/vnd.openxmlformats-officedocument.spreadsheetml.customProperty"/>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omments31.xml" ContentType="application/vnd.openxmlformats-officedocument.spreadsheetml.comments+xml"/>
  <Override PartName="/xl/customProperty94.bin" ContentType="application/vnd.openxmlformats-officedocument.spreadsheetml.customProperty"/>
  <Override PartName="/xl/customProperty95.bin" ContentType="application/vnd.openxmlformats-officedocument.spreadsheetml.customProperty"/>
  <Override PartName="/xl/customProperty96.bin" ContentType="application/vnd.openxmlformats-officedocument.spreadsheetml.customProperty"/>
  <Override PartName="/xl/comments32.xml" ContentType="application/vnd.openxmlformats-officedocument.spreadsheetml.comments+xml"/>
  <Override PartName="/xl/customProperty97.bin" ContentType="application/vnd.openxmlformats-officedocument.spreadsheetml.customProperty"/>
  <Override PartName="/xl/customProperty98.bin" ContentType="application/vnd.openxmlformats-officedocument.spreadsheetml.customProperty"/>
  <Override PartName="/xl/customProperty99.bin" ContentType="application/vnd.openxmlformats-officedocument.spreadsheetml.customProperty"/>
  <Override PartName="/xl/drawings/drawing21.xml" ContentType="application/vnd.openxmlformats-officedocument.drawing+xml"/>
  <Override PartName="/xl/activeX/activeX20.xml" ContentType="application/vnd.ms-office.activeX+xml"/>
  <Override PartName="/xl/activeX/activeX20.bin" ContentType="application/vnd.ms-office.activeX"/>
  <Override PartName="/xl/comments33.xml" ContentType="application/vnd.openxmlformats-officedocument.spreadsheetml.comments+xml"/>
  <Override PartName="/xl/customProperty100.bin" ContentType="application/vnd.openxmlformats-officedocument.spreadsheetml.customProperty"/>
  <Override PartName="/xl/customProperty101.bin" ContentType="application/vnd.openxmlformats-officedocument.spreadsheetml.customProperty"/>
  <Override PartName="/xl/customProperty102.bin" ContentType="application/vnd.openxmlformats-officedocument.spreadsheetml.customProperty"/>
  <Override PartName="/xl/drawings/drawing22.xml" ContentType="application/vnd.openxmlformats-officedocument.drawing+xml"/>
  <Override PartName="/xl/activeX/activeX21.xml" ContentType="application/vnd.ms-office.activeX+xml"/>
  <Override PartName="/xl/activeX/activeX21.bin" ContentType="application/vnd.ms-office.activeX"/>
  <Override PartName="/xl/comments34.xml" ContentType="application/vnd.openxmlformats-officedocument.spreadsheetml.comments+xml"/>
  <Override PartName="/xl/customProperty103.bin" ContentType="application/vnd.openxmlformats-officedocument.spreadsheetml.customProperty"/>
  <Override PartName="/xl/customProperty104.bin" ContentType="application/vnd.openxmlformats-officedocument.spreadsheetml.customProperty"/>
  <Override PartName="/xl/customProperty105.bin" ContentType="application/vnd.openxmlformats-officedocument.spreadsheetml.customProperty"/>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comments35.xml" ContentType="application/vnd.openxmlformats-officedocument.spreadsheetml.comments+xml"/>
  <Override PartName="/xl/customProperty106.bin" ContentType="application/vnd.openxmlformats-officedocument.spreadsheetml.customProperty"/>
  <Override PartName="/xl/customProperty107.bin" ContentType="application/vnd.openxmlformats-officedocument.spreadsheetml.customProperty"/>
  <Override PartName="/xl/customProperty108.bin" ContentType="application/vnd.openxmlformats-officedocument.spreadsheetml.customProperty"/>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comments36.xml" ContentType="application/vnd.openxmlformats-officedocument.spreadsheetml.comments+xml"/>
  <Override PartName="/xl/customProperty109.bin" ContentType="application/vnd.openxmlformats-officedocument.spreadsheetml.customProperty"/>
  <Override PartName="/xl/customProperty110.bin" ContentType="application/vnd.openxmlformats-officedocument.spreadsheetml.customProperty"/>
  <Override PartName="/xl/customProperty111.bin" ContentType="application/vnd.openxmlformats-officedocument.spreadsheetml.customProperty"/>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comments37.xml" ContentType="application/vnd.openxmlformats-officedocument.spreadsheetml.comments+xml"/>
  <Override PartName="/xl/customProperty112.bin" ContentType="application/vnd.openxmlformats-officedocument.spreadsheetml.customProperty"/>
  <Override PartName="/xl/customProperty113.bin" ContentType="application/vnd.openxmlformats-officedocument.spreadsheetml.customProperty"/>
  <Override PartName="/xl/customProperty114.bin" ContentType="application/vnd.openxmlformats-officedocument.spreadsheetml.customProperty"/>
  <Override PartName="/xl/drawings/drawing26.xml" ContentType="application/vnd.openxmlformats-officedocument.drawing+xml"/>
  <Override PartName="/xl/activeX/activeX25.xml" ContentType="application/vnd.ms-office.activeX+xml"/>
  <Override PartName="/xl/activeX/activeX25.bin" ContentType="application/vnd.ms-office.activeX"/>
  <Override PartName="/xl/comments38.xml" ContentType="application/vnd.openxmlformats-officedocument.spreadsheetml.comments+xml"/>
  <Override PartName="/xl/customProperty115.bin" ContentType="application/vnd.openxmlformats-officedocument.spreadsheetml.customProperty"/>
  <Override PartName="/xl/customProperty116.bin" ContentType="application/vnd.openxmlformats-officedocument.spreadsheetml.customProperty"/>
  <Override PartName="/xl/customProperty117.bin" ContentType="application/vnd.openxmlformats-officedocument.spreadsheetml.customProperty"/>
  <Override PartName="/xl/drawings/drawing27.xml" ContentType="application/vnd.openxmlformats-officedocument.drawing+xml"/>
  <Override PartName="/xl/activeX/activeX26.xml" ContentType="application/vnd.ms-office.activeX+xml"/>
  <Override PartName="/xl/activeX/activeX26.bin" ContentType="application/vnd.ms-office.activeX"/>
  <Override PartName="/xl/comments39.xml" ContentType="application/vnd.openxmlformats-officedocument.spreadsheetml.comments+xml"/>
  <Override PartName="/xl/customProperty118.bin" ContentType="application/vnd.openxmlformats-officedocument.spreadsheetml.customProperty"/>
  <Override PartName="/xl/customProperty119.bin" ContentType="application/vnd.openxmlformats-officedocument.spreadsheetml.customProperty"/>
  <Override PartName="/xl/customProperty120.bin" ContentType="application/vnd.openxmlformats-officedocument.spreadsheetml.customProperty"/>
  <Override PartName="/xl/drawings/drawing28.xml" ContentType="application/vnd.openxmlformats-officedocument.drawing+xml"/>
  <Override PartName="/xl/activeX/activeX27.xml" ContentType="application/vnd.ms-office.activeX+xml"/>
  <Override PartName="/xl/activeX/activeX27.bin" ContentType="application/vnd.ms-office.activeX"/>
  <Override PartName="/xl/comments40.xml" ContentType="application/vnd.openxmlformats-officedocument.spreadsheetml.comments+xml"/>
  <Override PartName="/xl/customProperty121.bin" ContentType="application/vnd.openxmlformats-officedocument.spreadsheetml.customProperty"/>
  <Override PartName="/xl/customProperty122.bin" ContentType="application/vnd.openxmlformats-officedocument.spreadsheetml.customProperty"/>
  <Override PartName="/xl/customProperty123.bin" ContentType="application/vnd.openxmlformats-officedocument.spreadsheetml.customProperty"/>
  <Override PartName="/xl/drawings/drawing29.xml" ContentType="application/vnd.openxmlformats-officedocument.drawing+xml"/>
  <Override PartName="/xl/activeX/activeX28.xml" ContentType="application/vnd.ms-office.activeX+xml"/>
  <Override PartName="/xl/activeX/activeX28.bin" ContentType="application/vnd.ms-office.activeX"/>
  <Override PartName="/xl/comments41.xml" ContentType="application/vnd.openxmlformats-officedocument.spreadsheetml.comments+xml"/>
  <Override PartName="/xl/customProperty124.bin" ContentType="application/vnd.openxmlformats-officedocument.spreadsheetml.customProperty"/>
  <Override PartName="/xl/customProperty125.bin" ContentType="application/vnd.openxmlformats-officedocument.spreadsheetml.customProperty"/>
  <Override PartName="/xl/customProperty126.bin" ContentType="application/vnd.openxmlformats-officedocument.spreadsheetml.customProperty"/>
  <Override PartName="/xl/comments42.xml" ContentType="application/vnd.openxmlformats-officedocument.spreadsheetml.comments+xml"/>
  <Override PartName="/xl/customProperty127.bin" ContentType="application/vnd.openxmlformats-officedocument.spreadsheetml.customProperty"/>
  <Override PartName="/xl/customProperty128.bin" ContentType="application/vnd.openxmlformats-officedocument.spreadsheetml.customProperty"/>
  <Override PartName="/xl/customProperty129.bin" ContentType="application/vnd.openxmlformats-officedocument.spreadsheetml.customProperty"/>
  <Override PartName="/xl/drawings/drawing30.xml" ContentType="application/vnd.openxmlformats-officedocument.drawing+xml"/>
  <Override PartName="/xl/activeX/activeX29.xml" ContentType="application/vnd.ms-office.activeX+xml"/>
  <Override PartName="/xl/activeX/activeX29.bin" ContentType="application/vnd.ms-office.activeX"/>
  <Override PartName="/xl/comments43.xml" ContentType="application/vnd.openxmlformats-officedocument.spreadsheetml.comments+xml"/>
  <Override PartName="/xl/customProperty130.bin" ContentType="application/vnd.openxmlformats-officedocument.spreadsheetml.customProperty"/>
  <Override PartName="/xl/customProperty131.bin" ContentType="application/vnd.openxmlformats-officedocument.spreadsheetml.customProperty"/>
  <Override PartName="/xl/customProperty132.bin" ContentType="application/vnd.openxmlformats-officedocument.spreadsheetml.customProperty"/>
  <Override PartName="/xl/drawings/drawing31.xml" ContentType="application/vnd.openxmlformats-officedocument.drawing+xml"/>
  <Override PartName="/xl/activeX/activeX30.xml" ContentType="application/vnd.ms-office.activeX+xml"/>
  <Override PartName="/xl/activeX/activeX30.bin" ContentType="application/vnd.ms-office.activeX"/>
  <Override PartName="/xl/comments44.xml" ContentType="application/vnd.openxmlformats-officedocument.spreadsheetml.comments+xml"/>
  <Override PartName="/xl/customProperty133.bin" ContentType="application/vnd.openxmlformats-officedocument.spreadsheetml.customProperty"/>
  <Override PartName="/xl/customProperty134.bin" ContentType="application/vnd.openxmlformats-officedocument.spreadsheetml.customProperty"/>
  <Override PartName="/xl/customProperty135.bin" ContentType="application/vnd.openxmlformats-officedocument.spreadsheetml.customProperty"/>
  <Override PartName="/xl/drawings/drawing32.xml" ContentType="application/vnd.openxmlformats-officedocument.drawing+xml"/>
  <Override PartName="/xl/activeX/activeX31.xml" ContentType="application/vnd.ms-office.activeX+xml"/>
  <Override PartName="/xl/activeX/activeX31.bin" ContentType="application/vnd.ms-office.activeX"/>
  <Override PartName="/xl/comments45.xml" ContentType="application/vnd.openxmlformats-officedocument.spreadsheetml.comments+xml"/>
  <Override PartName="/xl/customProperty136.bin" ContentType="application/vnd.openxmlformats-officedocument.spreadsheetml.customProperty"/>
  <Override PartName="/xl/customProperty137.bin" ContentType="application/vnd.openxmlformats-officedocument.spreadsheetml.customProperty"/>
  <Override PartName="/xl/customProperty138.bin" ContentType="application/vnd.openxmlformats-officedocument.spreadsheetml.customProperty"/>
  <Override PartName="/xl/drawings/drawing33.xml" ContentType="application/vnd.openxmlformats-officedocument.drawing+xml"/>
  <Override PartName="/xl/activeX/activeX32.xml" ContentType="application/vnd.ms-office.activeX+xml"/>
  <Override PartName="/xl/activeX/activeX32.bin" ContentType="application/vnd.ms-office.activeX"/>
  <Override PartName="/xl/comments46.xml" ContentType="application/vnd.openxmlformats-officedocument.spreadsheetml.comments+xml"/>
  <Override PartName="/xl/customProperty139.bin" ContentType="application/vnd.openxmlformats-officedocument.spreadsheetml.customProperty"/>
  <Override PartName="/xl/customProperty140.bin" ContentType="application/vnd.openxmlformats-officedocument.spreadsheetml.customProperty"/>
  <Override PartName="/xl/customProperty141.bin" ContentType="application/vnd.openxmlformats-officedocument.spreadsheetml.customProperty"/>
  <Override PartName="/xl/drawings/drawing34.xml" ContentType="application/vnd.openxmlformats-officedocument.drawing+xml"/>
  <Override PartName="/xl/activeX/activeX33.xml" ContentType="application/vnd.ms-office.activeX+xml"/>
  <Override PartName="/xl/activeX/activeX33.bin" ContentType="application/vnd.ms-office.activeX"/>
  <Override PartName="/xl/comments47.xml" ContentType="application/vnd.openxmlformats-officedocument.spreadsheetml.comments+xml"/>
  <Override PartName="/xl/customProperty142.bin" ContentType="application/vnd.openxmlformats-officedocument.spreadsheetml.customProperty"/>
  <Override PartName="/xl/customProperty143.bin" ContentType="application/vnd.openxmlformats-officedocument.spreadsheetml.customProperty"/>
  <Override PartName="/xl/customProperty144.bin" ContentType="application/vnd.openxmlformats-officedocument.spreadsheetml.customProperty"/>
  <Override PartName="/xl/drawings/drawing35.xml" ContentType="application/vnd.openxmlformats-officedocument.drawing+xml"/>
  <Override PartName="/xl/activeX/activeX34.xml" ContentType="application/vnd.ms-office.activeX+xml"/>
  <Override PartName="/xl/activeX/activeX34.bin" ContentType="application/vnd.ms-office.activeX"/>
  <Override PartName="/xl/comments48.xml" ContentType="application/vnd.openxmlformats-officedocument.spreadsheetml.comments+xml"/>
  <Override PartName="/xl/customProperty145.bin" ContentType="application/vnd.openxmlformats-officedocument.spreadsheetml.customProperty"/>
  <Override PartName="/xl/customProperty146.bin" ContentType="application/vnd.openxmlformats-officedocument.spreadsheetml.customProperty"/>
  <Override PartName="/xl/customProperty147.bin" ContentType="application/vnd.openxmlformats-officedocument.spreadsheetml.customProperty"/>
  <Override PartName="/xl/drawings/drawing36.xml" ContentType="application/vnd.openxmlformats-officedocument.drawing+xml"/>
  <Override PartName="/xl/activeX/activeX35.xml" ContentType="application/vnd.ms-office.activeX+xml"/>
  <Override PartName="/xl/activeX/activeX35.bin" ContentType="application/vnd.ms-office.activeX"/>
  <Override PartName="/xl/comments4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01"/>
  <workbookPr codeName="ThisWorkbook" defaultThemeVersion="124226"/>
  <mc:AlternateContent xmlns:mc="http://schemas.openxmlformats.org/markup-compatibility/2006">
    <mc:Choice Requires="x15">
      <x15ac:absPath xmlns:x15ac="http://schemas.microsoft.com/office/spreadsheetml/2010/11/ac" url="C:\Users\Hyun.Lee\Documents\AM\Covid-19\2021-12\"/>
    </mc:Choice>
  </mc:AlternateContent>
  <xr:revisionPtr revIDLastSave="0" documentId="8_{87A822DA-71F5-48BE-8967-52D829F4E5D3}" xr6:coauthVersionLast="47" xr6:coauthVersionMax="47" xr10:uidLastSave="{00000000-0000-0000-0000-000000000000}"/>
  <bookViews>
    <workbookView xWindow="28680" yWindow="-120" windowWidth="29040" windowHeight="15840" tabRatio="805" activeTab="1" xr2:uid="{00000000-000D-0000-FFFF-FFFF00000000}"/>
  </bookViews>
  <sheets>
    <sheet name="SetUp" sheetId="5" r:id="rId1"/>
    <sheet name="Summary" sheetId="37" r:id="rId2"/>
    <sheet name="Rooms" sheetId="4" r:id="rId3"/>
    <sheet name="MMA" sheetId="6" r:id="rId4"/>
    <sheet name="Resv" sheetId="7" r:id="rId5"/>
    <sheet name="FB_Cons" sheetId="16" r:id="rId6"/>
    <sheet name="FB_KPI" sheetId="17" r:id="rId7"/>
    <sheet name="Venue1" sheetId="9" r:id="rId8"/>
    <sheet name="Venue1_KPI" sheetId="39" r:id="rId9"/>
    <sheet name="Venue2" sheetId="51" r:id="rId10"/>
    <sheet name="Venue2_KPI" sheetId="55" r:id="rId11"/>
    <sheet name="Venue3" sheetId="52" r:id="rId12"/>
    <sheet name="Venue3_KPI" sheetId="56" r:id="rId13"/>
    <sheet name="Venue4" sheetId="53" r:id="rId14"/>
    <sheet name="Venue4_KPI" sheetId="57" r:id="rId15"/>
    <sheet name="Venue5" sheetId="61" r:id="rId16"/>
    <sheet name="Venue5_KPI" sheetId="62" r:id="rId17"/>
    <sheet name="Venue6" sheetId="63" r:id="rId18"/>
    <sheet name="Venue6_KPI" sheetId="64" r:id="rId19"/>
    <sheet name="VenueBar" sheetId="54" r:id="rId20"/>
    <sheet name="VenueBar_KPI" sheetId="58" r:id="rId21"/>
    <sheet name="IRD" sheetId="11" r:id="rId22"/>
    <sheet name="IRD_KPI" sheetId="59" r:id="rId23"/>
    <sheet name="BCC_CONS" sheetId="65" r:id="rId24"/>
    <sheet name="BCC_CONS_KPI" sheetId="66" r:id="rId25"/>
    <sheet name="BCC_Group" sheetId="67" r:id="rId26"/>
    <sheet name="BCC_KPI_Group" sheetId="68" r:id="rId27"/>
    <sheet name="BCC_Local" sheetId="69" r:id="rId28"/>
    <sheet name="BCC_KPI_Local" sheetId="70" r:id="rId29"/>
    <sheet name="Mini_Bar" sheetId="15" r:id="rId30"/>
    <sheet name="OTH_OP" sheetId="24" r:id="rId31"/>
    <sheet name="Telcom_Legacy" sheetId="18" r:id="rId32"/>
    <sheet name="HC_SPA" sheetId="19" r:id="rId33"/>
    <sheet name="Parking" sheetId="20" r:id="rId34"/>
    <sheet name="Retail" sheetId="21" r:id="rId35"/>
    <sheet name="FB_Retail" sheetId="22" r:id="rId36"/>
    <sheet name="Minor_Op" sheetId="23" r:id="rId37"/>
    <sheet name="MISC_INC" sheetId="25" r:id="rId38"/>
    <sheet name="AG" sheetId="26" r:id="rId39"/>
    <sheet name="HR_Detail" sheetId="27" r:id="rId40"/>
    <sheet name="IT" sheetId="28" r:id="rId41"/>
    <sheet name="SM" sheetId="29" r:id="rId42"/>
    <sheet name="POM" sheetId="30" r:id="rId43"/>
    <sheet name="EC" sheetId="31" r:id="rId44"/>
    <sheet name="Mgt_Fees" sheetId="32" r:id="rId45"/>
    <sheet name="Non_Op" sheetId="33" r:id="rId46"/>
    <sheet name="Laundry" sheetId="34" r:id="rId47"/>
    <sheet name="Dining" sheetId="35" r:id="rId48"/>
    <sheet name="PR_Related" sheetId="36" r:id="rId49"/>
  </sheets>
  <definedNames>
    <definedName name="_epmOfflineCondition_" localSheetId="38" hidden="1">1</definedName>
    <definedName name="_epmOfflineCondition_" localSheetId="23" hidden="1">1</definedName>
    <definedName name="_epmOfflineCondition_" localSheetId="24" hidden="1">1</definedName>
    <definedName name="_epmOfflineCondition_" localSheetId="25" hidden="1">1</definedName>
    <definedName name="_epmOfflineCondition_" localSheetId="26" hidden="1">1</definedName>
    <definedName name="_epmOfflineCondition_" localSheetId="28" hidden="1">1</definedName>
    <definedName name="_epmOfflineCondition_" localSheetId="27" hidden="1">1</definedName>
    <definedName name="_epmOfflineCondition_" localSheetId="47" hidden="1">1</definedName>
    <definedName name="_epmOfflineCondition_" localSheetId="43" hidden="1">1</definedName>
    <definedName name="_epmOfflineCondition_" localSheetId="5" hidden="1">1</definedName>
    <definedName name="_epmOfflineCondition_" localSheetId="6" hidden="1">1</definedName>
    <definedName name="_epmOfflineCondition_" localSheetId="35" hidden="1">1</definedName>
    <definedName name="_epmOfflineCondition_" localSheetId="32" hidden="1">1</definedName>
    <definedName name="_epmOfflineCondition_" localSheetId="39" hidden="1">1</definedName>
    <definedName name="_epmOfflineCondition_" localSheetId="21" hidden="1">1</definedName>
    <definedName name="_epmOfflineCondition_" localSheetId="22" hidden="1">1</definedName>
    <definedName name="_epmOfflineCondition_" localSheetId="40" hidden="1">1</definedName>
    <definedName name="_epmOfflineCondition_" localSheetId="46" hidden="1">1</definedName>
    <definedName name="_epmOfflineCondition_" localSheetId="44" hidden="1">1</definedName>
    <definedName name="_epmOfflineCondition_" localSheetId="29" hidden="1">1</definedName>
    <definedName name="_epmOfflineCondition_" localSheetId="36" hidden="1">1</definedName>
    <definedName name="_epmOfflineCondition_" localSheetId="37" hidden="1">1</definedName>
    <definedName name="_epmOfflineCondition_" localSheetId="3" hidden="1">1</definedName>
    <definedName name="_epmOfflineCondition_" localSheetId="45" hidden="1">1</definedName>
    <definedName name="_epmOfflineCondition_" localSheetId="30" hidden="1">1</definedName>
    <definedName name="_epmOfflineCondition_" localSheetId="33" hidden="1">1</definedName>
    <definedName name="_epmOfflineCondition_" localSheetId="42" hidden="1">1</definedName>
    <definedName name="_epmOfflineCondition_" localSheetId="48" hidden="1">1</definedName>
    <definedName name="_epmOfflineCondition_" localSheetId="4" hidden="1">1</definedName>
    <definedName name="_epmOfflineCondition_" localSheetId="34" hidden="1">1</definedName>
    <definedName name="_epmOfflineCondition_" localSheetId="2" hidden="1">1</definedName>
    <definedName name="_epmOfflineCondition_" localSheetId="0" hidden="1">1</definedName>
    <definedName name="_epmOfflineCondition_" localSheetId="41" hidden="1">1</definedName>
    <definedName name="_epmOfflineCondition_" localSheetId="1" hidden="1">1</definedName>
    <definedName name="_epmOfflineCondition_" localSheetId="31" hidden="1">1</definedName>
    <definedName name="_epmOfflineCondition_" localSheetId="7" hidden="1">1</definedName>
    <definedName name="_epmOfflineCondition_" localSheetId="8" hidden="1">1</definedName>
    <definedName name="_epmOfflineCondition_" localSheetId="9" hidden="1">1</definedName>
    <definedName name="_epmOfflineCondition_" localSheetId="10" hidden="1">1</definedName>
    <definedName name="_epmOfflineCondition_" localSheetId="11" hidden="1">1</definedName>
    <definedName name="_epmOfflineCondition_" localSheetId="12" hidden="1">1</definedName>
    <definedName name="_epmOfflineCondition_" localSheetId="13" hidden="1">1</definedName>
    <definedName name="_epmOfflineCondition_" localSheetId="14" hidden="1">1</definedName>
    <definedName name="_epmOfflineCondition_" localSheetId="15" hidden="1">1</definedName>
    <definedName name="_epmOfflineCondition_" localSheetId="16" hidden="1">1</definedName>
    <definedName name="_epmOfflineCondition_" localSheetId="17" hidden="1">1</definedName>
    <definedName name="_epmOfflineCondition_" localSheetId="18" hidden="1">1</definedName>
    <definedName name="_epmOfflineCondition_" localSheetId="19" hidden="1">1</definedName>
    <definedName name="_epmOfflineCondition_" localSheetId="20" hidden="1">1</definedName>
    <definedName name="EPMWorkbookOptions_1" hidden="1">"dDQAAB+LCAAAAAAABADtW21vokoU/r7J/gfjdwUUX7axbijS1b0qBrB3N83GII51Uhy4w1jbf38HBEWlFlq2orHpCz1z5sx5Hs45wxFofH+em7kngB1ooes8V2TzOYAMawLRw3V+QaYFrpr/3vz6pfGvhR/HlvUo24SqOjk6DzlXz87kOj8jxL5imOVyWVyWixZ+YEosyzG/el3VmIG5nl8rw7eVCxA5REcGyNNVc7mGaCEEDHdNzRIXGANE"</definedName>
    <definedName name="EPMWorkbookOptions_2" hidden="1">"7iBYeoNbwy2d6L6Uyvv6HKyWXS9JwNxeYOitOXQAHmAwBdSeAYoURr45uh30RjcDsady7Ojen/RoWLg0tg3dth3G0W2GHjN/Rvf/wLlNLESPbiFy3aVHU910Nn8bjOvDxiPBtk1o6CH2YnsW2Ni2EhL7gJu+LztLr4ja4y7GEB3sgfkY4CGC/y2AZ/VeEEV52Nf+FO/bHP11I3SFviipbUnSKOg9/T2LbQiwjo3ZS0ipzTWYKPne5BacA+QG"</definedName>
    <definedName name="EPMWorkbookOptions_3" hidden="1">"a0hJMAxrgUiDiRrcwcqkx4MoaNIPWfkdECEOFUXqH4kDUSfgwcIvn01CS9AEVREDDjRZo+HQ+nkcEtwSoGLj0zmQBoKi9aRNTrQq7JEYALaOCZV/ejZ0+pooB/iFbndEBZJCRUfhoYOIaH02BVqnJwUMlFjuW/Gn0D8OfI3KPht9TxLUoSKpFDz9HkhKR251xPfizzHxkAarfgztgZHQQBtOJgCt13EOELZWuoMOHEMTkpfU9zKPONejJsEL"</definedName>
    <definedName name="EPMWorkbookOptions_4" hidden="1">"4EaL988BzG97lQqGJHtRZkEk2EuyiyHRbpBZGLGLeWYRxK3HmQWQpMymD2JL+WAVDoPddFF7lVqdWZtFRcu0sO9rxMChqR76iJlRm4+rQLtVAp7Jrf5kYUioX16ruJq8N7Yzvw0fZib9ISowaccLJsGuCTd2DurE8OcWYoeEAEWP7xhao36d8LhaaWyKYRurM1jgqhWWK9e5kIGoc+vNlfEE4CbbYFYHkdYd29RfBtiyAaaRylWqlSkYTwuV"</definedName>
    <definedName name="EPMWorkbookOptions_5" hidden="1">"6oQv8KXpt0K9AkCB1UGJn4xrfG1cdlfenhVhuKs76xO3umiKYuiNKzNfJfW23bcbdan27MArBM3rvBs4+Ygrt9dPbby5hy5TU6SkxnIcG6txyzIZDSZOHIVS4a+l7c3CgQg4DhV9IHdZlq+zbPzU5c4vdW+Gaqcvqeqw39nk73DEc/WTj9aUKVGkHx25r15YWbFS8lip093vwkg4TniOr586I9mp88n6/YgaXy5XKjzPx6/xpfOr8R+4m+Db"</definedName>
    <definedName name="EPMWorkbookOptions_6" hidden="1">"zGSUpkWHIGpiV1alU+cjO1mb6AOuiKSt1ji2Xq/FT9ry+SXtB+5++TYvQXoITuJPMKMbiGq1XE7QQfBnGKjvvUXpW8xkmKZIRqlyIWNNxkjodk+djuyUsAR3L1L56LJyftXrI88W+EYvQXoITlOxycpV4/1dXPJQrZ5fqCoDbdW5ievWpRvrIQjfYibjNEUyhmrr1NnITtbGv62cSrrWzi9d3/vIlm8wk/GZGhdeO3tho3j/i36dBxvZqV3J"</definedName>
    <definedName name="EPMWorkbookOptions_7" hidden="1">"nihJpX7Vz69+vf+hS9/kuUdpDKUtb15V2tKx5jZ1bPMM0hbOBhP1ksaWNLBNl95/fyUs3H/npaGAKQbOTEayDVDw4M+20NMTTaBj16iMVP0JBJq7Yk83eLmHIiMe54H2/oCn33HudAz1sQl6AD9s1PfkX79sbPhvDjX/B+cgYkl0NAAA"</definedName>
    <definedName name="EV__EVCOM_OPTIONS__" hidden="1">8</definedName>
    <definedName name="EV__EXPOPTIONS__" hidden="1">1</definedName>
    <definedName name="EV__LASTREFTIME__" hidden="1">43507.7052199074</definedName>
    <definedName name="Ev__LimitedCV" localSheetId="38" hidden="1">"Application:FINANCE|Application:FINANCE|Account:GOI|Category:ACTUAL_CON|Datasrc:TOTALADJ|Department:D_AG_CON|Intco:All_InterCo|Rptcurrency:LC|Time:2015.TOTAL|Measures:PERIODIC"</definedName>
    <definedName name="Ev__LimitedCV" localSheetId="24" hidden="1">"Application:FINANCE|Application:FINANCE|Account:GOI|Category:ACTUAL_CON|Datasrc:TOTALADJ|Department:D_REST_OUTLET|Intco:All_InterCo|Rptcurrency:LC|Time:2015.TOTAL|Measures:PERIODIC"</definedName>
    <definedName name="Ev__LimitedCV" localSheetId="25" hidden="1">"Application:FINANCE|Application:FINANCE|Account:GOI|Category:ACTUAL_CON|Datasrc:TOTALADJ|Department:D_BCC_CON|Intco:All_InterCo|Rptcurrency:LC|Time:2015.TOTAL|Measures:PERIODIC"</definedName>
    <definedName name="Ev__LimitedCV" localSheetId="26" hidden="1">"Application:FINANCE|Application:FINANCE|Account:GOI|Category:ACTUAL_CON|Datasrc:TOTALADJ|Department:D_REST_OUTLET|Intco:All_InterCo|Rptcurrency:LC|Time:2015.TOTAL|Measures:PERIODIC"</definedName>
    <definedName name="Ev__LimitedCV" localSheetId="28" hidden="1">"Application:FINANCE|Application:FINANCE|Account:GOI|Category:ACTUAL_CON|Datasrc:TOTALADJ|Department:D_REST_OUTLET|Intco:All_InterCo|Rptcurrency:LC|Time:2015.TOTAL|Measures:PERIODIC"</definedName>
    <definedName name="Ev__LimitedCV" localSheetId="27" hidden="1">"Application:FINANCE|Application:FINANCE|Account:GOI|Category:ACTUAL_CON|Datasrc:TOTALADJ|Department:D_BCC_CON|Intco:All_InterCo|Rptcurrency:LC|Time:2015.TOTAL|Measures:PERIODIC"</definedName>
    <definedName name="Ev__LimitedCV" localSheetId="47" hidden="1">"Application:FINANCE|Application:FINANCE|Account:GOI|Category:ACTUAL_CON|Datasrc:TOTALADJ|Department:D2259|Intco:All_InterCo|Rptcurrency:LC|Time:2015.TOTAL|Measures:PERIODIC"</definedName>
    <definedName name="Ev__LimitedCV" localSheetId="43" hidden="1">"Application:FINANCE|Application:FINANCE|Account:GOI|Category:ACTUAL_CON|Datasrc:TOTALADJ|Department:D_EC_CON|Intco:All_InterCo|Rptcurrency:LC|Time:2015.TOTAL|Measures:PERIODIC"</definedName>
    <definedName name="Ev__LimitedCV" localSheetId="5" hidden="1">"Application:FINANCE|Application:FINANCE|Account:GOI|Category:ACTUAL_CON|Datasrc:TOTALADJ|Department:D_REST_CON|Intco:All_InterCo|Rptcurrency:LC|Time:2015.TOTAL|Measures:PERIODIC"</definedName>
    <definedName name="Ev__LimitedCV" localSheetId="6" hidden="1">"Application:FINANCE|Application:FINANCE|Account:GOI|Category:ACTUAL_CON|Datasrc:TOTALADJ|Department:D_REST_OUTLET|Intco:All_InterCo|Rptcurrency:LC|Time:2015.TOTAL|Measures:PERIODIC"</definedName>
    <definedName name="Ev__LimitedCV" localSheetId="35" hidden="1">"Application:FINANCE|Application:FINANCE|Account:GOI|Category:ACTUAL_CON|Datasrc:TOTALADJ|Department:D2149|Intco:All_InterCo|Rptcurrency:LC|Time:2015.TOTAL|Measures:PERIODIC"</definedName>
    <definedName name="Ev__LimitedCV" localSheetId="32" hidden="1">"Application:FINANCE|Application:FINANCE|Account:GOI|Category:ACTUAL_CON|Datasrc:TOTALADJ|Department:D1132|Intco:All_InterCo|Rptcurrency:LC|Time:2015.TOTAL|Measures:PERIODIC"</definedName>
    <definedName name="Ev__LimitedCV" localSheetId="39" hidden="1">"Application:FINANCE|Application:FINANCE|Account:GOI|Category:ACTUAL_CON|Datasrc:TOTALADJ|Department:D_AGHR|Intco:All_InterCo|Rptcurrency:LC|Time:2015.TOTAL|Measures:PERIODIC"</definedName>
    <definedName name="Ev__LimitedCV" localSheetId="21" hidden="1">"Application:FINANCE|Application:FINANCE|Account:GOI|Category:ACTUAL_CON|Datasrc:TOTALADJ|Department:D_RS_CON|Intco:All_InterCo|Rptcurrency:LC|Time:2015.TOTAL|Measures:PERIODIC"</definedName>
    <definedName name="Ev__LimitedCV" localSheetId="22" hidden="1">"Application:FINANCE|Application:FINANCE|Account:GOI|Category:ACTUAL_CON|Datasrc:TOTALADJ|Department:D_REST_OUTLET|Intco:All_InterCo|Rptcurrency:LC|Time:2015.TOTAL|Measures:PERIODIC"</definedName>
    <definedName name="Ev__LimitedCV" localSheetId="40" hidden="1">"Application:FINANCE|Application:FINANCE|Account:GOI|Category:ACTUAL_CON|Datasrc:TOTALADJ|Department:D_IT_CON|Intco:All_InterCo|Rptcurrency:LC|Time:2015.TOTAL|Measures:PERIODIC"</definedName>
    <definedName name="Ev__LimitedCV" localSheetId="46" hidden="1">"Application:FINANCE|Application:FINANCE|Account:GOI|Category:ACTUAL_CON|Datasrc:TOTALADJ|Department:D1228|Intco:All_InterCo|Rptcurrency:LC|Time:2015.TOTAL|Measures:PERIODIC"</definedName>
    <definedName name="Ev__LimitedCV" localSheetId="44" hidden="1">"Application:FINANCE|Application:FINANCE|Account:GOI|Category:ACTUAL_CON|Datasrc:TOTALADJ|Department:D_MGMT_CON|Intco:All_InterCo|Rptcurrency:LC|Time:2015.TOTAL|Measures:PERIODIC"</definedName>
    <definedName name="Ev__LimitedCV" localSheetId="29" hidden="1">"Application:FINANCE|Application:FINANCE|Account:GOI|Category:ACTUAL_CON|Datasrc:TOTALADJ|Department:D1149|Intco:All_InterCo|Rptcurrency:LC|Time:2015.TOTAL|Measures:PERIODIC"</definedName>
    <definedName name="Ev__LimitedCV" localSheetId="36" hidden="1">"Application:FINANCE|Application:FINANCE|Account:GOI|Category:ACTUAL_CON|Datasrc:TOTALADJ|Department:D1138|Intco:All_InterCo|Rptcurrency:LC|Time:2015.TOTAL|Measures:PERIODIC"</definedName>
    <definedName name="Ev__LimitedCV" localSheetId="37" hidden="1">"Application:FINANCE|Application:FINANCE|Account:GOI|Category:ACTUAL_CON|Datasrc:TOTALADJ|Department:D_ROI_CON|Intco:All_InterCo|Rptcurrency:LC|Time:2015.TOTAL|Measures:PERIODIC"</definedName>
    <definedName name="Ev__LimitedCV" localSheetId="3" hidden="1">"Application:FINANCE|Application:FINANCE|Account:GOI|Category:ACTUAL_CON|Datasrc:TOTALADJ|Department:D_ROOMS_CON|Intco:All_InterCo|Rptcurrency:LC|Time:2015.TOTAL|Measures:PERIODIC"</definedName>
    <definedName name="Ev__LimitedCV" localSheetId="45" hidden="1">"Application:FINANCE|Application:FINANCE|Account:GOI|Category:ACTUAL_CON|Datasrc:TOTALADJ|Department:D_FIXED|Intco:All_InterCo|Rptcurrency:LC|Time:2015.TOTAL|Measures:PERIODIC"</definedName>
    <definedName name="Ev__LimitedCV" localSheetId="30" hidden="1">"Application:FINANCE|Application:FINANCE|Account:GOI|Category:ACTUAL_CON|Datasrc:TOTALADJ|Department:D_OTHER_CON|Intco:All_InterCo|Rptcurrency:LC|Time:2015.TOTAL|Measures:PERIODIC"</definedName>
    <definedName name="Ev__LimitedCV" localSheetId="33" hidden="1">"Application:FINANCE|Application:FINANCE|Account:GOI|Category:ACTUAL_CON|Datasrc:TOTALADJ|Department:D1133|Intco:All_InterCo|Rptcurrency:LC|Time:2015.TOTAL|Measures:PERIODIC"</definedName>
    <definedName name="Ev__LimitedCV" localSheetId="42" hidden="1">"Application:FINANCE|Application:FINANCE|Account:GOI|Category:ACTUAL_CON|Datasrc:TOTALADJ|Department:D_PM_CON|Intco:All_InterCo|Rptcurrency:LC|Time:2015.TOTAL|Measures:PERIODIC"</definedName>
    <definedName name="Ev__LimitedCV" localSheetId="48" hidden="1">"Application:FINANCE|Application:FINANCE|Account:GOI|Category:ACTUAL_CON|Datasrc:TOTALADJ|Department:D_CON|Intco:All_InterCo|Rptcurrency:LC|Time:2015.TOTAL|Measures:PERIODIC"</definedName>
    <definedName name="Ev__LimitedCV" localSheetId="4" hidden="1">"Application:FINANCE|Application:FINANCE|Account:GOI|Category:ACTUAL_CON|Datasrc:TOTALADJ|Department:D_RESV_CON|Intco:All_InterCo|Rptcurrency:LC|Time:2015.TOTAL|Measures:PERIODIC"</definedName>
    <definedName name="Ev__LimitedCV" localSheetId="34" hidden="1">"Application:FINANCE|Application:FINANCE|Account:GOI|Category:ACTUAL_CON|Datasrc:TOTALADJ|Department:D1136|Intco:All_InterCo|Rptcurrency:LC|Time:2015.TOTAL|Measures:PERIODIC"</definedName>
    <definedName name="Ev__LimitedCV" localSheetId="2" hidden="1">"Application:FINANCE|Application:FINANCE|Account:GOI|Category:ACTUAL_CON|Datasrc:TOTALADJ|Department:D_ROOMS_CON|Intco:All_InterCo|Rptcurrency:LC|Time:2015.TOTAL|Measures:PERIODIC"</definedName>
    <definedName name="Ev__LimitedCV" localSheetId="0" hidden="1">"Application:FINANCE|Application:FINANCE|Account:GOI|Category:CURRENT|Datasrc:TOTALADJ|Department:D_CON|Intco:All_InterCo|Time:2015.TOTAL|Measures:PERIODIC"</definedName>
    <definedName name="Ev__LimitedCV" localSheetId="41" hidden="1">"Application:FINANCE|Application:FINANCE|Account:GOI|Category:ACTUAL_CON|Datasrc:TOTALADJ|Department:D_SM_CON|Intco:All_InterCo|Rptcurrency:LC|Time:2015.TOTAL|Measures:PERIODIC"</definedName>
    <definedName name="Ev__LimitedCV" localSheetId="1" hidden="1">"Application:FINANCE|Application:FINANCE|Account:GOI|Category:ACTUAL_CON|Datasrc:TOTALADJ|Department:D_CON|Intco:All_InterCo|Rptcurrency:LC|Time:2015.TOTAL|Measures:PERIODIC"</definedName>
    <definedName name="Ev__LimitedCV" localSheetId="31" hidden="1">"Application:FINANCE|Application:FINANCE|Account:GOI|Category:ACTUAL_CON|Datasrc:TOTALADJ|Department:D_TELCOM|Intco:All_InterCo|Rptcurrency:LC|Time:2015.TOTAL|Measures:PERIODIC"</definedName>
    <definedName name="Ev__LimitedCV" localSheetId="7" hidden="1">"Application:FINANCE|Application:FINANCE|Account:GOI|Category:ACTUAL_CON|Datasrc:TOTALADJ|Department:D_REST_OUTLET|Intco:All_InterCo|Rptcurrency:LC|Time:2015.TOTAL|Measures:PERIODIC"</definedName>
    <definedName name="Ev__LimitedCV" localSheetId="8" hidden="1">"Application:FINANCE|Application:FINANCE|Account:GOI|Category:ACTUAL_CON|Datasrc:TOTALADJ|Department:D_REST_OUTLET|Intco:All_InterCo|Rptcurrency:LC|Time:2015.TOTAL|Measures:PERIODIC"</definedName>
    <definedName name="Ev__LimitedCV" localSheetId="9" hidden="1">"Application:FINANCE|Application:FINANCE|Account:GOI|Category:ACTUAL_CON|Datasrc:TOTALADJ|Department:D_REST_OUTLET|Intco:All_InterCo|Rptcurrency:LC|Time:2015.TOTAL|Measures:PERIODIC"</definedName>
    <definedName name="Ev__LimitedCV" localSheetId="10" hidden="1">"Application:FINANCE|Application:FINANCE|Account:GOI|Category:ACTUAL_CON|Datasrc:TOTALADJ|Department:D_REST_OUTLET|Intco:All_InterCo|Rptcurrency:LC|Time:2015.TOTAL|Measures:PERIODIC"</definedName>
    <definedName name="Ev__LimitedCV" localSheetId="11" hidden="1">"Application:FINANCE|Application:FINANCE|Account:GOI|Category:ACTUAL_CON|Datasrc:TOTALADJ|Department:D_REST_OUTLET|Intco:All_InterCo|Rptcurrency:LC|Time:2015.TOTAL|Measures:PERIODIC"</definedName>
    <definedName name="Ev__LimitedCV" localSheetId="12" hidden="1">"Application:FINANCE|Application:FINANCE|Account:GOI|Category:ACTUAL_CON|Datasrc:TOTALADJ|Department:D_REST_OUTLET|Intco:All_InterCo|Rptcurrency:LC|Time:2015.TOTAL|Measures:PERIODIC"</definedName>
    <definedName name="Ev__LimitedCV" localSheetId="13" hidden="1">"Application:FINANCE|Application:FINANCE|Account:GOI|Category:ACTUAL_CON|Datasrc:TOTALADJ|Department:D_REST_OUTLET|Intco:All_InterCo|Rptcurrency:LC|Time:2015.TOTAL|Measures:PERIODIC"</definedName>
    <definedName name="Ev__LimitedCV" localSheetId="14" hidden="1">"Application:FINANCE|Application:FINANCE|Account:GOI|Category:ACTUAL_CON|Datasrc:TOTALADJ|Department:D_REST_OUTLET|Intco:All_InterCo|Rptcurrency:LC|Time:2015.TOTAL|Measures:PERIODIC"</definedName>
    <definedName name="Ev__LimitedCV" localSheetId="15" hidden="1">"Application:FINANCE|Application:FINANCE|Account:GOI|Category:ACTUAL_CON|Datasrc:TOTALADJ|Department:D_REST_OUTLET|Intco:All_InterCo|Rptcurrency:LC|Time:2015.TOTAL|Measures:PERIODIC"</definedName>
    <definedName name="Ev__LimitedCV" localSheetId="16" hidden="1">"Application:FINANCE|Application:FINANCE|Account:GOI|Category:ACTUAL_CON|Datasrc:TOTALADJ|Department:D_REST_OUTLET|Intco:All_InterCo|Rptcurrency:LC|Time:2015.TOTAL|Measures:PERIODIC"</definedName>
    <definedName name="Ev__LimitedCV" localSheetId="17" hidden="1">"Application:FINANCE|Application:FINANCE|Account:GOI|Category:ACTUAL_CON|Datasrc:TOTALADJ|Department:D_REST_OUTLET|Intco:All_InterCo|Rptcurrency:LC|Time:2015.TOTAL|Measures:PERIODIC"</definedName>
    <definedName name="Ev__LimitedCV" localSheetId="18" hidden="1">"Application:FINANCE|Application:FINANCE|Account:GOI|Category:ACTUAL_CON|Datasrc:TOTALADJ|Department:D_REST_OUTLET|Intco:All_InterCo|Rptcurrency:LC|Time:2015.TOTAL|Measures:PERIODIC"</definedName>
    <definedName name="Ev__LimitedCV" localSheetId="19" hidden="1">"Application:FINANCE|Application:FINANCE|Account:GOI|Category:ACTUAL_CON|Datasrc:TOTALADJ|Department:D_REST_OUTLET|Intco:All_InterCo|Rptcurrency:LC|Time:2015.TOTAL|Measures:PERIODIC"</definedName>
    <definedName name="Ev__LimitedCV" localSheetId="20" hidden="1">"Application:FINANCE|Application:FINANCE|Account:GOI|Category:ACTUAL_CON|Datasrc:TOTALADJ|Department:D_REST_OUTLET|Intco:All_InterCo|Rptcurrency:LC|Time:2015.TOTAL|Measures:PERIODIC"</definedName>
    <definedName name="EV__LOCKEDCVW__Finance" hidden="1">"BalanceSheet,BU1334,CURRENT,TOTALADJ,D50,All_InterCo,LC,2019.JAN,Periodic"</definedName>
    <definedName name="EV__LOCKSTATUS__" hidden="1">4</definedName>
    <definedName name="EV__MAXEXPCOLS__" hidden="1">100</definedName>
    <definedName name="EV__MAXEXPROWS__" hidden="1">1000</definedName>
    <definedName name="EV__MEMORYCVW__" hidden="1">1</definedName>
    <definedName name="EV__MEMORYCVW__INFO" hidden="1">"FINANCE"</definedName>
    <definedName name="EV__WBEVMODE__" hidden="1">0</definedName>
    <definedName name="EV__WBREFOPTIONS__" hidden="1">134217728</definedName>
    <definedName name="EV__WBVERSION__" hidden="1">0</definedName>
    <definedName name="MEWarning" hidden="1">1</definedName>
    <definedName name="_xlnm.Print_Area" localSheetId="38">AG!$N$25:$AI$72</definedName>
    <definedName name="_xlnm.Print_Area" localSheetId="23">BCC_CONS!$A$1:$AI$105</definedName>
    <definedName name="_xlnm.Print_Area" localSheetId="24">BCC_CONS_KPI!$N$25:$AI$137</definedName>
    <definedName name="_xlnm.Print_Area" localSheetId="25">BCC_Group!$N$25:$AI$57</definedName>
    <definedName name="_xlnm.Print_Area" localSheetId="26">BCC_KPI_Group!$N$25:$AI$117</definedName>
    <definedName name="_xlnm.Print_Area" localSheetId="28">BCC_KPI_Local!$N$25:$AI$114</definedName>
    <definedName name="_xlnm.Print_Area" localSheetId="27">BCC_Local!$N$25:$AI$56</definedName>
    <definedName name="_xlnm.Print_Area" localSheetId="47">Dining!$N$25:$AI$59</definedName>
    <definedName name="_xlnm.Print_Area" localSheetId="43">EC!$N$25:$AI$37</definedName>
    <definedName name="_xlnm.Print_Area" localSheetId="5">FB_Cons!$N$25:$AI$119</definedName>
    <definedName name="_xlnm.Print_Area" localSheetId="6">FB_KPI!$N$25:$AI$171</definedName>
    <definedName name="_xlnm.Print_Area" localSheetId="35">FB_Retail!$N$25:$AI$72</definedName>
    <definedName name="_xlnm.Print_Area" localSheetId="32">HC_SPA!$N$25:$AI$67</definedName>
    <definedName name="_xlnm.Print_Area" localSheetId="39">HR_Detail!$N$25:$AI$45</definedName>
    <definedName name="_xlnm.Print_Area" localSheetId="21">IRD!$N$25:$AI$87</definedName>
    <definedName name="_xlnm.Print_Area" localSheetId="22">IRD_KPI!$N$25:$AI$141</definedName>
    <definedName name="_xlnm.Print_Area" localSheetId="40">IT!$N$25:$AI$67</definedName>
    <definedName name="_xlnm.Print_Area" localSheetId="46">Laundry!$N$25:$AI$60</definedName>
    <definedName name="_xlnm.Print_Area" localSheetId="44">Mgt_Fees!$N$25:$AI$36</definedName>
    <definedName name="_xlnm.Print_Area" localSheetId="29">Mini_Bar!$N$25:$AI$73</definedName>
    <definedName name="_xlnm.Print_Area" localSheetId="36">Minor_Op!$N$25:$AI$98</definedName>
    <definedName name="_xlnm.Print_Area" localSheetId="37">MISC_INC!$N$25:$AI$52</definedName>
    <definedName name="_xlnm.Print_Area" localSheetId="3">MMA!$N$25:$AI$152</definedName>
    <definedName name="_xlnm.Print_Area" localSheetId="45">Non_Op!$N$25:$AI$67</definedName>
    <definedName name="_xlnm.Print_Area" localSheetId="30">OTH_OP!$M$25:$AH$60</definedName>
    <definedName name="_xlnm.Print_Area" localSheetId="33">Parking!$N$25:$AI$67</definedName>
    <definedName name="_xlnm.Print_Area" localSheetId="42">POM!$N$25:$AI$75</definedName>
    <definedName name="_xlnm.Print_Area" localSheetId="48">PR_Related!$N$25:$AI$63</definedName>
    <definedName name="_xlnm.Print_Area" localSheetId="4">Resv!$N$25:$AI$74</definedName>
    <definedName name="_xlnm.Print_Area" localSheetId="34">Retail!$N$25:$AI$74</definedName>
    <definedName name="_xlnm.Print_Area" localSheetId="2">Rooms!$N$25:$AI$100</definedName>
    <definedName name="_xlnm.Print_Area" localSheetId="41">SM!$N$25:$AI$75</definedName>
    <definedName name="_xlnm.Print_Area" localSheetId="1">Summary!$M$25:$AH$113</definedName>
    <definedName name="_xlnm.Print_Area" localSheetId="31">Telcom_Legacy!$N$25:$AI$64</definedName>
    <definedName name="_xlnm.Print_Area" localSheetId="7">Venue1!$N$25:$AI$119</definedName>
    <definedName name="_xlnm.Print_Area" localSheetId="8">Venue1_KPI!$N$25:$AI$141</definedName>
    <definedName name="_xlnm.Print_Area" localSheetId="9">Venue2!$N$25:$AI$101</definedName>
    <definedName name="_xlnm.Print_Area" localSheetId="10">Venue2_KPI!$N$25:$AI$141</definedName>
    <definedName name="_xlnm.Print_Area" localSheetId="11">Venue3!$N$25:$AI$88</definedName>
    <definedName name="_xlnm.Print_Area" localSheetId="12">Venue3_KPI!$N$25:$AI$141</definedName>
    <definedName name="_xlnm.Print_Area" localSheetId="13">Venue4!$N$25:$AI$88</definedName>
    <definedName name="_xlnm.Print_Area" localSheetId="14">Venue4_KPI!$N$25:$AI$141</definedName>
    <definedName name="_xlnm.Print_Area" localSheetId="15">Venue5!$N$25:$AI$88</definedName>
    <definedName name="_xlnm.Print_Area" localSheetId="16">Venue5_KPI!$N$25:$AI$141</definedName>
    <definedName name="_xlnm.Print_Area" localSheetId="17">Venue6!$N$25:$AI$88</definedName>
    <definedName name="_xlnm.Print_Area" localSheetId="18">Venue6_KPI!$N$25:$AI$141</definedName>
    <definedName name="_xlnm.Print_Area" localSheetId="19">VenueBar!$N$25:$AI$109</definedName>
    <definedName name="_xlnm.Print_Area" localSheetId="20">VenueBar_KPI!$N$25:$AI$141</definedName>
    <definedName name="_xlnm.Print_Titles" localSheetId="38">AG!$25:$32</definedName>
    <definedName name="_xlnm.Print_Titles" localSheetId="24">BCC_CONS_KPI!$25:$32</definedName>
    <definedName name="_xlnm.Print_Titles" localSheetId="25">BCC_Group!$25:$32</definedName>
    <definedName name="_xlnm.Print_Titles" localSheetId="26">BCC_KPI_Group!$25:$32</definedName>
    <definedName name="_xlnm.Print_Titles" localSheetId="28">BCC_KPI_Local!$25:$32</definedName>
    <definedName name="_xlnm.Print_Titles" localSheetId="27">BCC_Local!$25:$32</definedName>
    <definedName name="_xlnm.Print_Titles" localSheetId="47">Dining!$25:$32</definedName>
    <definedName name="_xlnm.Print_Titles" localSheetId="43">EC!$25:$32</definedName>
    <definedName name="_xlnm.Print_Titles" localSheetId="5">FB_Cons!$25:$32</definedName>
    <definedName name="_xlnm.Print_Titles" localSheetId="6">FB_KPI!$25:$32</definedName>
    <definedName name="_xlnm.Print_Titles" localSheetId="35">FB_Retail!$25:$32</definedName>
    <definedName name="_xlnm.Print_Titles" localSheetId="32">HC_SPA!$25:$32</definedName>
    <definedName name="_xlnm.Print_Titles" localSheetId="39">HR_Detail!$25:$32</definedName>
    <definedName name="_xlnm.Print_Titles" localSheetId="21">IRD!$25:$32</definedName>
    <definedName name="_xlnm.Print_Titles" localSheetId="22">IRD_KPI!$25:$32</definedName>
    <definedName name="_xlnm.Print_Titles" localSheetId="40">IT!$25:$32</definedName>
    <definedName name="_xlnm.Print_Titles" localSheetId="46">Laundry!$25:$32</definedName>
    <definedName name="_xlnm.Print_Titles" localSheetId="44">Mgt_Fees!$25:$32</definedName>
    <definedName name="_xlnm.Print_Titles" localSheetId="29">Mini_Bar!$25:$32</definedName>
    <definedName name="_xlnm.Print_Titles" localSheetId="36">Minor_Op!$25:$32</definedName>
    <definedName name="_xlnm.Print_Titles" localSheetId="37">MISC_INC!$25:$32</definedName>
    <definedName name="_xlnm.Print_Titles" localSheetId="3">MMA!$25:$32</definedName>
    <definedName name="_xlnm.Print_Titles" localSheetId="45">Non_Op!$25:$32</definedName>
    <definedName name="_xlnm.Print_Titles" localSheetId="30">OTH_OP!$25:$32</definedName>
    <definedName name="_xlnm.Print_Titles" localSheetId="33">Parking!$25:$32</definedName>
    <definedName name="_xlnm.Print_Titles" localSheetId="42">POM!$25:$32</definedName>
    <definedName name="_xlnm.Print_Titles" localSheetId="48">PR_Related!$25:$32</definedName>
    <definedName name="_xlnm.Print_Titles" localSheetId="4">Resv!$25:$32</definedName>
    <definedName name="_xlnm.Print_Titles" localSheetId="34">Retail!$25:$32</definedName>
    <definedName name="_xlnm.Print_Titles" localSheetId="2">Rooms!$25:$32</definedName>
    <definedName name="_xlnm.Print_Titles" localSheetId="41">SM!$25:$32</definedName>
    <definedName name="_xlnm.Print_Titles" localSheetId="1">Summary!$25:$32</definedName>
    <definedName name="_xlnm.Print_Titles" localSheetId="31">Telcom_Legacy!$25:$32</definedName>
    <definedName name="_xlnm.Print_Titles" localSheetId="7">Venue1!$25:$32</definedName>
    <definedName name="_xlnm.Print_Titles" localSheetId="8">Venue1_KPI!$25:$32</definedName>
    <definedName name="_xlnm.Print_Titles" localSheetId="9">Venue2!$25:$32</definedName>
    <definedName name="_xlnm.Print_Titles" localSheetId="10">Venue2_KPI!$25:$32</definedName>
    <definedName name="_xlnm.Print_Titles" localSheetId="11">Venue3!$25:$32</definedName>
    <definedName name="_xlnm.Print_Titles" localSheetId="12">Venue3_KPI!$25:$32</definedName>
    <definedName name="_xlnm.Print_Titles" localSheetId="13">Venue4!$25:$32</definedName>
    <definedName name="_xlnm.Print_Titles" localSheetId="14">Venue4_KPI!$25:$32</definedName>
    <definedName name="_xlnm.Print_Titles" localSheetId="15">Venue5!$25:$32</definedName>
    <definedName name="_xlnm.Print_Titles" localSheetId="16">Venue5_KPI!$25:$32</definedName>
    <definedName name="_xlnm.Print_Titles" localSheetId="17">Venue6!$25:$32</definedName>
    <definedName name="_xlnm.Print_Titles" localSheetId="18">Venue6_KPI!$25:$32</definedName>
    <definedName name="_xlnm.Print_Titles" localSheetId="19">VenueBar!$25:$32</definedName>
    <definedName name="_xlnm.Print_Titles" localSheetId="20">VenueBar_KPI!$25:$32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66" i="36" l="1"/>
  <c r="AD66" i="36"/>
  <c r="O66" i="36"/>
  <c r="P66" i="36"/>
  <c r="Q66" i="36"/>
  <c r="R66" i="36"/>
  <c r="S66" i="36"/>
  <c r="T66" i="36"/>
  <c r="U66" i="36"/>
  <c r="V66" i="36"/>
  <c r="W66" i="36"/>
  <c r="X66" i="36"/>
  <c r="Y66" i="36"/>
  <c r="Z66" i="36"/>
  <c r="N63" i="36"/>
  <c r="N66" i="36" s="1"/>
  <c r="N64" i="36"/>
  <c r="AH64" i="36"/>
  <c r="AE64" i="36"/>
  <c r="I63" i="36"/>
  <c r="AA63" i="36" s="1"/>
  <c r="J63" i="36"/>
  <c r="I64" i="36"/>
  <c r="AA64" i="36" s="1"/>
  <c r="J64" i="36"/>
  <c r="AK51" i="36"/>
  <c r="AH56" i="36"/>
  <c r="AH57" i="36"/>
  <c r="AE51" i="36"/>
  <c r="AE54" i="36"/>
  <c r="AE57" i="36"/>
  <c r="AE58" i="36"/>
  <c r="I51" i="36"/>
  <c r="J51" i="36"/>
  <c r="L51" i="36"/>
  <c r="M51" i="36"/>
  <c r="N51" i="36"/>
  <c r="I52" i="36"/>
  <c r="AA52" i="36" s="1"/>
  <c r="J52" i="36"/>
  <c r="K52" i="36"/>
  <c r="L52" i="36"/>
  <c r="M52" i="36"/>
  <c r="N52" i="36"/>
  <c r="I53" i="36"/>
  <c r="AA53" i="36" s="1"/>
  <c r="J53" i="36"/>
  <c r="L53" i="36"/>
  <c r="M53" i="36"/>
  <c r="N53" i="36"/>
  <c r="I54" i="36"/>
  <c r="J54" i="36"/>
  <c r="L54" i="36"/>
  <c r="M54" i="36"/>
  <c r="N54" i="36"/>
  <c r="I55" i="36"/>
  <c r="AA55" i="36" s="1"/>
  <c r="J55" i="36"/>
  <c r="K55" i="36"/>
  <c r="L55" i="36"/>
  <c r="M55" i="36"/>
  <c r="N55" i="36"/>
  <c r="I56" i="36"/>
  <c r="J56" i="36"/>
  <c r="L56" i="36"/>
  <c r="M56" i="36"/>
  <c r="N56" i="36"/>
  <c r="I57" i="36"/>
  <c r="AA57" i="36" s="1"/>
  <c r="AI57" i="36" s="1"/>
  <c r="J57" i="36"/>
  <c r="L57" i="36"/>
  <c r="M57" i="36"/>
  <c r="N57" i="36"/>
  <c r="I58" i="36"/>
  <c r="J58" i="36"/>
  <c r="L58" i="36"/>
  <c r="M58" i="36"/>
  <c r="N58" i="36"/>
  <c r="I59" i="36"/>
  <c r="J59" i="36"/>
  <c r="L59" i="36"/>
  <c r="M59" i="36"/>
  <c r="N59" i="36"/>
  <c r="I60" i="36"/>
  <c r="J60" i="36"/>
  <c r="L60" i="36"/>
  <c r="M60" i="36"/>
  <c r="N60" i="36"/>
  <c r="I61" i="36"/>
  <c r="AA61" i="36" s="1"/>
  <c r="J61" i="36"/>
  <c r="L61" i="36"/>
  <c r="M61" i="36"/>
  <c r="N61" i="36"/>
  <c r="AH43" i="36"/>
  <c r="AL47" i="36"/>
  <c r="AE43" i="36"/>
  <c r="AE44" i="36"/>
  <c r="AE46" i="36"/>
  <c r="I43" i="36"/>
  <c r="J43" i="36"/>
  <c r="L43" i="36"/>
  <c r="M43" i="36"/>
  <c r="N43" i="36"/>
  <c r="I44" i="36"/>
  <c r="K44" i="36" s="1"/>
  <c r="J44" i="36"/>
  <c r="L44" i="36"/>
  <c r="M44" i="36"/>
  <c r="N44" i="36"/>
  <c r="I45" i="36"/>
  <c r="AA45" i="36" s="1"/>
  <c r="J45" i="36"/>
  <c r="K45" i="36"/>
  <c r="L45" i="36"/>
  <c r="M45" i="36"/>
  <c r="N45" i="36"/>
  <c r="I46" i="36"/>
  <c r="J46" i="36"/>
  <c r="L46" i="36"/>
  <c r="M46" i="36"/>
  <c r="N46" i="36"/>
  <c r="I47" i="36"/>
  <c r="J47" i="36"/>
  <c r="L47" i="36"/>
  <c r="M47" i="36"/>
  <c r="N47" i="36"/>
  <c r="I48" i="36"/>
  <c r="J48" i="36"/>
  <c r="L48" i="36"/>
  <c r="M48" i="36"/>
  <c r="N48" i="36"/>
  <c r="AE35" i="36"/>
  <c r="AE38" i="36"/>
  <c r="AE39" i="36"/>
  <c r="AA37" i="36"/>
  <c r="I35" i="36"/>
  <c r="J35" i="36"/>
  <c r="L35" i="36"/>
  <c r="M35" i="36"/>
  <c r="N35" i="36"/>
  <c r="I36" i="36"/>
  <c r="AA36" i="36" s="1"/>
  <c r="J36" i="36"/>
  <c r="L36" i="36"/>
  <c r="M36" i="36"/>
  <c r="N36" i="36"/>
  <c r="I37" i="36"/>
  <c r="J37" i="36"/>
  <c r="K37" i="36"/>
  <c r="L37" i="36"/>
  <c r="M37" i="36"/>
  <c r="N37" i="36"/>
  <c r="I38" i="36"/>
  <c r="AA38" i="36" s="1"/>
  <c r="J38" i="36"/>
  <c r="L38" i="36"/>
  <c r="M38" i="36"/>
  <c r="N38" i="36"/>
  <c r="I39" i="36"/>
  <c r="J39" i="36"/>
  <c r="L39" i="36"/>
  <c r="M39" i="36"/>
  <c r="N39" i="36"/>
  <c r="I40" i="36"/>
  <c r="J40" i="36"/>
  <c r="L40" i="36"/>
  <c r="M40" i="36"/>
  <c r="N40" i="36"/>
  <c r="N33" i="36"/>
  <c r="I33" i="36"/>
  <c r="J33" i="36"/>
  <c r="AG32" i="36"/>
  <c r="AL32" i="36" s="1"/>
  <c r="AD32" i="36"/>
  <c r="AK32" i="36" s="1"/>
  <c r="O32" i="36"/>
  <c r="P32" i="36"/>
  <c r="Q32" i="36"/>
  <c r="R32" i="36"/>
  <c r="S32" i="36"/>
  <c r="T32" i="36"/>
  <c r="U32" i="36"/>
  <c r="V32" i="36"/>
  <c r="W32" i="36"/>
  <c r="X32" i="36"/>
  <c r="Y32" i="36"/>
  <c r="Z32" i="36"/>
  <c r="AJ32" i="36" s="1"/>
  <c r="AJ31" i="36"/>
  <c r="AK31" i="36"/>
  <c r="AM31" i="36" s="1"/>
  <c r="AL31" i="36"/>
  <c r="AN31" i="36"/>
  <c r="AG31" i="36"/>
  <c r="AD31" i="36"/>
  <c r="O31" i="36"/>
  <c r="P31" i="36"/>
  <c r="Q31" i="36"/>
  <c r="R31" i="36"/>
  <c r="S31" i="36"/>
  <c r="T31" i="36"/>
  <c r="U31" i="36"/>
  <c r="V31" i="36"/>
  <c r="W31" i="36"/>
  <c r="X31" i="36"/>
  <c r="Y31" i="36"/>
  <c r="Z31" i="36"/>
  <c r="AA31" i="36"/>
  <c r="N26" i="36"/>
  <c r="N27" i="36"/>
  <c r="N28" i="36"/>
  <c r="N29" i="36"/>
  <c r="B22" i="36"/>
  <c r="B23" i="36"/>
  <c r="AG16" i="36"/>
  <c r="AG19" i="36"/>
  <c r="AH55" i="36" s="1"/>
  <c r="AG20" i="36"/>
  <c r="AD19" i="36"/>
  <c r="AE63" i="36" s="1"/>
  <c r="AD20" i="36"/>
  <c r="N19" i="36"/>
  <c r="O19" i="36"/>
  <c r="P19" i="36"/>
  <c r="Q19" i="36"/>
  <c r="R19" i="36"/>
  <c r="S19" i="36"/>
  <c r="T19" i="36"/>
  <c r="U19" i="36"/>
  <c r="V19" i="36"/>
  <c r="W19" i="36"/>
  <c r="X19" i="36"/>
  <c r="Y19" i="36"/>
  <c r="Z19" i="36"/>
  <c r="N20" i="36"/>
  <c r="O20" i="36"/>
  <c r="P20" i="36"/>
  <c r="Q20" i="36"/>
  <c r="R20" i="36"/>
  <c r="S20" i="36"/>
  <c r="T20" i="36"/>
  <c r="U20" i="36"/>
  <c r="V20" i="36"/>
  <c r="W20" i="36"/>
  <c r="X20" i="36"/>
  <c r="Y20" i="36"/>
  <c r="Z20" i="36"/>
  <c r="B17" i="36"/>
  <c r="B18" i="36"/>
  <c r="B19" i="36"/>
  <c r="O17" i="36"/>
  <c r="P17" i="36"/>
  <c r="Q17" i="36"/>
  <c r="R17" i="36"/>
  <c r="S17" i="36"/>
  <c r="T17" i="36"/>
  <c r="U17" i="36"/>
  <c r="V17" i="36"/>
  <c r="W17" i="36"/>
  <c r="X17" i="36"/>
  <c r="Y17" i="36"/>
  <c r="Z17" i="36"/>
  <c r="O16" i="36"/>
  <c r="P16" i="36"/>
  <c r="Q16" i="36"/>
  <c r="R16" i="36"/>
  <c r="S16" i="36"/>
  <c r="T16" i="36"/>
  <c r="U16" i="36"/>
  <c r="V16" i="36"/>
  <c r="W16" i="36"/>
  <c r="X16" i="36"/>
  <c r="Y16" i="36"/>
  <c r="A14" i="36"/>
  <c r="AG12" i="36"/>
  <c r="AG13" i="36"/>
  <c r="AD12" i="36"/>
  <c r="AD13" i="36"/>
  <c r="B12" i="36"/>
  <c r="B13" i="36"/>
  <c r="O12" i="36"/>
  <c r="P12" i="36"/>
  <c r="Q12" i="36"/>
  <c r="R12" i="36"/>
  <c r="S12" i="36"/>
  <c r="T12" i="36"/>
  <c r="U12" i="36"/>
  <c r="V12" i="36"/>
  <c r="W12" i="36"/>
  <c r="X12" i="36"/>
  <c r="Y12" i="36"/>
  <c r="Z12" i="36"/>
  <c r="AA12" i="36"/>
  <c r="O13" i="36"/>
  <c r="P13" i="36"/>
  <c r="Q13" i="36"/>
  <c r="R13" i="36"/>
  <c r="S13" i="36"/>
  <c r="T13" i="36"/>
  <c r="U13" i="36"/>
  <c r="V13" i="36"/>
  <c r="W13" i="36"/>
  <c r="X13" i="36"/>
  <c r="Y13" i="36"/>
  <c r="Z13" i="36"/>
  <c r="AA13" i="36"/>
  <c r="O11" i="36"/>
  <c r="P11" i="36"/>
  <c r="Q11" i="36"/>
  <c r="R11" i="36"/>
  <c r="S11" i="36"/>
  <c r="T11" i="36"/>
  <c r="U11" i="36"/>
  <c r="V11" i="36"/>
  <c r="W11" i="36"/>
  <c r="X11" i="36"/>
  <c r="Y11" i="36"/>
  <c r="Z11" i="36"/>
  <c r="C10" i="36"/>
  <c r="D10" i="36"/>
  <c r="C9" i="36"/>
  <c r="C1" i="36"/>
  <c r="C2" i="36"/>
  <c r="C3" i="36"/>
  <c r="C4" i="36"/>
  <c r="C5" i="36"/>
  <c r="C6" i="36"/>
  <c r="C7" i="36"/>
  <c r="C8" i="36"/>
  <c r="E6" i="36"/>
  <c r="E4" i="36"/>
  <c r="F4" i="36"/>
  <c r="B3" i="36"/>
  <c r="AG62" i="35"/>
  <c r="AD62" i="35"/>
  <c r="O62" i="35"/>
  <c r="P62" i="35"/>
  <c r="Q62" i="35"/>
  <c r="R62" i="35"/>
  <c r="S62" i="35"/>
  <c r="T62" i="35"/>
  <c r="U62" i="35"/>
  <c r="V62" i="35"/>
  <c r="W62" i="35"/>
  <c r="X62" i="35"/>
  <c r="Y62" i="35"/>
  <c r="Z62" i="35"/>
  <c r="I62" i="35"/>
  <c r="J62" i="35"/>
  <c r="AD57" i="35"/>
  <c r="AE57" i="35" s="1"/>
  <c r="AG57" i="35"/>
  <c r="AH57" i="35" s="1"/>
  <c r="O57" i="35"/>
  <c r="P57" i="35"/>
  <c r="Q57" i="35"/>
  <c r="AA57" i="35" s="1"/>
  <c r="R57" i="35"/>
  <c r="S57" i="35"/>
  <c r="T57" i="35"/>
  <c r="U57" i="35"/>
  <c r="V57" i="35"/>
  <c r="W57" i="35"/>
  <c r="X57" i="35"/>
  <c r="Y57" i="35"/>
  <c r="Z57" i="35"/>
  <c r="N55" i="35"/>
  <c r="N56" i="35"/>
  <c r="AH55" i="35"/>
  <c r="AH56" i="35"/>
  <c r="AL56" i="35"/>
  <c r="AE55" i="35"/>
  <c r="AE56" i="35"/>
  <c r="I55" i="35"/>
  <c r="AA55" i="35" s="1"/>
  <c r="J55" i="35"/>
  <c r="I56" i="35"/>
  <c r="AA56" i="35" s="1"/>
  <c r="J56" i="35"/>
  <c r="B54" i="35"/>
  <c r="AD50" i="35"/>
  <c r="AG50" i="35"/>
  <c r="I50" i="35"/>
  <c r="K50" i="35" s="1"/>
  <c r="J50" i="35"/>
  <c r="L50" i="35"/>
  <c r="M50" i="35"/>
  <c r="N50" i="35"/>
  <c r="O50" i="35"/>
  <c r="P50" i="35"/>
  <c r="Q50" i="35"/>
  <c r="R50" i="35"/>
  <c r="S50" i="35"/>
  <c r="T50" i="35"/>
  <c r="U50" i="35"/>
  <c r="V50" i="35"/>
  <c r="W50" i="35"/>
  <c r="X50" i="35"/>
  <c r="Y50" i="35"/>
  <c r="Z50" i="35"/>
  <c r="B48" i="35"/>
  <c r="B49" i="35"/>
  <c r="B50" i="35"/>
  <c r="AD48" i="35"/>
  <c r="AE48" i="35" s="1"/>
  <c r="N48" i="35"/>
  <c r="S48" i="35"/>
  <c r="S52" i="35" s="1"/>
  <c r="I48" i="35"/>
  <c r="J48" i="35"/>
  <c r="AD46" i="35"/>
  <c r="AE46" i="35"/>
  <c r="AG46" i="35"/>
  <c r="AH46" i="35" s="1"/>
  <c r="N46" i="35"/>
  <c r="O46" i="35"/>
  <c r="O48" i="35" s="1"/>
  <c r="P46" i="35"/>
  <c r="P48" i="35" s="1"/>
  <c r="P52" i="35" s="1"/>
  <c r="P59" i="35" s="1"/>
  <c r="Q46" i="35"/>
  <c r="Q48" i="35" s="1"/>
  <c r="Q52" i="35" s="1"/>
  <c r="Q59" i="35" s="1"/>
  <c r="R46" i="35"/>
  <c r="R48" i="35" s="1"/>
  <c r="R52" i="35" s="1"/>
  <c r="R59" i="35" s="1"/>
  <c r="S46" i="35"/>
  <c r="T46" i="35"/>
  <c r="T48" i="35" s="1"/>
  <c r="T52" i="35" s="1"/>
  <c r="T59" i="35" s="1"/>
  <c r="U46" i="35"/>
  <c r="U48" i="35" s="1"/>
  <c r="U52" i="35" s="1"/>
  <c r="V46" i="35"/>
  <c r="V48" i="35" s="1"/>
  <c r="W46" i="35"/>
  <c r="W48" i="35" s="1"/>
  <c r="X46" i="35"/>
  <c r="X48" i="35" s="1"/>
  <c r="X52" i="35" s="1"/>
  <c r="X59" i="35" s="1"/>
  <c r="Y46" i="35"/>
  <c r="Y48" i="35" s="1"/>
  <c r="Y52" i="35" s="1"/>
  <c r="Y59" i="35" s="1"/>
  <c r="Z46" i="35"/>
  <c r="Z48" i="35" s="1"/>
  <c r="Z52" i="35" s="1"/>
  <c r="Z59" i="35" s="1"/>
  <c r="I46" i="35"/>
  <c r="J46" i="35"/>
  <c r="A45" i="35"/>
  <c r="AH44" i="35"/>
  <c r="AH45" i="35"/>
  <c r="AE44" i="35"/>
  <c r="AE45" i="35"/>
  <c r="I44" i="35"/>
  <c r="K44" i="35" s="1"/>
  <c r="J44" i="35"/>
  <c r="L44" i="35"/>
  <c r="M44" i="35"/>
  <c r="N44" i="35"/>
  <c r="I45" i="35"/>
  <c r="AA45" i="35" s="1"/>
  <c r="AB45" i="35" s="1"/>
  <c r="J45" i="35"/>
  <c r="L45" i="35"/>
  <c r="M45" i="35"/>
  <c r="N45" i="35"/>
  <c r="N43" i="35"/>
  <c r="I43" i="35"/>
  <c r="J43" i="35"/>
  <c r="AH38" i="35"/>
  <c r="AH39" i="35"/>
  <c r="AH40" i="35"/>
  <c r="AL40" i="35"/>
  <c r="AH41" i="35"/>
  <c r="AE38" i="35"/>
  <c r="AE39" i="35"/>
  <c r="AE40" i="35"/>
  <c r="AE41" i="35"/>
  <c r="AA41" i="35"/>
  <c r="AF41" i="35" s="1"/>
  <c r="I38" i="35"/>
  <c r="AA38" i="35" s="1"/>
  <c r="J38" i="35"/>
  <c r="L38" i="35"/>
  <c r="M38" i="35"/>
  <c r="N38" i="35"/>
  <c r="I39" i="35"/>
  <c r="K39" i="35" s="1"/>
  <c r="J39" i="35"/>
  <c r="L39" i="35"/>
  <c r="M39" i="35"/>
  <c r="N39" i="35"/>
  <c r="I40" i="35"/>
  <c r="K40" i="35" s="1"/>
  <c r="J40" i="35"/>
  <c r="L40" i="35"/>
  <c r="M40" i="35"/>
  <c r="N40" i="35"/>
  <c r="I41" i="35"/>
  <c r="K41" i="35" s="1"/>
  <c r="J41" i="35"/>
  <c r="L41" i="35"/>
  <c r="M41" i="35"/>
  <c r="N41" i="35"/>
  <c r="N34" i="35"/>
  <c r="N35" i="35"/>
  <c r="N36" i="35"/>
  <c r="N37" i="35"/>
  <c r="I36" i="35"/>
  <c r="J36" i="35"/>
  <c r="I37" i="35"/>
  <c r="J37" i="35"/>
  <c r="AH34" i="35"/>
  <c r="AL34" i="35"/>
  <c r="AH35" i="35"/>
  <c r="AE34" i="35"/>
  <c r="AE35" i="35"/>
  <c r="AA35" i="35"/>
  <c r="AB35" i="35" s="1"/>
  <c r="I34" i="35"/>
  <c r="K34" i="35" s="1"/>
  <c r="J34" i="35"/>
  <c r="L34" i="35"/>
  <c r="M34" i="35"/>
  <c r="I35" i="35"/>
  <c r="J35" i="35"/>
  <c r="K35" i="35"/>
  <c r="L35" i="35"/>
  <c r="M35" i="35"/>
  <c r="AG32" i="35"/>
  <c r="AL32" i="35" s="1"/>
  <c r="AD32" i="35"/>
  <c r="AK32" i="35" s="1"/>
  <c r="O32" i="35"/>
  <c r="P32" i="35"/>
  <c r="Q32" i="35"/>
  <c r="R32" i="35"/>
  <c r="S32" i="35"/>
  <c r="T32" i="35"/>
  <c r="U32" i="35"/>
  <c r="V32" i="35"/>
  <c r="W32" i="35"/>
  <c r="X32" i="35"/>
  <c r="Y32" i="35"/>
  <c r="Z32" i="35"/>
  <c r="AJ32" i="35" s="1"/>
  <c r="AJ31" i="35"/>
  <c r="AK31" i="35"/>
  <c r="AM31" i="35" s="1"/>
  <c r="AL31" i="35"/>
  <c r="AN31" i="35" s="1"/>
  <c r="AG31" i="35"/>
  <c r="AD31" i="35"/>
  <c r="O31" i="35"/>
  <c r="P31" i="35"/>
  <c r="Q31" i="35"/>
  <c r="R31" i="35"/>
  <c r="S31" i="35"/>
  <c r="T31" i="35"/>
  <c r="U31" i="35"/>
  <c r="V31" i="35"/>
  <c r="W31" i="35"/>
  <c r="X31" i="35"/>
  <c r="Y31" i="35"/>
  <c r="Z31" i="35"/>
  <c r="AA31" i="35"/>
  <c r="N26" i="35"/>
  <c r="N27" i="35"/>
  <c r="N28" i="35"/>
  <c r="N29" i="35"/>
  <c r="B22" i="35"/>
  <c r="B23" i="35"/>
  <c r="AG16" i="35"/>
  <c r="AG19" i="35"/>
  <c r="AG20" i="35"/>
  <c r="AL44" i="35" s="1"/>
  <c r="AD19" i="35"/>
  <c r="AD20" i="35"/>
  <c r="AK57" i="35" s="1"/>
  <c r="N19" i="35"/>
  <c r="O19" i="35"/>
  <c r="P19" i="35"/>
  <c r="Q19" i="35"/>
  <c r="R19" i="35"/>
  <c r="S19" i="35"/>
  <c r="T19" i="35"/>
  <c r="U19" i="35"/>
  <c r="V19" i="35"/>
  <c r="W19" i="35"/>
  <c r="X19" i="35"/>
  <c r="Y19" i="35"/>
  <c r="Z19" i="35"/>
  <c r="N20" i="35"/>
  <c r="O20" i="35"/>
  <c r="P20" i="35"/>
  <c r="Q20" i="35"/>
  <c r="R20" i="35"/>
  <c r="S20" i="35"/>
  <c r="T20" i="35"/>
  <c r="U20" i="35"/>
  <c r="V20" i="35"/>
  <c r="W20" i="35"/>
  <c r="X20" i="35"/>
  <c r="Y20" i="35"/>
  <c r="Z20" i="35"/>
  <c r="B17" i="35"/>
  <c r="B18" i="35"/>
  <c r="B19" i="35"/>
  <c r="O17" i="35"/>
  <c r="P17" i="35"/>
  <c r="Q17" i="35"/>
  <c r="R17" i="35"/>
  <c r="S17" i="35"/>
  <c r="T17" i="35"/>
  <c r="U17" i="35"/>
  <c r="V17" i="35"/>
  <c r="W17" i="35"/>
  <c r="X17" i="35"/>
  <c r="Y17" i="35"/>
  <c r="Z17" i="35"/>
  <c r="O16" i="35"/>
  <c r="P16" i="35"/>
  <c r="Q16" i="35"/>
  <c r="R16" i="35"/>
  <c r="S16" i="35"/>
  <c r="T16" i="35"/>
  <c r="U16" i="35"/>
  <c r="V16" i="35"/>
  <c r="W16" i="35"/>
  <c r="X16" i="35"/>
  <c r="Y16" i="35"/>
  <c r="A14" i="35"/>
  <c r="AG12" i="35"/>
  <c r="AG13" i="35"/>
  <c r="AD12" i="35"/>
  <c r="AD13" i="35"/>
  <c r="B12" i="35"/>
  <c r="B13" i="35"/>
  <c r="O12" i="35"/>
  <c r="P12" i="35"/>
  <c r="Q12" i="35"/>
  <c r="R12" i="35"/>
  <c r="S12" i="35"/>
  <c r="T12" i="35"/>
  <c r="U12" i="35"/>
  <c r="V12" i="35"/>
  <c r="W12" i="35"/>
  <c r="X12" i="35"/>
  <c r="Y12" i="35"/>
  <c r="Z12" i="35"/>
  <c r="AA12" i="35"/>
  <c r="O13" i="35"/>
  <c r="P13" i="35"/>
  <c r="Q13" i="35"/>
  <c r="R13" i="35"/>
  <c r="S13" i="35"/>
  <c r="T13" i="35"/>
  <c r="U13" i="35"/>
  <c r="V13" i="35"/>
  <c r="W13" i="35"/>
  <c r="X13" i="35"/>
  <c r="Y13" i="35"/>
  <c r="Z13" i="35"/>
  <c r="AA13" i="35"/>
  <c r="O11" i="35"/>
  <c r="P11" i="35"/>
  <c r="Q11" i="35"/>
  <c r="R11" i="35"/>
  <c r="S11" i="35"/>
  <c r="T11" i="35"/>
  <c r="U11" i="35"/>
  <c r="V11" i="35"/>
  <c r="W11" i="35"/>
  <c r="X11" i="35"/>
  <c r="Y11" i="35"/>
  <c r="Z11" i="35"/>
  <c r="C10" i="35"/>
  <c r="D10" i="35"/>
  <c r="C9" i="35"/>
  <c r="C1" i="35"/>
  <c r="C2" i="35"/>
  <c r="C3" i="35"/>
  <c r="C4" i="35"/>
  <c r="C5" i="35"/>
  <c r="C6" i="35"/>
  <c r="C7" i="35"/>
  <c r="C8" i="35"/>
  <c r="E6" i="35"/>
  <c r="E4" i="35"/>
  <c r="F4" i="35"/>
  <c r="B3" i="35"/>
  <c r="B67" i="34"/>
  <c r="AG63" i="34"/>
  <c r="AD63" i="34"/>
  <c r="O63" i="34"/>
  <c r="P63" i="34"/>
  <c r="Q63" i="34"/>
  <c r="R63" i="34"/>
  <c r="S63" i="34"/>
  <c r="T63" i="34"/>
  <c r="U63" i="34"/>
  <c r="V63" i="34"/>
  <c r="W63" i="34"/>
  <c r="X63" i="34"/>
  <c r="Y63" i="34"/>
  <c r="Z63" i="34"/>
  <c r="I63" i="34"/>
  <c r="J63" i="34"/>
  <c r="B61" i="34"/>
  <c r="B62" i="34"/>
  <c r="B63" i="34"/>
  <c r="AD58" i="34"/>
  <c r="AE58" i="34" s="1"/>
  <c r="AG58" i="34"/>
  <c r="AH58" i="34"/>
  <c r="O58" i="34"/>
  <c r="P58" i="34"/>
  <c r="Q58" i="34"/>
  <c r="R58" i="34"/>
  <c r="S58" i="34"/>
  <c r="T58" i="34"/>
  <c r="U58" i="34"/>
  <c r="V58" i="34"/>
  <c r="W58" i="34"/>
  <c r="X58" i="34"/>
  <c r="Y58" i="34"/>
  <c r="Z58" i="34"/>
  <c r="A58" i="34"/>
  <c r="N56" i="34"/>
  <c r="N57" i="34"/>
  <c r="AH56" i="34"/>
  <c r="AH57" i="34"/>
  <c r="AE56" i="34"/>
  <c r="AE57" i="34"/>
  <c r="AA56" i="34"/>
  <c r="AA57" i="34"/>
  <c r="I56" i="34"/>
  <c r="J56" i="34"/>
  <c r="I57" i="34"/>
  <c r="J57" i="34"/>
  <c r="B54" i="34"/>
  <c r="R53" i="34"/>
  <c r="AD51" i="34"/>
  <c r="AE51" i="34" s="1"/>
  <c r="AG51" i="34"/>
  <c r="AH51" i="34" s="1"/>
  <c r="O51" i="34"/>
  <c r="P51" i="34"/>
  <c r="Q51" i="34"/>
  <c r="R51" i="34"/>
  <c r="S51" i="34"/>
  <c r="T51" i="34"/>
  <c r="U51" i="34"/>
  <c r="V51" i="34"/>
  <c r="W51" i="34"/>
  <c r="X51" i="34"/>
  <c r="Y51" i="34"/>
  <c r="Z51" i="34"/>
  <c r="I50" i="34"/>
  <c r="J50" i="34"/>
  <c r="B48" i="34"/>
  <c r="B49" i="34"/>
  <c r="B50" i="34"/>
  <c r="AH49" i="34"/>
  <c r="AH50" i="34"/>
  <c r="AE49" i="34"/>
  <c r="AE50" i="34"/>
  <c r="AA50" i="34"/>
  <c r="L49" i="34"/>
  <c r="M49" i="34"/>
  <c r="N49" i="34"/>
  <c r="L50" i="34"/>
  <c r="M50" i="34"/>
  <c r="N50" i="34"/>
  <c r="I49" i="34"/>
  <c r="AA49" i="34" s="1"/>
  <c r="AB49" i="34" s="1"/>
  <c r="J49" i="34"/>
  <c r="K49" i="34"/>
  <c r="N46" i="34"/>
  <c r="S46" i="34"/>
  <c r="T46" i="34"/>
  <c r="T53" i="34" s="1"/>
  <c r="T60" i="34" s="1"/>
  <c r="Z46" i="34"/>
  <c r="Z53" i="34" s="1"/>
  <c r="I46" i="34"/>
  <c r="J46" i="34"/>
  <c r="A45" i="34"/>
  <c r="AD44" i="34"/>
  <c r="AG44" i="34"/>
  <c r="AH44" i="34" s="1"/>
  <c r="N44" i="34"/>
  <c r="O44" i="34"/>
  <c r="O46" i="34" s="1"/>
  <c r="P44" i="34"/>
  <c r="P46" i="34" s="1"/>
  <c r="P53" i="34" s="1"/>
  <c r="Q44" i="34"/>
  <c r="Q46" i="34" s="1"/>
  <c r="R44" i="34"/>
  <c r="R46" i="34" s="1"/>
  <c r="S44" i="34"/>
  <c r="T44" i="34"/>
  <c r="U44" i="34"/>
  <c r="U46" i="34" s="1"/>
  <c r="V44" i="34"/>
  <c r="V46" i="34" s="1"/>
  <c r="V53" i="34" s="1"/>
  <c r="V60" i="34" s="1"/>
  <c r="W44" i="34"/>
  <c r="W46" i="34" s="1"/>
  <c r="X44" i="34"/>
  <c r="X46" i="34" s="1"/>
  <c r="X53" i="34" s="1"/>
  <c r="Y44" i="34"/>
  <c r="Y46" i="34" s="1"/>
  <c r="Z44" i="34"/>
  <c r="I44" i="34"/>
  <c r="J44" i="34"/>
  <c r="AH42" i="34"/>
  <c r="AH43" i="34"/>
  <c r="AE42" i="34"/>
  <c r="AE43" i="34"/>
  <c r="I42" i="34"/>
  <c r="J42" i="34"/>
  <c r="L42" i="34"/>
  <c r="M42" i="34"/>
  <c r="N42" i="34"/>
  <c r="I43" i="34"/>
  <c r="AA43" i="34" s="1"/>
  <c r="AB43" i="34" s="1"/>
  <c r="J43" i="34"/>
  <c r="K43" i="34"/>
  <c r="L43" i="34"/>
  <c r="M43" i="34"/>
  <c r="N43" i="34"/>
  <c r="N41" i="34"/>
  <c r="I41" i="34"/>
  <c r="J41" i="34"/>
  <c r="AH35" i="34"/>
  <c r="AH36" i="34"/>
  <c r="AH37" i="34"/>
  <c r="AH38" i="34"/>
  <c r="AH39" i="34"/>
  <c r="AE35" i="34"/>
  <c r="AE36" i="34"/>
  <c r="AE37" i="34"/>
  <c r="AE38" i="34"/>
  <c r="AE39" i="34"/>
  <c r="AA36" i="34"/>
  <c r="AA38" i="34"/>
  <c r="AB38" i="34" s="1"/>
  <c r="I35" i="34"/>
  <c r="K35" i="34" s="1"/>
  <c r="J35" i="34"/>
  <c r="L35" i="34"/>
  <c r="M35" i="34"/>
  <c r="N35" i="34"/>
  <c r="I36" i="34"/>
  <c r="K36" i="34" s="1"/>
  <c r="J36" i="34"/>
  <c r="L36" i="34"/>
  <c r="M36" i="34"/>
  <c r="N36" i="34"/>
  <c r="I37" i="34"/>
  <c r="AA37" i="34" s="1"/>
  <c r="AF37" i="34" s="1"/>
  <c r="J37" i="34"/>
  <c r="L37" i="34"/>
  <c r="M37" i="34"/>
  <c r="N37" i="34"/>
  <c r="I38" i="34"/>
  <c r="J38" i="34"/>
  <c r="K38" i="34"/>
  <c r="L38" i="34"/>
  <c r="M38" i="34"/>
  <c r="N38" i="34"/>
  <c r="I39" i="34"/>
  <c r="K39" i="34" s="1"/>
  <c r="J39" i="34"/>
  <c r="L39" i="34"/>
  <c r="M39" i="34"/>
  <c r="N39" i="34"/>
  <c r="N33" i="34"/>
  <c r="N34" i="34"/>
  <c r="I33" i="34"/>
  <c r="J33" i="34"/>
  <c r="I34" i="34"/>
  <c r="J34" i="34"/>
  <c r="AG32" i="34"/>
  <c r="AL32" i="34" s="1"/>
  <c r="AD32" i="34"/>
  <c r="AK32" i="34" s="1"/>
  <c r="O32" i="34"/>
  <c r="P32" i="34"/>
  <c r="Q32" i="34"/>
  <c r="R32" i="34"/>
  <c r="S32" i="34"/>
  <c r="T32" i="34"/>
  <c r="U32" i="34"/>
  <c r="V32" i="34"/>
  <c r="W32" i="34"/>
  <c r="X32" i="34"/>
  <c r="Y32" i="34"/>
  <c r="Z32" i="34"/>
  <c r="AJ32" i="34" s="1"/>
  <c r="AJ31" i="34"/>
  <c r="AK31" i="34"/>
  <c r="AL31" i="34"/>
  <c r="AN31" i="34" s="1"/>
  <c r="AM31" i="34"/>
  <c r="AG31" i="34"/>
  <c r="AD31" i="34"/>
  <c r="O31" i="34"/>
  <c r="P31" i="34"/>
  <c r="Q31" i="34"/>
  <c r="R31" i="34"/>
  <c r="S31" i="34"/>
  <c r="T31" i="34"/>
  <c r="U31" i="34"/>
  <c r="V31" i="34"/>
  <c r="W31" i="34"/>
  <c r="X31" i="34"/>
  <c r="Y31" i="34"/>
  <c r="Z31" i="34"/>
  <c r="AA31" i="34"/>
  <c r="N26" i="34"/>
  <c r="N27" i="34"/>
  <c r="N28" i="34"/>
  <c r="N29" i="34"/>
  <c r="B22" i="34"/>
  <c r="B23" i="34"/>
  <c r="AG16" i="34"/>
  <c r="AG19" i="34"/>
  <c r="AG20" i="34"/>
  <c r="AL57" i="34" s="1"/>
  <c r="AD19" i="34"/>
  <c r="AD20" i="34"/>
  <c r="N19" i="34"/>
  <c r="O19" i="34"/>
  <c r="P19" i="34"/>
  <c r="Q19" i="34"/>
  <c r="R19" i="34"/>
  <c r="S19" i="34"/>
  <c r="T19" i="34"/>
  <c r="U19" i="34"/>
  <c r="V19" i="34"/>
  <c r="W19" i="34"/>
  <c r="X19" i="34"/>
  <c r="Y19" i="34"/>
  <c r="Z19" i="34"/>
  <c r="N20" i="34"/>
  <c r="O20" i="34"/>
  <c r="P20" i="34"/>
  <c r="Q20" i="34"/>
  <c r="R20" i="34"/>
  <c r="S20" i="34"/>
  <c r="T20" i="34"/>
  <c r="U20" i="34"/>
  <c r="V20" i="34"/>
  <c r="W20" i="34"/>
  <c r="X20" i="34"/>
  <c r="Y20" i="34"/>
  <c r="Z20" i="34"/>
  <c r="B17" i="34"/>
  <c r="B18" i="34"/>
  <c r="B19" i="34"/>
  <c r="O17" i="34"/>
  <c r="P17" i="34"/>
  <c r="Q17" i="34"/>
  <c r="R17" i="34"/>
  <c r="S17" i="34"/>
  <c r="T17" i="34"/>
  <c r="U17" i="34"/>
  <c r="V17" i="34"/>
  <c r="W17" i="34"/>
  <c r="X17" i="34"/>
  <c r="Y17" i="34"/>
  <c r="Z17" i="34"/>
  <c r="O16" i="34"/>
  <c r="P16" i="34"/>
  <c r="Q16" i="34"/>
  <c r="R16" i="34"/>
  <c r="S16" i="34"/>
  <c r="T16" i="34"/>
  <c r="U16" i="34"/>
  <c r="V16" i="34"/>
  <c r="W16" i="34"/>
  <c r="X16" i="34"/>
  <c r="Y16" i="34"/>
  <c r="A14" i="34"/>
  <c r="AG12" i="34"/>
  <c r="AG13" i="34"/>
  <c r="AD12" i="34"/>
  <c r="AD13" i="34"/>
  <c r="B12" i="34"/>
  <c r="B13" i="34"/>
  <c r="O12" i="34"/>
  <c r="P12" i="34"/>
  <c r="Q12" i="34"/>
  <c r="R12" i="34"/>
  <c r="S12" i="34"/>
  <c r="T12" i="34"/>
  <c r="U12" i="34"/>
  <c r="V12" i="34"/>
  <c r="W12" i="34"/>
  <c r="X12" i="34"/>
  <c r="Y12" i="34"/>
  <c r="Z12" i="34"/>
  <c r="AA12" i="34"/>
  <c r="O13" i="34"/>
  <c r="P13" i="34"/>
  <c r="Q13" i="34"/>
  <c r="R13" i="34"/>
  <c r="S13" i="34"/>
  <c r="T13" i="34"/>
  <c r="U13" i="34"/>
  <c r="V13" i="34"/>
  <c r="W13" i="34"/>
  <c r="X13" i="34"/>
  <c r="Y13" i="34"/>
  <c r="Z13" i="34"/>
  <c r="AA13" i="34"/>
  <c r="O11" i="34"/>
  <c r="P11" i="34"/>
  <c r="Q11" i="34"/>
  <c r="R11" i="34"/>
  <c r="S11" i="34"/>
  <c r="T11" i="34"/>
  <c r="U11" i="34"/>
  <c r="V11" i="34"/>
  <c r="W11" i="34"/>
  <c r="X11" i="34"/>
  <c r="Y11" i="34"/>
  <c r="Z11" i="34"/>
  <c r="C10" i="34"/>
  <c r="D10" i="34"/>
  <c r="C9" i="34"/>
  <c r="C1" i="34"/>
  <c r="C2" i="34"/>
  <c r="C3" i="34"/>
  <c r="C4" i="34"/>
  <c r="C5" i="34"/>
  <c r="C6" i="34"/>
  <c r="C7" i="34"/>
  <c r="C8" i="34"/>
  <c r="E6" i="34"/>
  <c r="E4" i="34"/>
  <c r="F4" i="34"/>
  <c r="B3" i="34"/>
  <c r="N67" i="33"/>
  <c r="I67" i="33"/>
  <c r="J67" i="33"/>
  <c r="AK65" i="33"/>
  <c r="S65" i="33"/>
  <c r="S66" i="33" s="1"/>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AH34" i="33"/>
  <c r="AH35" i="33"/>
  <c r="AH36" i="33"/>
  <c r="AH37" i="33"/>
  <c r="AL37" i="33"/>
  <c r="AH38" i="33"/>
  <c r="AH39" i="33"/>
  <c r="AH42" i="33"/>
  <c r="AH46" i="33"/>
  <c r="AH47" i="33"/>
  <c r="AL47" i="33"/>
  <c r="AH49" i="33"/>
  <c r="AH50" i="33"/>
  <c r="AL53" i="33"/>
  <c r="AH56" i="33"/>
  <c r="AH57" i="33"/>
  <c r="AH58" i="33"/>
  <c r="AL58" i="33"/>
  <c r="AH59" i="33"/>
  <c r="AH60" i="33"/>
  <c r="AL61" i="33"/>
  <c r="AH62" i="33"/>
  <c r="AH63" i="33"/>
  <c r="AL63" i="33"/>
  <c r="AE34" i="33"/>
  <c r="AE35" i="33"/>
  <c r="AE36" i="33"/>
  <c r="AE37" i="33"/>
  <c r="AE38" i="33"/>
  <c r="AE39" i="33"/>
  <c r="AE41" i="33"/>
  <c r="AE42" i="33"/>
  <c r="AE45" i="33"/>
  <c r="AE46" i="33"/>
  <c r="AE47" i="33"/>
  <c r="AE49" i="33"/>
  <c r="AE50" i="33"/>
  <c r="AE54" i="33"/>
  <c r="AE56" i="33"/>
  <c r="AE57" i="33"/>
  <c r="AE58" i="33"/>
  <c r="AE59" i="33"/>
  <c r="AE60" i="33"/>
  <c r="AE61" i="33"/>
  <c r="AE62" i="33"/>
  <c r="AE63" i="33"/>
  <c r="AE64" i="33"/>
  <c r="AA39" i="33"/>
  <c r="AA42" i="33"/>
  <c r="AI42" i="33" s="1"/>
  <c r="AA47" i="33"/>
  <c r="AA50" i="33"/>
  <c r="AA51" i="33"/>
  <c r="AA58" i="33"/>
  <c r="AI58" i="33" s="1"/>
  <c r="AA59" i="33"/>
  <c r="I34" i="33"/>
  <c r="AA34" i="33" s="1"/>
  <c r="AI34" i="33" s="1"/>
  <c r="J34" i="33"/>
  <c r="K34" i="33"/>
  <c r="L34" i="33"/>
  <c r="M34" i="33"/>
  <c r="I35" i="33"/>
  <c r="J35" i="33"/>
  <c r="L35" i="33"/>
  <c r="M35" i="33"/>
  <c r="I36" i="33"/>
  <c r="AA36" i="33" s="1"/>
  <c r="J36" i="33"/>
  <c r="L36" i="33"/>
  <c r="M36" i="33"/>
  <c r="I37" i="33"/>
  <c r="AA37" i="33" s="1"/>
  <c r="J37" i="33"/>
  <c r="L37" i="33"/>
  <c r="M37" i="33"/>
  <c r="I38" i="33"/>
  <c r="K38" i="33" s="1"/>
  <c r="J38" i="33"/>
  <c r="L38" i="33"/>
  <c r="M38" i="33"/>
  <c r="I39" i="33"/>
  <c r="J39" i="33"/>
  <c r="K39" i="33"/>
  <c r="L39" i="33"/>
  <c r="M39" i="33"/>
  <c r="I40" i="33"/>
  <c r="AA40" i="33" s="1"/>
  <c r="J40" i="33"/>
  <c r="L40" i="33"/>
  <c r="M40" i="33"/>
  <c r="I41" i="33"/>
  <c r="K41" i="33" s="1"/>
  <c r="J41" i="33"/>
  <c r="L41" i="33"/>
  <c r="M41" i="33"/>
  <c r="I42" i="33"/>
  <c r="J42" i="33"/>
  <c r="K42" i="33"/>
  <c r="L42" i="33"/>
  <c r="M42" i="33"/>
  <c r="I43" i="33"/>
  <c r="AA43" i="33" s="1"/>
  <c r="J43" i="33"/>
  <c r="K43" i="33"/>
  <c r="L43" i="33"/>
  <c r="M43" i="33"/>
  <c r="I44" i="33"/>
  <c r="AA44" i="33" s="1"/>
  <c r="J44" i="33"/>
  <c r="L44" i="33"/>
  <c r="M44" i="33"/>
  <c r="I45" i="33"/>
  <c r="AA45" i="33" s="1"/>
  <c r="J45" i="33"/>
  <c r="L45" i="33"/>
  <c r="M45" i="33"/>
  <c r="I46" i="33"/>
  <c r="J46" i="33"/>
  <c r="L46" i="33"/>
  <c r="M46" i="33"/>
  <c r="I47" i="33"/>
  <c r="K47" i="33" s="1"/>
  <c r="J47" i="33"/>
  <c r="L47" i="33"/>
  <c r="M47" i="33"/>
  <c r="I48" i="33"/>
  <c r="AA48" i="33" s="1"/>
  <c r="J48" i="33"/>
  <c r="L48" i="33"/>
  <c r="M48" i="33"/>
  <c r="I49" i="33"/>
  <c r="K49" i="33" s="1"/>
  <c r="J49" i="33"/>
  <c r="L49" i="33"/>
  <c r="M49" i="33"/>
  <c r="I50" i="33"/>
  <c r="J50" i="33"/>
  <c r="K50" i="33"/>
  <c r="L50" i="33"/>
  <c r="M50" i="33"/>
  <c r="I51" i="33"/>
  <c r="J51" i="33"/>
  <c r="K51" i="33"/>
  <c r="L51" i="33"/>
  <c r="M51" i="33"/>
  <c r="I52" i="33"/>
  <c r="AA52" i="33" s="1"/>
  <c r="J52" i="33"/>
  <c r="L52" i="33"/>
  <c r="M52" i="33"/>
  <c r="I53" i="33"/>
  <c r="AA53" i="33" s="1"/>
  <c r="J53" i="33"/>
  <c r="L53" i="33"/>
  <c r="M53" i="33"/>
  <c r="I54" i="33"/>
  <c r="K54" i="33" s="1"/>
  <c r="J54" i="33"/>
  <c r="L54" i="33"/>
  <c r="M54" i="33"/>
  <c r="I55" i="33"/>
  <c r="J55" i="33"/>
  <c r="L55" i="33"/>
  <c r="M55" i="33"/>
  <c r="I56" i="33"/>
  <c r="AA56" i="33" s="1"/>
  <c r="J56" i="33"/>
  <c r="L56" i="33"/>
  <c r="M56" i="33"/>
  <c r="I57" i="33"/>
  <c r="K57" i="33" s="1"/>
  <c r="J57" i="33"/>
  <c r="L57" i="33"/>
  <c r="M57" i="33"/>
  <c r="I58" i="33"/>
  <c r="K58" i="33" s="1"/>
  <c r="J58" i="33"/>
  <c r="L58" i="33"/>
  <c r="M58" i="33"/>
  <c r="I59" i="33"/>
  <c r="J59" i="33"/>
  <c r="K59" i="33"/>
  <c r="L59" i="33"/>
  <c r="M59" i="33"/>
  <c r="I60" i="33"/>
  <c r="AA60" i="33" s="1"/>
  <c r="J60" i="33"/>
  <c r="L60" i="33"/>
  <c r="M60" i="33"/>
  <c r="I61" i="33"/>
  <c r="AA61" i="33" s="1"/>
  <c r="J61" i="33"/>
  <c r="L61" i="33"/>
  <c r="M61" i="33"/>
  <c r="I62" i="33"/>
  <c r="K62" i="33" s="1"/>
  <c r="J62" i="33"/>
  <c r="L62" i="33"/>
  <c r="M62" i="33"/>
  <c r="I63" i="33"/>
  <c r="AA63" i="33" s="1"/>
  <c r="J63" i="33"/>
  <c r="K63" i="33"/>
  <c r="L63" i="33"/>
  <c r="M63" i="33"/>
  <c r="I64" i="33"/>
  <c r="AA64" i="33" s="1"/>
  <c r="J64" i="33"/>
  <c r="L64" i="33"/>
  <c r="M64" i="33"/>
  <c r="I33" i="33"/>
  <c r="J33" i="33"/>
  <c r="AG32" i="33"/>
  <c r="AL32" i="33" s="1"/>
  <c r="AD32" i="33"/>
  <c r="AK32" i="33" s="1"/>
  <c r="O32" i="33"/>
  <c r="P32" i="33"/>
  <c r="Q32" i="33"/>
  <c r="R32" i="33"/>
  <c r="S32" i="33"/>
  <c r="T32" i="33"/>
  <c r="U32" i="33"/>
  <c r="V32" i="33"/>
  <c r="W32" i="33"/>
  <c r="X32" i="33"/>
  <c r="Y32" i="33"/>
  <c r="Z32" i="33"/>
  <c r="AJ32" i="33" s="1"/>
  <c r="AJ31" i="33"/>
  <c r="AK31" i="33"/>
  <c r="AM31" i="33" s="1"/>
  <c r="AL31" i="33"/>
  <c r="AN31" i="33"/>
  <c r="AG31" i="33"/>
  <c r="AD31" i="33"/>
  <c r="O31" i="33"/>
  <c r="P31" i="33"/>
  <c r="Q31" i="33"/>
  <c r="R31" i="33"/>
  <c r="S31" i="33"/>
  <c r="T31" i="33"/>
  <c r="U31" i="33"/>
  <c r="V31" i="33"/>
  <c r="W31" i="33"/>
  <c r="X31" i="33"/>
  <c r="Y31" i="33"/>
  <c r="Z31" i="33"/>
  <c r="AA31" i="33"/>
  <c r="N26" i="33"/>
  <c r="N27" i="33"/>
  <c r="N28" i="33"/>
  <c r="N29" i="33"/>
  <c r="B22" i="33"/>
  <c r="B23" i="33"/>
  <c r="AG16" i="33"/>
  <c r="AG19" i="33"/>
  <c r="AG20" i="33"/>
  <c r="AG65" i="33" s="1"/>
  <c r="AG21" i="33"/>
  <c r="AL36" i="33" s="1"/>
  <c r="AD19" i="33"/>
  <c r="AE43" i="33" s="1"/>
  <c r="AD20" i="33"/>
  <c r="AD65" i="33" s="1"/>
  <c r="AD21" i="33"/>
  <c r="AK44" i="33" s="1"/>
  <c r="I20" i="33"/>
  <c r="J20" i="33"/>
  <c r="N19" i="33"/>
  <c r="O19" i="33"/>
  <c r="P19" i="33"/>
  <c r="Q19" i="33"/>
  <c r="R19" i="33"/>
  <c r="S19" i="33"/>
  <c r="T19" i="33"/>
  <c r="U19" i="33"/>
  <c r="V19" i="33"/>
  <c r="W19" i="33"/>
  <c r="X19" i="33"/>
  <c r="Y19" i="33"/>
  <c r="Z19" i="33"/>
  <c r="N20" i="33"/>
  <c r="N65" i="33" s="1"/>
  <c r="O20" i="33"/>
  <c r="O65" i="33" s="1"/>
  <c r="P20" i="33"/>
  <c r="Q20" i="33"/>
  <c r="Q65" i="33" s="1"/>
  <c r="R20" i="33"/>
  <c r="R65" i="33" s="1"/>
  <c r="S20" i="33"/>
  <c r="T20" i="33"/>
  <c r="T65" i="33" s="1"/>
  <c r="U20" i="33"/>
  <c r="U65" i="33" s="1"/>
  <c r="V20" i="33"/>
  <c r="V65" i="33" s="1"/>
  <c r="V66" i="33" s="1"/>
  <c r="W20" i="33"/>
  <c r="W65" i="33" s="1"/>
  <c r="W67" i="33" s="1"/>
  <c r="X20" i="33"/>
  <c r="X65" i="33" s="1"/>
  <c r="Y20" i="33"/>
  <c r="Y65" i="33" s="1"/>
  <c r="Z20" i="33"/>
  <c r="Z65" i="33" s="1"/>
  <c r="N21" i="33"/>
  <c r="O21" i="33"/>
  <c r="P21" i="33"/>
  <c r="Q21" i="33"/>
  <c r="R21" i="33"/>
  <c r="S21" i="33"/>
  <c r="T21" i="33"/>
  <c r="U21" i="33"/>
  <c r="V21" i="33"/>
  <c r="W21" i="33"/>
  <c r="X21" i="33"/>
  <c r="Y21" i="33"/>
  <c r="Z21" i="33"/>
  <c r="B17" i="33"/>
  <c r="B18" i="33"/>
  <c r="B19" i="33"/>
  <c r="O17" i="33"/>
  <c r="P17" i="33"/>
  <c r="Q17" i="33"/>
  <c r="R17" i="33"/>
  <c r="S17" i="33"/>
  <c r="T17" i="33"/>
  <c r="U17" i="33"/>
  <c r="V17" i="33"/>
  <c r="W17" i="33"/>
  <c r="X17" i="33"/>
  <c r="Y17" i="33"/>
  <c r="Z17" i="33"/>
  <c r="O16" i="33"/>
  <c r="P16" i="33"/>
  <c r="Q16" i="33"/>
  <c r="R16" i="33"/>
  <c r="S16" i="33"/>
  <c r="T16" i="33"/>
  <c r="U16" i="33"/>
  <c r="V16" i="33"/>
  <c r="W16" i="33"/>
  <c r="X16" i="33"/>
  <c r="Y16" i="33"/>
  <c r="A14" i="33"/>
  <c r="AG12" i="33"/>
  <c r="AG13" i="33"/>
  <c r="AD12" i="33"/>
  <c r="AD13" i="33"/>
  <c r="B12" i="33"/>
  <c r="B13" i="33"/>
  <c r="O12" i="33"/>
  <c r="P12" i="33"/>
  <c r="Q12" i="33"/>
  <c r="R12" i="33"/>
  <c r="S12" i="33"/>
  <c r="T12" i="33"/>
  <c r="U12" i="33"/>
  <c r="V12" i="33"/>
  <c r="W12" i="33"/>
  <c r="X12" i="33"/>
  <c r="Y12" i="33"/>
  <c r="Z12" i="33"/>
  <c r="AA12" i="33"/>
  <c r="O13" i="33"/>
  <c r="P13" i="33"/>
  <c r="Q13" i="33"/>
  <c r="R13" i="33"/>
  <c r="S13" i="33"/>
  <c r="T13" i="33"/>
  <c r="U13" i="33"/>
  <c r="V13" i="33"/>
  <c r="W13" i="33"/>
  <c r="X13" i="33"/>
  <c r="Y13" i="33"/>
  <c r="Z13" i="33"/>
  <c r="AA13" i="33"/>
  <c r="O11" i="33"/>
  <c r="P11" i="33"/>
  <c r="Q11" i="33"/>
  <c r="R11" i="33"/>
  <c r="S11" i="33"/>
  <c r="T11" i="33"/>
  <c r="U11" i="33"/>
  <c r="V11" i="33"/>
  <c r="W11" i="33"/>
  <c r="X11" i="33"/>
  <c r="Y11" i="33"/>
  <c r="Z11" i="33"/>
  <c r="C10" i="33"/>
  <c r="D10" i="33"/>
  <c r="C9" i="33"/>
  <c r="C1" i="33"/>
  <c r="C2" i="33"/>
  <c r="C3" i="33"/>
  <c r="C4" i="33"/>
  <c r="C5" i="33"/>
  <c r="C6" i="33"/>
  <c r="C7" i="33"/>
  <c r="C8" i="33"/>
  <c r="E6" i="33"/>
  <c r="E4" i="33"/>
  <c r="F4" i="33"/>
  <c r="B3" i="33"/>
  <c r="AG38" i="32"/>
  <c r="AD38" i="32"/>
  <c r="O38" i="32"/>
  <c r="P38" i="32"/>
  <c r="Q38" i="32"/>
  <c r="R38" i="32"/>
  <c r="S38" i="32"/>
  <c r="T38" i="32"/>
  <c r="U38" i="32"/>
  <c r="V38" i="32"/>
  <c r="W38" i="32"/>
  <c r="X38" i="32"/>
  <c r="Y38" i="32"/>
  <c r="Z38" i="32"/>
  <c r="AD36" i="32"/>
  <c r="AG36" i="32"/>
  <c r="AL36" i="32"/>
  <c r="N36" i="32"/>
  <c r="N38" i="32" s="1"/>
  <c r="O36" i="32"/>
  <c r="P36" i="32"/>
  <c r="Q36" i="32"/>
  <c r="R36" i="32"/>
  <c r="S36" i="32"/>
  <c r="T36" i="32"/>
  <c r="U36" i="32"/>
  <c r="V36" i="32"/>
  <c r="W36" i="32"/>
  <c r="X36" i="32"/>
  <c r="Y36" i="32"/>
  <c r="Z36" i="32"/>
  <c r="I36" i="32"/>
  <c r="AA36" i="32" s="1"/>
  <c r="J36" i="32"/>
  <c r="AH35" i="32"/>
  <c r="AL35" i="32"/>
  <c r="AE35" i="32"/>
  <c r="I34" i="32"/>
  <c r="K34" i="32" s="1"/>
  <c r="J34" i="32"/>
  <c r="L34" i="32"/>
  <c r="M34" i="32"/>
  <c r="N34" i="32"/>
  <c r="I35" i="32"/>
  <c r="J35" i="32"/>
  <c r="L35" i="32"/>
  <c r="M35" i="32"/>
  <c r="N35" i="32"/>
  <c r="N33" i="32"/>
  <c r="I33" i="32"/>
  <c r="J33" i="32"/>
  <c r="AG32" i="32"/>
  <c r="AL32" i="32" s="1"/>
  <c r="AD32" i="32"/>
  <c r="AK32" i="32" s="1"/>
  <c r="O32" i="32"/>
  <c r="P32" i="32"/>
  <c r="Q32" i="32"/>
  <c r="R32" i="32"/>
  <c r="S32" i="32"/>
  <c r="T32" i="32"/>
  <c r="U32" i="32"/>
  <c r="V32" i="32"/>
  <c r="W32" i="32"/>
  <c r="X32" i="32"/>
  <c r="Y32" i="32"/>
  <c r="Z32" i="32"/>
  <c r="AJ32" i="32" s="1"/>
  <c r="AJ31" i="32"/>
  <c r="AK31" i="32"/>
  <c r="AM31" i="32" s="1"/>
  <c r="AL31" i="32"/>
  <c r="AN31" i="32" s="1"/>
  <c r="AG31" i="32"/>
  <c r="AD31" i="32"/>
  <c r="O31" i="32"/>
  <c r="P31" i="32"/>
  <c r="Q31" i="32"/>
  <c r="R31" i="32"/>
  <c r="S31" i="32"/>
  <c r="T31" i="32"/>
  <c r="U31" i="32"/>
  <c r="V31" i="32"/>
  <c r="W31" i="32"/>
  <c r="X31" i="32"/>
  <c r="Y31" i="32"/>
  <c r="Z31" i="32"/>
  <c r="AA31" i="32"/>
  <c r="N26" i="32"/>
  <c r="N27" i="32"/>
  <c r="N28" i="32"/>
  <c r="N29" i="32"/>
  <c r="B23" i="32"/>
  <c r="AG16" i="32"/>
  <c r="AG19" i="32"/>
  <c r="AH34" i="32" s="1"/>
  <c r="AG20" i="32"/>
  <c r="AL34" i="32" s="1"/>
  <c r="AD19" i="32"/>
  <c r="AE34" i="32" s="1"/>
  <c r="AD20" i="32"/>
  <c r="AK34" i="32" s="1"/>
  <c r="N19" i="32"/>
  <c r="O19" i="32"/>
  <c r="P19" i="32"/>
  <c r="Q19" i="32"/>
  <c r="R19" i="32"/>
  <c r="S19" i="32"/>
  <c r="T19" i="32"/>
  <c r="U19" i="32"/>
  <c r="V19" i="32"/>
  <c r="W19" i="32"/>
  <c r="X19" i="32"/>
  <c r="Y19" i="32"/>
  <c r="Z19" i="32"/>
  <c r="N20" i="32"/>
  <c r="O20" i="32"/>
  <c r="P20" i="32"/>
  <c r="Q20" i="32"/>
  <c r="R20" i="32"/>
  <c r="S20" i="32"/>
  <c r="T20" i="32"/>
  <c r="U20" i="32"/>
  <c r="V20" i="32"/>
  <c r="W20" i="32"/>
  <c r="X20" i="32"/>
  <c r="Y20" i="32"/>
  <c r="Z20" i="32"/>
  <c r="B17" i="32"/>
  <c r="B18" i="32"/>
  <c r="B19" i="32"/>
  <c r="O17" i="32"/>
  <c r="P17" i="32"/>
  <c r="Q17" i="32"/>
  <c r="R17" i="32"/>
  <c r="S17" i="32"/>
  <c r="T17" i="32"/>
  <c r="U17" i="32"/>
  <c r="V17" i="32"/>
  <c r="W17" i="32"/>
  <c r="X17" i="32"/>
  <c r="Y17" i="32"/>
  <c r="Z17" i="32"/>
  <c r="O16" i="32"/>
  <c r="P16" i="32"/>
  <c r="Q16" i="32"/>
  <c r="R16" i="32"/>
  <c r="S16" i="32"/>
  <c r="T16" i="32"/>
  <c r="U16" i="32"/>
  <c r="V16" i="32"/>
  <c r="W16" i="32"/>
  <c r="X16" i="32"/>
  <c r="Y16" i="32"/>
  <c r="A14" i="32"/>
  <c r="AG12" i="32"/>
  <c r="AG13" i="32"/>
  <c r="AD12" i="32"/>
  <c r="AD13" i="32"/>
  <c r="B12" i="32"/>
  <c r="Z16" i="32" s="1"/>
  <c r="B13" i="32"/>
  <c r="O12" i="32"/>
  <c r="P12" i="32"/>
  <c r="Q12" i="32"/>
  <c r="R12" i="32"/>
  <c r="S12" i="32"/>
  <c r="T12" i="32"/>
  <c r="U12" i="32"/>
  <c r="V12" i="32"/>
  <c r="W12" i="32"/>
  <c r="X12" i="32"/>
  <c r="Y12" i="32"/>
  <c r="Z12" i="32"/>
  <c r="AA12" i="32"/>
  <c r="O13" i="32"/>
  <c r="P13" i="32"/>
  <c r="Q13" i="32"/>
  <c r="R13" i="32"/>
  <c r="S13" i="32"/>
  <c r="T13" i="32"/>
  <c r="U13" i="32"/>
  <c r="V13" i="32"/>
  <c r="W13" i="32"/>
  <c r="X13" i="32"/>
  <c r="Y13" i="32"/>
  <c r="Z13" i="32"/>
  <c r="AA13" i="32"/>
  <c r="O11" i="32"/>
  <c r="P11" i="32"/>
  <c r="Q11" i="32"/>
  <c r="R11" i="32"/>
  <c r="S11" i="32"/>
  <c r="T11" i="32"/>
  <c r="U11" i="32"/>
  <c r="V11" i="32"/>
  <c r="W11" i="32"/>
  <c r="X11" i="32"/>
  <c r="Y11" i="32"/>
  <c r="Z11" i="32"/>
  <c r="C10" i="32"/>
  <c r="D10" i="32"/>
  <c r="C9" i="32"/>
  <c r="C1" i="32"/>
  <c r="C2" i="32"/>
  <c r="C3" i="32"/>
  <c r="C4" i="32"/>
  <c r="C5" i="32"/>
  <c r="C6" i="32"/>
  <c r="C7" i="32"/>
  <c r="C8" i="32"/>
  <c r="E6" i="32"/>
  <c r="E4" i="32"/>
  <c r="F4" i="32"/>
  <c r="B3" i="32"/>
  <c r="AG39" i="31"/>
  <c r="AD39" i="31"/>
  <c r="N39" i="31"/>
  <c r="O39" i="31"/>
  <c r="P39" i="31"/>
  <c r="Q39" i="31"/>
  <c r="R39" i="31"/>
  <c r="S39" i="31"/>
  <c r="T39" i="31"/>
  <c r="U39" i="31"/>
  <c r="V39" i="31"/>
  <c r="W39" i="31"/>
  <c r="X39" i="31"/>
  <c r="Y39" i="31"/>
  <c r="Z39" i="31"/>
  <c r="AD37" i="31"/>
  <c r="AG37" i="31"/>
  <c r="AK37" i="31"/>
  <c r="N37" i="31"/>
  <c r="O37" i="31"/>
  <c r="P37" i="31"/>
  <c r="Q37" i="31"/>
  <c r="R37" i="31"/>
  <c r="S37" i="31"/>
  <c r="T37" i="31"/>
  <c r="U37" i="31"/>
  <c r="V37" i="31"/>
  <c r="W37" i="31"/>
  <c r="X37" i="31"/>
  <c r="Y37" i="31"/>
  <c r="Z37" i="31"/>
  <c r="I37" i="31"/>
  <c r="J37" i="31"/>
  <c r="AK34" i="31"/>
  <c r="AE34" i="31"/>
  <c r="I34" i="31"/>
  <c r="J34" i="31"/>
  <c r="L34" i="31"/>
  <c r="M34" i="31"/>
  <c r="N34" i="31"/>
  <c r="I35" i="31"/>
  <c r="AA35" i="31" s="1"/>
  <c r="J35" i="31"/>
  <c r="K35" i="31"/>
  <c r="L35" i="31"/>
  <c r="M35" i="31"/>
  <c r="N35" i="31"/>
  <c r="I36" i="31"/>
  <c r="AA36" i="31" s="1"/>
  <c r="J36" i="31"/>
  <c r="L36" i="31"/>
  <c r="M36" i="31"/>
  <c r="N36" i="31"/>
  <c r="N33" i="31"/>
  <c r="I33" i="31"/>
  <c r="J33" i="31"/>
  <c r="AG32" i="31"/>
  <c r="AL32" i="31" s="1"/>
  <c r="AD32" i="31"/>
  <c r="AK32" i="31" s="1"/>
  <c r="O32" i="31"/>
  <c r="P32" i="31"/>
  <c r="Q32" i="31"/>
  <c r="R32" i="31"/>
  <c r="S32" i="31"/>
  <c r="T32" i="31"/>
  <c r="U32" i="31"/>
  <c r="V32" i="31"/>
  <c r="W32" i="31"/>
  <c r="X32" i="31"/>
  <c r="Y32" i="31"/>
  <c r="Z32" i="31"/>
  <c r="AJ32" i="31" s="1"/>
  <c r="AJ31" i="31"/>
  <c r="AK31" i="31"/>
  <c r="AL31" i="31"/>
  <c r="AM31" i="31"/>
  <c r="AN31" i="31"/>
  <c r="AG31" i="31"/>
  <c r="AD31" i="31"/>
  <c r="O31" i="31"/>
  <c r="P31" i="31"/>
  <c r="Q31" i="31"/>
  <c r="R31" i="31"/>
  <c r="S31" i="31"/>
  <c r="T31" i="31"/>
  <c r="U31" i="31"/>
  <c r="V31" i="31"/>
  <c r="W31" i="31"/>
  <c r="X31" i="31"/>
  <c r="Y31" i="31"/>
  <c r="Z31" i="31"/>
  <c r="AA31" i="31"/>
  <c r="N26" i="31"/>
  <c r="N27" i="31"/>
  <c r="N28" i="31"/>
  <c r="N29" i="31"/>
  <c r="B23" i="31"/>
  <c r="AG16" i="31"/>
  <c r="AG19" i="31"/>
  <c r="AH36" i="31" s="1"/>
  <c r="AG20" i="31"/>
  <c r="AD19" i="31"/>
  <c r="AD20" i="31"/>
  <c r="AK36" i="31" s="1"/>
  <c r="N19" i="31"/>
  <c r="O19" i="31"/>
  <c r="P19" i="31"/>
  <c r="Q19" i="31"/>
  <c r="R19" i="31"/>
  <c r="S19" i="31"/>
  <c r="T19" i="31"/>
  <c r="U19" i="31"/>
  <c r="V19" i="31"/>
  <c r="W19" i="31"/>
  <c r="X19" i="31"/>
  <c r="Y19" i="31"/>
  <c r="Z19" i="31"/>
  <c r="N20" i="31"/>
  <c r="O20" i="31"/>
  <c r="P20" i="31"/>
  <c r="Q20" i="31"/>
  <c r="R20" i="31"/>
  <c r="S20" i="31"/>
  <c r="T20" i="31"/>
  <c r="U20" i="31"/>
  <c r="V20" i="31"/>
  <c r="W20" i="31"/>
  <c r="X20" i="31"/>
  <c r="Y20" i="31"/>
  <c r="Z20" i="31"/>
  <c r="B17" i="31"/>
  <c r="B18" i="31"/>
  <c r="B19" i="31"/>
  <c r="O17" i="31"/>
  <c r="P17" i="31"/>
  <c r="Q17" i="31"/>
  <c r="R17" i="31"/>
  <c r="S17" i="31"/>
  <c r="T17" i="31"/>
  <c r="U17" i="31"/>
  <c r="V17" i="31"/>
  <c r="W17" i="31"/>
  <c r="X17" i="31"/>
  <c r="Y17" i="31"/>
  <c r="Z17" i="31"/>
  <c r="O16" i="31"/>
  <c r="P16" i="31"/>
  <c r="Q16" i="31"/>
  <c r="R16" i="31"/>
  <c r="S16" i="31"/>
  <c r="T16" i="31"/>
  <c r="U16" i="31"/>
  <c r="V16" i="31"/>
  <c r="W16" i="31"/>
  <c r="X16" i="31"/>
  <c r="Y16" i="31"/>
  <c r="AA16" i="31"/>
  <c r="A14" i="31"/>
  <c r="AG12" i="31"/>
  <c r="AG13" i="31"/>
  <c r="AD12" i="31"/>
  <c r="AD13" i="31"/>
  <c r="B12" i="31"/>
  <c r="B13" i="31"/>
  <c r="O12" i="31"/>
  <c r="P12" i="31"/>
  <c r="Q12" i="31"/>
  <c r="R12" i="31"/>
  <c r="S12" i="31"/>
  <c r="T12" i="31"/>
  <c r="U12" i="31"/>
  <c r="V12" i="31"/>
  <c r="W12" i="31"/>
  <c r="X12" i="31"/>
  <c r="Y12" i="31"/>
  <c r="Z12" i="31"/>
  <c r="AA12" i="31"/>
  <c r="O13" i="31"/>
  <c r="P13" i="31"/>
  <c r="Q13" i="31"/>
  <c r="R13" i="31"/>
  <c r="S13" i="31"/>
  <c r="T13" i="31"/>
  <c r="U13" i="31"/>
  <c r="V13" i="31"/>
  <c r="W13" i="31"/>
  <c r="X13" i="31"/>
  <c r="Y13" i="31"/>
  <c r="Z13" i="31"/>
  <c r="AA13" i="31"/>
  <c r="O11" i="31"/>
  <c r="P11" i="31"/>
  <c r="Q11" i="31"/>
  <c r="R11" i="31"/>
  <c r="S11" i="31"/>
  <c r="T11" i="31"/>
  <c r="U11" i="31"/>
  <c r="V11" i="31"/>
  <c r="W11" i="31"/>
  <c r="X11" i="31"/>
  <c r="Y11" i="31"/>
  <c r="Z11" i="31"/>
  <c r="C10" i="31"/>
  <c r="D10" i="31"/>
  <c r="Z16" i="31" s="1"/>
  <c r="C9" i="31"/>
  <c r="C1" i="31"/>
  <c r="C2" i="31"/>
  <c r="C3" i="31"/>
  <c r="C4" i="31"/>
  <c r="C5" i="31"/>
  <c r="C6" i="31"/>
  <c r="C7" i="31"/>
  <c r="C8" i="31"/>
  <c r="E6" i="31"/>
  <c r="E4" i="31"/>
  <c r="F4" i="31"/>
  <c r="B3" i="31"/>
  <c r="AG77" i="30"/>
  <c r="AG78" i="30"/>
  <c r="AD77" i="30"/>
  <c r="AD78" i="30"/>
  <c r="O77" i="30"/>
  <c r="P77" i="30"/>
  <c r="Q77" i="30"/>
  <c r="R77" i="30"/>
  <c r="S77" i="30"/>
  <c r="T77" i="30"/>
  <c r="U77" i="30"/>
  <c r="V77" i="30"/>
  <c r="W77" i="30"/>
  <c r="X77" i="30"/>
  <c r="Y77" i="30"/>
  <c r="Z77" i="30"/>
  <c r="O78" i="30"/>
  <c r="P78" i="30"/>
  <c r="Q78" i="30"/>
  <c r="R78" i="30"/>
  <c r="S78" i="30"/>
  <c r="T78" i="30"/>
  <c r="U78" i="30"/>
  <c r="V78" i="30"/>
  <c r="W78" i="30"/>
  <c r="X78" i="30"/>
  <c r="Y78" i="30"/>
  <c r="Z78" i="30"/>
  <c r="N74" i="30"/>
  <c r="N77" i="30" s="1"/>
  <c r="N75" i="30"/>
  <c r="N78" i="30" s="1"/>
  <c r="AE74" i="30"/>
  <c r="I74" i="30"/>
  <c r="AA74" i="30" s="1"/>
  <c r="AA77" i="30" s="1"/>
  <c r="J74" i="30"/>
  <c r="I75" i="30"/>
  <c r="AA75" i="30" s="1"/>
  <c r="J75" i="30"/>
  <c r="N49" i="30"/>
  <c r="N50" i="30"/>
  <c r="N51" i="30"/>
  <c r="N52" i="30"/>
  <c r="N53" i="30"/>
  <c r="N54" i="30"/>
  <c r="N55" i="30"/>
  <c r="N56" i="30"/>
  <c r="N57" i="30"/>
  <c r="N58" i="30"/>
  <c r="N59" i="30"/>
  <c r="N60" i="30"/>
  <c r="N61" i="30"/>
  <c r="N62" i="30"/>
  <c r="N63" i="30"/>
  <c r="N64" i="30"/>
  <c r="N65" i="30"/>
  <c r="N66" i="30"/>
  <c r="N67" i="30"/>
  <c r="N68" i="30"/>
  <c r="N69" i="30"/>
  <c r="N70" i="30"/>
  <c r="N71" i="30"/>
  <c r="N72" i="30"/>
  <c r="I72" i="30"/>
  <c r="J72" i="30"/>
  <c r="B54" i="30"/>
  <c r="AH50" i="30"/>
  <c r="AI50" i="30"/>
  <c r="AH55" i="30"/>
  <c r="AI58" i="30"/>
  <c r="AH64" i="30"/>
  <c r="AI66" i="30"/>
  <c r="AL68" i="30"/>
  <c r="AE50" i="30"/>
  <c r="AE53" i="30"/>
  <c r="AE54" i="30"/>
  <c r="AF58" i="30"/>
  <c r="AE62" i="30"/>
  <c r="AF66" i="30"/>
  <c r="AE70" i="30"/>
  <c r="AA66" i="30"/>
  <c r="AA71" i="30"/>
  <c r="AA72" i="30"/>
  <c r="AI72" i="30" s="1"/>
  <c r="I50" i="30"/>
  <c r="AA50" i="30" s="1"/>
  <c r="AF50" i="30" s="1"/>
  <c r="J50" i="30"/>
  <c r="K50" i="30"/>
  <c r="L50" i="30"/>
  <c r="M50" i="30"/>
  <c r="I51" i="30"/>
  <c r="K51" i="30" s="1"/>
  <c r="J51" i="30"/>
  <c r="L51" i="30"/>
  <c r="M51" i="30"/>
  <c r="I52" i="30"/>
  <c r="AA52" i="30" s="1"/>
  <c r="AF52" i="30" s="1"/>
  <c r="J52" i="30"/>
  <c r="K52" i="30"/>
  <c r="L52" i="30"/>
  <c r="M52" i="30"/>
  <c r="I53" i="30"/>
  <c r="AA53" i="30" s="1"/>
  <c r="AF53" i="30" s="1"/>
  <c r="J53" i="30"/>
  <c r="L53" i="30"/>
  <c r="M53" i="30"/>
  <c r="I54" i="30"/>
  <c r="J54" i="30"/>
  <c r="L54" i="30"/>
  <c r="M54" i="30"/>
  <c r="I55" i="30"/>
  <c r="K55" i="30" s="1"/>
  <c r="J55" i="30"/>
  <c r="L55" i="30"/>
  <c r="M55" i="30"/>
  <c r="I56" i="30"/>
  <c r="AA56" i="30" s="1"/>
  <c r="J56" i="30"/>
  <c r="L56" i="30"/>
  <c r="M56" i="30"/>
  <c r="I57" i="30"/>
  <c r="J57" i="30"/>
  <c r="L57" i="30"/>
  <c r="M57" i="30"/>
  <c r="I58" i="30"/>
  <c r="AA58" i="30" s="1"/>
  <c r="J58" i="30"/>
  <c r="K58" i="30"/>
  <c r="L58" i="30"/>
  <c r="M58" i="30"/>
  <c r="I59" i="30"/>
  <c r="K59" i="30" s="1"/>
  <c r="J59" i="30"/>
  <c r="L59" i="30"/>
  <c r="M59" i="30"/>
  <c r="I60" i="30"/>
  <c r="AA60" i="30" s="1"/>
  <c r="J60" i="30"/>
  <c r="K60" i="30"/>
  <c r="L60" i="30"/>
  <c r="M60" i="30"/>
  <c r="I61" i="30"/>
  <c r="AA61" i="30" s="1"/>
  <c r="AF61" i="30" s="1"/>
  <c r="J61" i="30"/>
  <c r="L61" i="30"/>
  <c r="M61" i="30"/>
  <c r="I62" i="30"/>
  <c r="J62" i="30"/>
  <c r="L62" i="30"/>
  <c r="M62" i="30"/>
  <c r="I63" i="30"/>
  <c r="K63" i="30" s="1"/>
  <c r="J63" i="30"/>
  <c r="L63" i="30"/>
  <c r="M63" i="30"/>
  <c r="I64" i="30"/>
  <c r="AA64" i="30" s="1"/>
  <c r="J64" i="30"/>
  <c r="L64" i="30"/>
  <c r="M64" i="30"/>
  <c r="I65" i="30"/>
  <c r="AA65" i="30" s="1"/>
  <c r="AI65" i="30" s="1"/>
  <c r="J65" i="30"/>
  <c r="L65" i="30"/>
  <c r="M65" i="30"/>
  <c r="I66" i="30"/>
  <c r="J66" i="30"/>
  <c r="K66" i="30"/>
  <c r="L66" i="30"/>
  <c r="M66" i="30"/>
  <c r="I67" i="30"/>
  <c r="K67" i="30" s="1"/>
  <c r="J67" i="30"/>
  <c r="L67" i="30"/>
  <c r="M67" i="30"/>
  <c r="I68" i="30"/>
  <c r="AA68" i="30" s="1"/>
  <c r="J68" i="30"/>
  <c r="K68" i="30"/>
  <c r="L68" i="30"/>
  <c r="M68" i="30"/>
  <c r="I69" i="30"/>
  <c r="AA69" i="30" s="1"/>
  <c r="J69" i="30"/>
  <c r="L69" i="30"/>
  <c r="M69" i="30"/>
  <c r="I70" i="30"/>
  <c r="J70" i="30"/>
  <c r="L70" i="30"/>
  <c r="M70" i="30"/>
  <c r="I71" i="30"/>
  <c r="K71" i="30" s="1"/>
  <c r="J71" i="30"/>
  <c r="L71" i="30"/>
  <c r="M71" i="30"/>
  <c r="B48" i="30"/>
  <c r="B49" i="30"/>
  <c r="B50" i="30"/>
  <c r="I49" i="30"/>
  <c r="J49" i="30"/>
  <c r="A45" i="30"/>
  <c r="AH36" i="30"/>
  <c r="AH37" i="30"/>
  <c r="AH40" i="30"/>
  <c r="AH43" i="30"/>
  <c r="AH44" i="30"/>
  <c r="AE36" i="30"/>
  <c r="AE37" i="30"/>
  <c r="AE40" i="30"/>
  <c r="AE42" i="30"/>
  <c r="AE46" i="30"/>
  <c r="AA41" i="30"/>
  <c r="I35" i="30"/>
  <c r="AA35" i="30" s="1"/>
  <c r="J35" i="30"/>
  <c r="L35" i="30"/>
  <c r="M35" i="30"/>
  <c r="N35" i="30"/>
  <c r="I36" i="30"/>
  <c r="AA36" i="30" s="1"/>
  <c r="AF36" i="30" s="1"/>
  <c r="J36" i="30"/>
  <c r="K36" i="30"/>
  <c r="L36" i="30"/>
  <c r="M36" i="30"/>
  <c r="N36" i="30"/>
  <c r="I37" i="30"/>
  <c r="K37" i="30" s="1"/>
  <c r="J37" i="30"/>
  <c r="L37" i="30"/>
  <c r="M37" i="30"/>
  <c r="N37" i="30"/>
  <c r="I38" i="30"/>
  <c r="J38" i="30"/>
  <c r="L38" i="30"/>
  <c r="M38" i="30"/>
  <c r="N38" i="30"/>
  <c r="I39" i="30"/>
  <c r="AA39" i="30" s="1"/>
  <c r="J39" i="30"/>
  <c r="L39" i="30"/>
  <c r="M39" i="30"/>
  <c r="N39" i="30"/>
  <c r="I40" i="30"/>
  <c r="J40" i="30"/>
  <c r="L40" i="30"/>
  <c r="M40" i="30"/>
  <c r="N40" i="30"/>
  <c r="I41" i="30"/>
  <c r="K41" i="30" s="1"/>
  <c r="J41" i="30"/>
  <c r="L41" i="30"/>
  <c r="M41" i="30"/>
  <c r="N41" i="30"/>
  <c r="I42" i="30"/>
  <c r="J42" i="30"/>
  <c r="L42" i="30"/>
  <c r="M42" i="30"/>
  <c r="N42" i="30"/>
  <c r="I43" i="30"/>
  <c r="J43" i="30"/>
  <c r="L43" i="30"/>
  <c r="M43" i="30"/>
  <c r="N43" i="30"/>
  <c r="I44" i="30"/>
  <c r="AA44" i="30" s="1"/>
  <c r="AF44" i="30" s="1"/>
  <c r="J44" i="30"/>
  <c r="K44" i="30"/>
  <c r="L44" i="30"/>
  <c r="M44" i="30"/>
  <c r="N44" i="30"/>
  <c r="I45" i="30"/>
  <c r="J45" i="30"/>
  <c r="L45" i="30"/>
  <c r="M45" i="30"/>
  <c r="N45" i="30"/>
  <c r="I46" i="30"/>
  <c r="J46" i="30"/>
  <c r="L46" i="30"/>
  <c r="M46" i="30"/>
  <c r="N46" i="30"/>
  <c r="I47" i="30"/>
  <c r="AA47" i="30" s="1"/>
  <c r="J47" i="30"/>
  <c r="K47" i="30"/>
  <c r="L47" i="30"/>
  <c r="M47" i="30"/>
  <c r="N47" i="30"/>
  <c r="N33" i="30"/>
  <c r="N34" i="30"/>
  <c r="I33" i="30"/>
  <c r="J33" i="30"/>
  <c r="I34" i="30"/>
  <c r="J34" i="30"/>
  <c r="AG32" i="30"/>
  <c r="AL32" i="30" s="1"/>
  <c r="AD32" i="30"/>
  <c r="AK32" i="30" s="1"/>
  <c r="O32" i="30"/>
  <c r="P32" i="30"/>
  <c r="Q32" i="30"/>
  <c r="R32" i="30"/>
  <c r="S32" i="30"/>
  <c r="T32" i="30"/>
  <c r="U32" i="30"/>
  <c r="V32" i="30"/>
  <c r="W32" i="30"/>
  <c r="X32" i="30"/>
  <c r="Y32" i="30"/>
  <c r="Z32" i="30"/>
  <c r="AJ32" i="30" s="1"/>
  <c r="AJ31" i="30"/>
  <c r="AK31" i="30"/>
  <c r="AM31" i="30" s="1"/>
  <c r="AL31" i="30"/>
  <c r="AN31" i="30"/>
  <c r="AG31" i="30"/>
  <c r="AD31" i="30"/>
  <c r="O31" i="30"/>
  <c r="P31" i="30"/>
  <c r="Q31" i="30"/>
  <c r="R31" i="30"/>
  <c r="S31" i="30"/>
  <c r="T31" i="30"/>
  <c r="U31" i="30"/>
  <c r="V31" i="30"/>
  <c r="W31" i="30"/>
  <c r="X31" i="30"/>
  <c r="Y31" i="30"/>
  <c r="Z31" i="30"/>
  <c r="AA31" i="30"/>
  <c r="N26" i="30"/>
  <c r="N27" i="30"/>
  <c r="N28" i="30"/>
  <c r="N29" i="30"/>
  <c r="B22" i="30"/>
  <c r="B23" i="30"/>
  <c r="AG16" i="30"/>
  <c r="AG19" i="30"/>
  <c r="AH57" i="30" s="1"/>
  <c r="AG20" i="30"/>
  <c r="AD19" i="30"/>
  <c r="AE75" i="30" s="1"/>
  <c r="AD20" i="30"/>
  <c r="N19" i="30"/>
  <c r="O19" i="30"/>
  <c r="P19" i="30"/>
  <c r="Q19" i="30"/>
  <c r="R19" i="30"/>
  <c r="S19" i="30"/>
  <c r="T19" i="30"/>
  <c r="U19" i="30"/>
  <c r="V19" i="30"/>
  <c r="W19" i="30"/>
  <c r="X19" i="30"/>
  <c r="Y19" i="30"/>
  <c r="Z19" i="30"/>
  <c r="N20" i="30"/>
  <c r="O20" i="30"/>
  <c r="P20" i="30"/>
  <c r="Q20" i="30"/>
  <c r="R20" i="30"/>
  <c r="S20" i="30"/>
  <c r="T20" i="30"/>
  <c r="U20" i="30"/>
  <c r="V20" i="30"/>
  <c r="W20" i="30"/>
  <c r="X20" i="30"/>
  <c r="Y20" i="30"/>
  <c r="Z20" i="30"/>
  <c r="B17" i="30"/>
  <c r="B18" i="30"/>
  <c r="B19" i="30"/>
  <c r="O17" i="30"/>
  <c r="P17" i="30"/>
  <c r="Q17" i="30"/>
  <c r="R17" i="30"/>
  <c r="S17" i="30"/>
  <c r="T17" i="30"/>
  <c r="U17" i="30"/>
  <c r="V17" i="30"/>
  <c r="W17" i="30"/>
  <c r="X17" i="30"/>
  <c r="Y17" i="30"/>
  <c r="Z17" i="30"/>
  <c r="O16" i="30"/>
  <c r="P16" i="30"/>
  <c r="Q16" i="30"/>
  <c r="R16" i="30"/>
  <c r="S16" i="30"/>
  <c r="T16" i="30"/>
  <c r="U16" i="30"/>
  <c r="V16" i="30"/>
  <c r="W16" i="30"/>
  <c r="X16" i="30"/>
  <c r="Y16" i="30"/>
  <c r="A14" i="30"/>
  <c r="AG12" i="30"/>
  <c r="AG13" i="30"/>
  <c r="AD12" i="30"/>
  <c r="AD13" i="30"/>
  <c r="B12" i="30"/>
  <c r="B13" i="30"/>
  <c r="O12" i="30"/>
  <c r="P12" i="30"/>
  <c r="Q12" i="30"/>
  <c r="R12" i="30"/>
  <c r="S12" i="30"/>
  <c r="T12" i="30"/>
  <c r="U12" i="30"/>
  <c r="V12" i="30"/>
  <c r="W12" i="30"/>
  <c r="X12" i="30"/>
  <c r="Y12" i="30"/>
  <c r="Z12" i="30"/>
  <c r="AA12" i="30"/>
  <c r="O13" i="30"/>
  <c r="P13" i="30"/>
  <c r="Q13" i="30"/>
  <c r="R13" i="30"/>
  <c r="S13" i="30"/>
  <c r="T13" i="30"/>
  <c r="U13" i="30"/>
  <c r="V13" i="30"/>
  <c r="W13" i="30"/>
  <c r="X13" i="30"/>
  <c r="Y13" i="30"/>
  <c r="Z13" i="30"/>
  <c r="AA13" i="30"/>
  <c r="O11" i="30"/>
  <c r="P11" i="30"/>
  <c r="Q11" i="30"/>
  <c r="R11" i="30"/>
  <c r="S11" i="30"/>
  <c r="T11" i="30"/>
  <c r="U11" i="30"/>
  <c r="V11" i="30"/>
  <c r="W11" i="30"/>
  <c r="X11" i="30"/>
  <c r="Y11" i="30"/>
  <c r="Z11" i="30"/>
  <c r="C10" i="30"/>
  <c r="D10" i="30"/>
  <c r="C9" i="30"/>
  <c r="C1" i="30"/>
  <c r="C2" i="30"/>
  <c r="C3" i="30"/>
  <c r="C4" i="30"/>
  <c r="C5" i="30"/>
  <c r="C6" i="30"/>
  <c r="C7" i="30"/>
  <c r="C8" i="30"/>
  <c r="E6" i="30"/>
  <c r="E4" i="30"/>
  <c r="F4" i="30"/>
  <c r="B3" i="30"/>
  <c r="AG77" i="29"/>
  <c r="AG78" i="29"/>
  <c r="AD77" i="29"/>
  <c r="AD78" i="29"/>
  <c r="O77" i="29"/>
  <c r="P77" i="29"/>
  <c r="Q77" i="29"/>
  <c r="R77" i="29"/>
  <c r="S77" i="29"/>
  <c r="T77" i="29"/>
  <c r="U77" i="29"/>
  <c r="V77" i="29"/>
  <c r="W77" i="29"/>
  <c r="X77" i="29"/>
  <c r="Y77" i="29"/>
  <c r="Z77" i="29"/>
  <c r="O78" i="29"/>
  <c r="P78" i="29"/>
  <c r="Q78" i="29"/>
  <c r="R78" i="29"/>
  <c r="S78" i="29"/>
  <c r="T78" i="29"/>
  <c r="U78" i="29"/>
  <c r="V78" i="29"/>
  <c r="W78" i="29"/>
  <c r="X78" i="29"/>
  <c r="Y78" i="29"/>
  <c r="Z78" i="29"/>
  <c r="N74" i="29"/>
  <c r="N77" i="29" s="1"/>
  <c r="N75" i="29"/>
  <c r="N78" i="29" s="1"/>
  <c r="I74" i="29"/>
  <c r="AA74" i="29" s="1"/>
  <c r="AF74" i="29" s="1"/>
  <c r="J74" i="29"/>
  <c r="I75" i="29"/>
  <c r="AA75" i="29" s="1"/>
  <c r="J75" i="29"/>
  <c r="N49" i="29"/>
  <c r="N50" i="29"/>
  <c r="N51" i="29"/>
  <c r="N52" i="29"/>
  <c r="N53" i="29"/>
  <c r="N54" i="29"/>
  <c r="N55" i="29"/>
  <c r="N56" i="29"/>
  <c r="N57" i="29"/>
  <c r="N58" i="29"/>
  <c r="N59" i="29"/>
  <c r="N60" i="29"/>
  <c r="N61" i="29"/>
  <c r="N62" i="29"/>
  <c r="N63" i="29"/>
  <c r="N64" i="29"/>
  <c r="N65" i="29"/>
  <c r="N66" i="29"/>
  <c r="N67" i="29"/>
  <c r="N68" i="29"/>
  <c r="N69" i="29"/>
  <c r="N70" i="29"/>
  <c r="N71" i="29"/>
  <c r="N72" i="29"/>
  <c r="I72" i="29"/>
  <c r="J72" i="29"/>
  <c r="B54" i="29"/>
  <c r="AL51" i="29"/>
  <c r="AH52" i="29"/>
  <c r="AL55" i="29"/>
  <c r="AH57" i="29"/>
  <c r="AI59" i="29"/>
  <c r="AH62" i="29"/>
  <c r="AH64" i="29"/>
  <c r="AH65" i="29"/>
  <c r="AK68" i="29"/>
  <c r="AL68" i="29"/>
  <c r="AL69" i="29"/>
  <c r="AE52" i="29"/>
  <c r="AE54" i="29"/>
  <c r="AF56" i="29"/>
  <c r="AE58" i="29"/>
  <c r="AE59" i="29"/>
  <c r="AE62" i="29"/>
  <c r="AE65" i="29"/>
  <c r="AF72" i="29"/>
  <c r="AA50" i="29"/>
  <c r="AI50" i="29" s="1"/>
  <c r="AA53" i="29"/>
  <c r="AA59" i="29"/>
  <c r="AF59" i="29" s="1"/>
  <c r="AA69" i="29"/>
  <c r="AI69" i="29" s="1"/>
  <c r="AA71" i="29"/>
  <c r="AA72" i="29"/>
  <c r="AI72" i="29" s="1"/>
  <c r="I50" i="29"/>
  <c r="J50" i="29"/>
  <c r="K50" i="29"/>
  <c r="L50" i="29"/>
  <c r="M50" i="29"/>
  <c r="I51" i="29"/>
  <c r="K51" i="29" s="1"/>
  <c r="J51" i="29"/>
  <c r="L51" i="29"/>
  <c r="M51" i="29"/>
  <c r="I52" i="29"/>
  <c r="AA52" i="29" s="1"/>
  <c r="J52" i="29"/>
  <c r="L52" i="29"/>
  <c r="M52" i="29"/>
  <c r="I53" i="29"/>
  <c r="K53" i="29" s="1"/>
  <c r="J53" i="29"/>
  <c r="L53" i="29"/>
  <c r="M53" i="29"/>
  <c r="I54" i="29"/>
  <c r="J54" i="29"/>
  <c r="L54" i="29"/>
  <c r="M54" i="29"/>
  <c r="I55" i="29"/>
  <c r="AA55" i="29" s="1"/>
  <c r="J55" i="29"/>
  <c r="K55" i="29"/>
  <c r="L55" i="29"/>
  <c r="M55" i="29"/>
  <c r="I56" i="29"/>
  <c r="AA56" i="29" s="1"/>
  <c r="J56" i="29"/>
  <c r="K56" i="29"/>
  <c r="L56" i="29"/>
  <c r="M56" i="29"/>
  <c r="I57" i="29"/>
  <c r="AA57" i="29" s="1"/>
  <c r="J57" i="29"/>
  <c r="L57" i="29"/>
  <c r="M57" i="29"/>
  <c r="I58" i="29"/>
  <c r="J58" i="29"/>
  <c r="L58" i="29"/>
  <c r="M58" i="29"/>
  <c r="I59" i="29"/>
  <c r="K59" i="29" s="1"/>
  <c r="J59" i="29"/>
  <c r="L59" i="29"/>
  <c r="M59" i="29"/>
  <c r="I60" i="29"/>
  <c r="J60" i="29"/>
  <c r="L60" i="29"/>
  <c r="M60" i="29"/>
  <c r="I61" i="29"/>
  <c r="AA61" i="29" s="1"/>
  <c r="J61" i="29"/>
  <c r="L61" i="29"/>
  <c r="M61" i="29"/>
  <c r="I62" i="29"/>
  <c r="J62" i="29"/>
  <c r="L62" i="29"/>
  <c r="M62" i="29"/>
  <c r="I63" i="29"/>
  <c r="AA63" i="29" s="1"/>
  <c r="J63" i="29"/>
  <c r="L63" i="29"/>
  <c r="M63" i="29"/>
  <c r="I64" i="29"/>
  <c r="AA64" i="29" s="1"/>
  <c r="J64" i="29"/>
  <c r="K64" i="29"/>
  <c r="L64" i="29"/>
  <c r="M64" i="29"/>
  <c r="I65" i="29"/>
  <c r="J65" i="29"/>
  <c r="L65" i="29"/>
  <c r="M65" i="29"/>
  <c r="I66" i="29"/>
  <c r="AA66" i="29" s="1"/>
  <c r="AF66" i="29" s="1"/>
  <c r="J66" i="29"/>
  <c r="L66" i="29"/>
  <c r="M66" i="29"/>
  <c r="I67" i="29"/>
  <c r="K67" i="29" s="1"/>
  <c r="J67" i="29"/>
  <c r="L67" i="29"/>
  <c r="M67" i="29"/>
  <c r="I68" i="29"/>
  <c r="AA68" i="29" s="1"/>
  <c r="J68" i="29"/>
  <c r="K68" i="29"/>
  <c r="L68" i="29"/>
  <c r="M68" i="29"/>
  <c r="I69" i="29"/>
  <c r="J69" i="29"/>
  <c r="K69" i="29"/>
  <c r="L69" i="29"/>
  <c r="M69" i="29"/>
  <c r="I70" i="29"/>
  <c r="J70" i="29"/>
  <c r="L70" i="29"/>
  <c r="M70" i="29"/>
  <c r="I71" i="29"/>
  <c r="J71" i="29"/>
  <c r="K71" i="29"/>
  <c r="L71" i="29"/>
  <c r="M71" i="29"/>
  <c r="B48" i="29"/>
  <c r="B49" i="29"/>
  <c r="B50" i="29"/>
  <c r="I49" i="29"/>
  <c r="J49" i="29"/>
  <c r="A45" i="29"/>
  <c r="AH36" i="29"/>
  <c r="AH37" i="29"/>
  <c r="AH38" i="29"/>
  <c r="AL40" i="29"/>
  <c r="AL41" i="29"/>
  <c r="AH44" i="29"/>
  <c r="AL46" i="29"/>
  <c r="AL47" i="29"/>
  <c r="AE36" i="29"/>
  <c r="AE37" i="29"/>
  <c r="AE38" i="29"/>
  <c r="AA35" i="29"/>
  <c r="AA40" i="29"/>
  <c r="AA45" i="29"/>
  <c r="AF45" i="29" s="1"/>
  <c r="I35" i="29"/>
  <c r="J35" i="29"/>
  <c r="K35" i="29"/>
  <c r="L35" i="29"/>
  <c r="M35" i="29"/>
  <c r="N35" i="29"/>
  <c r="I36" i="29"/>
  <c r="AA36" i="29" s="1"/>
  <c r="J36" i="29"/>
  <c r="L36" i="29"/>
  <c r="M36" i="29"/>
  <c r="N36" i="29"/>
  <c r="I37" i="29"/>
  <c r="J37" i="29"/>
  <c r="L37" i="29"/>
  <c r="M37" i="29"/>
  <c r="N37" i="29"/>
  <c r="I38" i="29"/>
  <c r="J38" i="29"/>
  <c r="L38" i="29"/>
  <c r="M38" i="29"/>
  <c r="N38" i="29"/>
  <c r="I39" i="29"/>
  <c r="J39" i="29"/>
  <c r="L39" i="29"/>
  <c r="M39" i="29"/>
  <c r="N39" i="29"/>
  <c r="I40" i="29"/>
  <c r="J40" i="29"/>
  <c r="K40" i="29"/>
  <c r="L40" i="29"/>
  <c r="M40" i="29"/>
  <c r="N40" i="29"/>
  <c r="I41" i="29"/>
  <c r="AA41" i="29" s="1"/>
  <c r="J41" i="29"/>
  <c r="L41" i="29"/>
  <c r="M41" i="29"/>
  <c r="N41" i="29"/>
  <c r="I42" i="29"/>
  <c r="J42" i="29"/>
  <c r="L42" i="29"/>
  <c r="M42" i="29"/>
  <c r="N42" i="29"/>
  <c r="I43" i="29"/>
  <c r="J43" i="29"/>
  <c r="L43" i="29"/>
  <c r="M43" i="29"/>
  <c r="N43" i="29"/>
  <c r="I44" i="29"/>
  <c r="AA44" i="29" s="1"/>
  <c r="J44" i="29"/>
  <c r="L44" i="29"/>
  <c r="M44" i="29"/>
  <c r="N44" i="29"/>
  <c r="I45" i="29"/>
  <c r="J45" i="29"/>
  <c r="K45" i="29"/>
  <c r="L45" i="29"/>
  <c r="M45" i="29"/>
  <c r="N45" i="29"/>
  <c r="I46" i="29"/>
  <c r="J46" i="29"/>
  <c r="L46" i="29"/>
  <c r="M46" i="29"/>
  <c r="N46" i="29"/>
  <c r="I47" i="29"/>
  <c r="AA47" i="29" s="1"/>
  <c r="AI47" i="29" s="1"/>
  <c r="J47" i="29"/>
  <c r="K47" i="29"/>
  <c r="L47" i="29"/>
  <c r="M47" i="29"/>
  <c r="N47" i="29"/>
  <c r="N33" i="29"/>
  <c r="N34" i="29"/>
  <c r="I33" i="29"/>
  <c r="J33" i="29"/>
  <c r="I34" i="29"/>
  <c r="J34" i="29"/>
  <c r="AG32" i="29"/>
  <c r="AL32" i="29" s="1"/>
  <c r="AD32" i="29"/>
  <c r="AK32" i="29" s="1"/>
  <c r="O32" i="29"/>
  <c r="P32" i="29"/>
  <c r="Q32" i="29"/>
  <c r="R32" i="29"/>
  <c r="S32" i="29"/>
  <c r="T32" i="29"/>
  <c r="U32" i="29"/>
  <c r="V32" i="29"/>
  <c r="W32" i="29"/>
  <c r="X32" i="29"/>
  <c r="Y32" i="29"/>
  <c r="Z32" i="29"/>
  <c r="AJ32" i="29" s="1"/>
  <c r="AJ31" i="29"/>
  <c r="AK31" i="29"/>
  <c r="AL31" i="29"/>
  <c r="AN31" i="29" s="1"/>
  <c r="AM31" i="29"/>
  <c r="AG31" i="29"/>
  <c r="AD31" i="29"/>
  <c r="O31" i="29"/>
  <c r="P31" i="29"/>
  <c r="Q31" i="29"/>
  <c r="R31" i="29"/>
  <c r="S31" i="29"/>
  <c r="T31" i="29"/>
  <c r="U31" i="29"/>
  <c r="V31" i="29"/>
  <c r="W31" i="29"/>
  <c r="X31" i="29"/>
  <c r="Y31" i="29"/>
  <c r="Z31" i="29"/>
  <c r="AA31" i="29"/>
  <c r="N26" i="29"/>
  <c r="N27" i="29"/>
  <c r="N28" i="29"/>
  <c r="N29" i="29"/>
  <c r="B22" i="29"/>
  <c r="B23" i="29"/>
  <c r="AG16" i="29"/>
  <c r="AG19" i="29"/>
  <c r="AH35" i="29" s="1"/>
  <c r="AG20" i="29"/>
  <c r="AD19" i="29"/>
  <c r="AE50" i="29" s="1"/>
  <c r="AD20" i="29"/>
  <c r="N19" i="29"/>
  <c r="O19" i="29"/>
  <c r="P19" i="29"/>
  <c r="Q19" i="29"/>
  <c r="R19" i="29"/>
  <c r="S19" i="29"/>
  <c r="T19" i="29"/>
  <c r="U19" i="29"/>
  <c r="V19" i="29"/>
  <c r="W19" i="29"/>
  <c r="X19" i="29"/>
  <c r="Y19" i="29"/>
  <c r="Z19" i="29"/>
  <c r="N20" i="29"/>
  <c r="O20" i="29"/>
  <c r="P20" i="29"/>
  <c r="Q20" i="29"/>
  <c r="R20" i="29"/>
  <c r="S20" i="29"/>
  <c r="T20" i="29"/>
  <c r="U20" i="29"/>
  <c r="V20" i="29"/>
  <c r="W20" i="29"/>
  <c r="X20" i="29"/>
  <c r="Y20" i="29"/>
  <c r="Z20" i="29"/>
  <c r="B17" i="29"/>
  <c r="B18" i="29"/>
  <c r="B19" i="29"/>
  <c r="O17" i="29"/>
  <c r="P17" i="29"/>
  <c r="Q17" i="29"/>
  <c r="R17" i="29"/>
  <c r="S17" i="29"/>
  <c r="T17" i="29"/>
  <c r="U17" i="29"/>
  <c r="V17" i="29"/>
  <c r="W17" i="29"/>
  <c r="X17" i="29"/>
  <c r="Y17" i="29"/>
  <c r="Z17" i="29"/>
  <c r="O16" i="29"/>
  <c r="P16" i="29"/>
  <c r="Q16" i="29"/>
  <c r="R16" i="29"/>
  <c r="S16" i="29"/>
  <c r="T16" i="29"/>
  <c r="U16" i="29"/>
  <c r="V16" i="29"/>
  <c r="W16" i="29"/>
  <c r="X16" i="29"/>
  <c r="Y16" i="29"/>
  <c r="A14" i="29"/>
  <c r="AG12" i="29"/>
  <c r="AG13" i="29"/>
  <c r="AD12" i="29"/>
  <c r="AD13" i="29"/>
  <c r="B12" i="29"/>
  <c r="B13" i="29"/>
  <c r="O12" i="29"/>
  <c r="P12" i="29"/>
  <c r="Q12" i="29"/>
  <c r="R12" i="29"/>
  <c r="S12" i="29"/>
  <c r="T12" i="29"/>
  <c r="U12" i="29"/>
  <c r="V12" i="29"/>
  <c r="W12" i="29"/>
  <c r="X12" i="29"/>
  <c r="Y12" i="29"/>
  <c r="Z12" i="29"/>
  <c r="AA12" i="29"/>
  <c r="O13" i="29"/>
  <c r="P13" i="29"/>
  <c r="Q13" i="29"/>
  <c r="R13" i="29"/>
  <c r="S13" i="29"/>
  <c r="T13" i="29"/>
  <c r="U13" i="29"/>
  <c r="V13" i="29"/>
  <c r="W13" i="29"/>
  <c r="X13" i="29"/>
  <c r="Y13" i="29"/>
  <c r="Z13" i="29"/>
  <c r="AA13" i="29"/>
  <c r="O11" i="29"/>
  <c r="P11" i="29"/>
  <c r="Q11" i="29"/>
  <c r="R11" i="29"/>
  <c r="S11" i="29"/>
  <c r="T11" i="29"/>
  <c r="U11" i="29"/>
  <c r="V11" i="29"/>
  <c r="W11" i="29"/>
  <c r="X11" i="29"/>
  <c r="Y11" i="29"/>
  <c r="Z11" i="29"/>
  <c r="C10" i="29"/>
  <c r="D10" i="29"/>
  <c r="C9" i="29"/>
  <c r="C1" i="29"/>
  <c r="C2" i="29"/>
  <c r="C3" i="29"/>
  <c r="C4" i="29"/>
  <c r="C5" i="29"/>
  <c r="C6" i="29"/>
  <c r="C7" i="29"/>
  <c r="C8" i="29"/>
  <c r="E6" i="29"/>
  <c r="E4" i="29"/>
  <c r="F4" i="29"/>
  <c r="B3" i="29"/>
  <c r="B100" i="28"/>
  <c r="B94" i="28"/>
  <c r="B95" i="28"/>
  <c r="B96" i="28"/>
  <c r="A91" i="28"/>
  <c r="B77" i="28"/>
  <c r="B71" i="28"/>
  <c r="B72" i="28"/>
  <c r="B73" i="28"/>
  <c r="AG70" i="28"/>
  <c r="AD70" i="28"/>
  <c r="O70" i="28"/>
  <c r="P70" i="28"/>
  <c r="Q70" i="28"/>
  <c r="R70" i="28"/>
  <c r="S70" i="28"/>
  <c r="T70" i="28"/>
  <c r="U70" i="28"/>
  <c r="V70" i="28"/>
  <c r="W70" i="28"/>
  <c r="X70" i="28"/>
  <c r="Y70" i="28"/>
  <c r="Z70" i="28"/>
  <c r="A68" i="28"/>
  <c r="N66" i="28"/>
  <c r="N69" i="28" s="1"/>
  <c r="N67" i="28"/>
  <c r="N70" i="28" s="1"/>
  <c r="AL66" i="28"/>
  <c r="I66" i="28"/>
  <c r="AA66" i="28" s="1"/>
  <c r="J66" i="28"/>
  <c r="I67" i="28"/>
  <c r="AA67" i="28" s="1"/>
  <c r="AI67" i="28" s="1"/>
  <c r="J67" i="28"/>
  <c r="AD64" i="28"/>
  <c r="AG64" i="28"/>
  <c r="N64" i="28"/>
  <c r="O64" i="28"/>
  <c r="P64" i="28"/>
  <c r="Q64" i="28"/>
  <c r="R64" i="28"/>
  <c r="S64" i="28"/>
  <c r="T64" i="28"/>
  <c r="U64" i="28"/>
  <c r="V64" i="28"/>
  <c r="W64" i="28"/>
  <c r="X64" i="28"/>
  <c r="Y64" i="28"/>
  <c r="Z64" i="28"/>
  <c r="I64" i="28"/>
  <c r="J64" i="28"/>
  <c r="AL58" i="28"/>
  <c r="AH61" i="28"/>
  <c r="AL61" i="28"/>
  <c r="AH62" i="28"/>
  <c r="AE57" i="28"/>
  <c r="AE58" i="28"/>
  <c r="AE59" i="28"/>
  <c r="AE60" i="28"/>
  <c r="AE61" i="28"/>
  <c r="AE62" i="28"/>
  <c r="AE63" i="28"/>
  <c r="AA63" i="28"/>
  <c r="AF63" i="28" s="1"/>
  <c r="I57" i="28"/>
  <c r="AA57" i="28" s="1"/>
  <c r="J57" i="28"/>
  <c r="L57" i="28"/>
  <c r="M57" i="28"/>
  <c r="N57" i="28"/>
  <c r="I58" i="28"/>
  <c r="J58" i="28"/>
  <c r="L58" i="28"/>
  <c r="M58" i="28"/>
  <c r="N58" i="28"/>
  <c r="I59" i="28"/>
  <c r="AA59" i="28" s="1"/>
  <c r="AF59" i="28" s="1"/>
  <c r="J59" i="28"/>
  <c r="K59" i="28"/>
  <c r="L59" i="28"/>
  <c r="M59" i="28"/>
  <c r="N59" i="28"/>
  <c r="I60" i="28"/>
  <c r="AA60" i="28" s="1"/>
  <c r="J60" i="28"/>
  <c r="K60" i="28"/>
  <c r="L60" i="28"/>
  <c r="M60" i="28"/>
  <c r="N60" i="28"/>
  <c r="I61" i="28"/>
  <c r="AA61" i="28" s="1"/>
  <c r="J61" i="28"/>
  <c r="L61" i="28"/>
  <c r="M61" i="28"/>
  <c r="N61" i="28"/>
  <c r="I62" i="28"/>
  <c r="AA62" i="28" s="1"/>
  <c r="J62" i="28"/>
  <c r="L62" i="28"/>
  <c r="M62" i="28"/>
  <c r="N62" i="28"/>
  <c r="I63" i="28"/>
  <c r="J63" i="28"/>
  <c r="K63" i="28"/>
  <c r="L63" i="28"/>
  <c r="M63" i="28"/>
  <c r="N63" i="28"/>
  <c r="N56" i="28"/>
  <c r="I56" i="28"/>
  <c r="J56" i="28"/>
  <c r="AD54" i="28"/>
  <c r="AG54" i="28"/>
  <c r="AH54" i="28" s="1"/>
  <c r="L54" i="28"/>
  <c r="M54" i="28"/>
  <c r="N54" i="28"/>
  <c r="O54" i="28"/>
  <c r="P54" i="28"/>
  <c r="Q54" i="28"/>
  <c r="R54" i="28"/>
  <c r="S54" i="28"/>
  <c r="T54" i="28"/>
  <c r="U54" i="28"/>
  <c r="V54" i="28"/>
  <c r="W54" i="28"/>
  <c r="X54" i="28"/>
  <c r="Y54" i="28"/>
  <c r="Z54" i="28"/>
  <c r="I54" i="28"/>
  <c r="J54" i="28"/>
  <c r="B54" i="28"/>
  <c r="B48" i="28"/>
  <c r="B49" i="28"/>
  <c r="B50" i="28"/>
  <c r="AL47" i="28"/>
  <c r="AL50" i="28"/>
  <c r="AH51" i="28"/>
  <c r="AK51" i="28"/>
  <c r="AL52" i="28"/>
  <c r="AE51" i="28"/>
  <c r="AA48" i="28"/>
  <c r="AA51" i="28"/>
  <c r="AF51" i="28" s="1"/>
  <c r="I47" i="28"/>
  <c r="J47" i="28"/>
  <c r="L47" i="28"/>
  <c r="M47" i="28"/>
  <c r="N47" i="28"/>
  <c r="I48" i="28"/>
  <c r="K48" i="28" s="1"/>
  <c r="J48" i="28"/>
  <c r="L48" i="28"/>
  <c r="M48" i="28"/>
  <c r="N48" i="28"/>
  <c r="I49" i="28"/>
  <c r="AA49" i="28" s="1"/>
  <c r="J49" i="28"/>
  <c r="L49" i="28"/>
  <c r="M49" i="28"/>
  <c r="N49" i="28"/>
  <c r="I50" i="28"/>
  <c r="J50" i="28"/>
  <c r="L50" i="28"/>
  <c r="M50" i="28"/>
  <c r="N50" i="28"/>
  <c r="I51" i="28"/>
  <c r="J51" i="28"/>
  <c r="K51" i="28"/>
  <c r="L51" i="28"/>
  <c r="M51" i="28"/>
  <c r="N51" i="28"/>
  <c r="I52" i="28"/>
  <c r="J52" i="28"/>
  <c r="L52" i="28"/>
  <c r="M52" i="28"/>
  <c r="N52" i="28"/>
  <c r="I53" i="28"/>
  <c r="AA53" i="28" s="1"/>
  <c r="J53" i="28"/>
  <c r="L53" i="28"/>
  <c r="M53" i="28"/>
  <c r="N53" i="28"/>
  <c r="N46" i="28"/>
  <c r="I46" i="28"/>
  <c r="J46" i="28"/>
  <c r="A45" i="28"/>
  <c r="AD44" i="28"/>
  <c r="AG44" i="28"/>
  <c r="AL44" i="28" s="1"/>
  <c r="L44" i="28"/>
  <c r="M44" i="28"/>
  <c r="N44" i="28"/>
  <c r="O44" i="28"/>
  <c r="O69" i="28" s="1"/>
  <c r="P44" i="28"/>
  <c r="Q44" i="28"/>
  <c r="R44" i="28"/>
  <c r="R69" i="28" s="1"/>
  <c r="S44" i="28"/>
  <c r="T44" i="28"/>
  <c r="U44" i="28"/>
  <c r="V44" i="28"/>
  <c r="V69" i="28" s="1"/>
  <c r="W44" i="28"/>
  <c r="W69" i="28" s="1"/>
  <c r="X44" i="28"/>
  <c r="Y44" i="28"/>
  <c r="Z44" i="28"/>
  <c r="Z69" i="28" s="1"/>
  <c r="I44" i="28"/>
  <c r="AA44" i="28" s="1"/>
  <c r="J44" i="28"/>
  <c r="AL40" i="28"/>
  <c r="AH41" i="28"/>
  <c r="AH42" i="28"/>
  <c r="AK43" i="28"/>
  <c r="AL43" i="28"/>
  <c r="AE41" i="28"/>
  <c r="AE42" i="28"/>
  <c r="AA43" i="28"/>
  <c r="AF43" i="28" s="1"/>
  <c r="I39" i="28"/>
  <c r="J39" i="28"/>
  <c r="L39" i="28"/>
  <c r="M39" i="28"/>
  <c r="N39" i="28"/>
  <c r="I40" i="28"/>
  <c r="AA40" i="28" s="1"/>
  <c r="AF40" i="28" s="1"/>
  <c r="J40" i="28"/>
  <c r="L40" i="28"/>
  <c r="M40" i="28"/>
  <c r="N40" i="28"/>
  <c r="I41" i="28"/>
  <c r="AA41" i="28" s="1"/>
  <c r="J41" i="28"/>
  <c r="L41" i="28"/>
  <c r="M41" i="28"/>
  <c r="N41" i="28"/>
  <c r="I42" i="28"/>
  <c r="AA42" i="28" s="1"/>
  <c r="J42" i="28"/>
  <c r="K42" i="28"/>
  <c r="L42" i="28"/>
  <c r="M42" i="28"/>
  <c r="N42" i="28"/>
  <c r="I43" i="28"/>
  <c r="K43" i="28" s="1"/>
  <c r="J43" i="28"/>
  <c r="L43" i="28"/>
  <c r="M43" i="28"/>
  <c r="N43" i="28"/>
  <c r="N38" i="28"/>
  <c r="I38" i="28"/>
  <c r="J38" i="28"/>
  <c r="AH35" i="28"/>
  <c r="AH36" i="28"/>
  <c r="AL36" i="28"/>
  <c r="AE35" i="28"/>
  <c r="AE36" i="28"/>
  <c r="I35" i="28"/>
  <c r="J35" i="28"/>
  <c r="L35" i="28"/>
  <c r="M35" i="28"/>
  <c r="N35" i="28"/>
  <c r="I36" i="28"/>
  <c r="J36" i="28"/>
  <c r="L36" i="28"/>
  <c r="M36" i="28"/>
  <c r="N36" i="28"/>
  <c r="N33" i="28"/>
  <c r="N34" i="28"/>
  <c r="I33" i="28"/>
  <c r="J33" i="28"/>
  <c r="I34" i="28"/>
  <c r="J34" i="28"/>
  <c r="AG32" i="28"/>
  <c r="AL32" i="28" s="1"/>
  <c r="AD32" i="28"/>
  <c r="AK32" i="28" s="1"/>
  <c r="O32" i="28"/>
  <c r="P32" i="28"/>
  <c r="Q32" i="28"/>
  <c r="R32" i="28"/>
  <c r="S32" i="28"/>
  <c r="T32" i="28"/>
  <c r="U32" i="28"/>
  <c r="V32" i="28"/>
  <c r="W32" i="28"/>
  <c r="X32" i="28"/>
  <c r="Y32" i="28"/>
  <c r="Z32" i="28"/>
  <c r="AJ32" i="28" s="1"/>
  <c r="AJ31" i="28"/>
  <c r="AK31" i="28"/>
  <c r="AM31" i="28" s="1"/>
  <c r="AL31" i="28"/>
  <c r="AN31" i="28" s="1"/>
  <c r="AG31" i="28"/>
  <c r="AD31" i="28"/>
  <c r="O31" i="28"/>
  <c r="P31" i="28"/>
  <c r="Q31" i="28"/>
  <c r="R31" i="28"/>
  <c r="S31" i="28"/>
  <c r="T31" i="28"/>
  <c r="U31" i="28"/>
  <c r="V31" i="28"/>
  <c r="W31" i="28"/>
  <c r="X31" i="28"/>
  <c r="Y31" i="28"/>
  <c r="Z31" i="28"/>
  <c r="AA31" i="28"/>
  <c r="N26" i="28"/>
  <c r="N27" i="28"/>
  <c r="N28" i="28"/>
  <c r="N29" i="28"/>
  <c r="B22" i="28"/>
  <c r="B23" i="28"/>
  <c r="AG16" i="28"/>
  <c r="AG19" i="28"/>
  <c r="AG20" i="28"/>
  <c r="AL60" i="28" s="1"/>
  <c r="AD19" i="28"/>
  <c r="AE66" i="28" s="1"/>
  <c r="AD20" i="28"/>
  <c r="N19" i="28"/>
  <c r="O19" i="28"/>
  <c r="P19" i="28"/>
  <c r="Q19" i="28"/>
  <c r="R19" i="28"/>
  <c r="S19" i="28"/>
  <c r="T19" i="28"/>
  <c r="U19" i="28"/>
  <c r="V19" i="28"/>
  <c r="W19" i="28"/>
  <c r="X19" i="28"/>
  <c r="Y19" i="28"/>
  <c r="Z19" i="28"/>
  <c r="N20" i="28"/>
  <c r="O20" i="28"/>
  <c r="P20" i="28"/>
  <c r="Q20" i="28"/>
  <c r="R20" i="28"/>
  <c r="S20" i="28"/>
  <c r="T20" i="28"/>
  <c r="U20" i="28"/>
  <c r="V20" i="28"/>
  <c r="W20" i="28"/>
  <c r="X20" i="28"/>
  <c r="Y20" i="28"/>
  <c r="Z20" i="28"/>
  <c r="B17" i="28"/>
  <c r="B18" i="28"/>
  <c r="B19" i="28"/>
  <c r="O17" i="28"/>
  <c r="P17" i="28"/>
  <c r="Q17" i="28"/>
  <c r="R17" i="28"/>
  <c r="S17" i="28"/>
  <c r="T17" i="28"/>
  <c r="U17" i="28"/>
  <c r="V17" i="28"/>
  <c r="W17" i="28"/>
  <c r="X17" i="28"/>
  <c r="Y17" i="28"/>
  <c r="Z17" i="28"/>
  <c r="O16" i="28"/>
  <c r="P16" i="28"/>
  <c r="Q16" i="28"/>
  <c r="R16" i="28"/>
  <c r="S16" i="28"/>
  <c r="T16" i="28"/>
  <c r="U16" i="28"/>
  <c r="V16" i="28"/>
  <c r="W16" i="28"/>
  <c r="X16" i="28"/>
  <c r="Y16" i="28"/>
  <c r="Z16" i="28"/>
  <c r="A14" i="28"/>
  <c r="AG12" i="28"/>
  <c r="AG13" i="28"/>
  <c r="AD12" i="28"/>
  <c r="AD13" i="28"/>
  <c r="B12" i="28"/>
  <c r="B13" i="28"/>
  <c r="O12" i="28"/>
  <c r="P12" i="28"/>
  <c r="Q12" i="28"/>
  <c r="R12" i="28"/>
  <c r="S12" i="28"/>
  <c r="T12" i="28"/>
  <c r="U12" i="28"/>
  <c r="V12" i="28"/>
  <c r="W12" i="28"/>
  <c r="X12" i="28"/>
  <c r="Y12" i="28"/>
  <c r="Z12" i="28"/>
  <c r="AA12" i="28"/>
  <c r="O13" i="28"/>
  <c r="P13" i="28"/>
  <c r="Q13" i="28"/>
  <c r="R13" i="28"/>
  <c r="S13" i="28"/>
  <c r="T13" i="28"/>
  <c r="U13" i="28"/>
  <c r="V13" i="28"/>
  <c r="W13" i="28"/>
  <c r="X13" i="28"/>
  <c r="Y13" i="28"/>
  <c r="Z13" i="28"/>
  <c r="AA13" i="28"/>
  <c r="O11" i="28"/>
  <c r="P11" i="28"/>
  <c r="Q11" i="28"/>
  <c r="R11" i="28"/>
  <c r="S11" i="28"/>
  <c r="T11" i="28"/>
  <c r="U11" i="28"/>
  <c r="V11" i="28"/>
  <c r="W11" i="28"/>
  <c r="X11" i="28"/>
  <c r="Y11" i="28"/>
  <c r="Z11" i="28"/>
  <c r="C10" i="28"/>
  <c r="D10" i="28"/>
  <c r="AA16" i="28" s="1"/>
  <c r="C9" i="28"/>
  <c r="C1" i="28"/>
  <c r="C2" i="28"/>
  <c r="C3" i="28"/>
  <c r="C4" i="28"/>
  <c r="C5" i="28"/>
  <c r="C6" i="28"/>
  <c r="C7" i="28"/>
  <c r="C8" i="28"/>
  <c r="E6" i="28"/>
  <c r="E4" i="28"/>
  <c r="F4" i="28"/>
  <c r="B3" i="28"/>
  <c r="R47" i="27"/>
  <c r="AD45" i="27"/>
  <c r="AK45" i="27" s="1"/>
  <c r="AG45" i="27"/>
  <c r="N45" i="27"/>
  <c r="N47" i="27" s="1"/>
  <c r="O45" i="27"/>
  <c r="O47" i="27" s="1"/>
  <c r="P45" i="27"/>
  <c r="P47" i="27" s="1"/>
  <c r="Q45" i="27"/>
  <c r="Q47" i="27" s="1"/>
  <c r="R45" i="27"/>
  <c r="S45" i="27"/>
  <c r="S47" i="27" s="1"/>
  <c r="T45" i="27"/>
  <c r="T47" i="27" s="1"/>
  <c r="U45" i="27"/>
  <c r="U47" i="27" s="1"/>
  <c r="V45" i="27"/>
  <c r="V47" i="27" s="1"/>
  <c r="W45" i="27"/>
  <c r="W47" i="27" s="1"/>
  <c r="X45" i="27"/>
  <c r="X47" i="27" s="1"/>
  <c r="Y45" i="27"/>
  <c r="Y47" i="27" s="1"/>
  <c r="Z45" i="27"/>
  <c r="Z47" i="27" s="1"/>
  <c r="I45" i="27"/>
  <c r="J45" i="27"/>
  <c r="AH35" i="27"/>
  <c r="AL36" i="27"/>
  <c r="AH37" i="27"/>
  <c r="AL39" i="27"/>
  <c r="AK40" i="27"/>
  <c r="AK41" i="27"/>
  <c r="AL41" i="27"/>
  <c r="AK43" i="27"/>
  <c r="AH44" i="27"/>
  <c r="AL44" i="27"/>
  <c r="AF34" i="27"/>
  <c r="AE35" i="27"/>
  <c r="AE36" i="27"/>
  <c r="AE38" i="27"/>
  <c r="AE39" i="27"/>
  <c r="AE41" i="27"/>
  <c r="AE44" i="27"/>
  <c r="AA34" i="27"/>
  <c r="AI34" i="27" s="1"/>
  <c r="AA40" i="27"/>
  <c r="AA42" i="27"/>
  <c r="AI42" i="27" s="1"/>
  <c r="I34" i="27"/>
  <c r="J34" i="27"/>
  <c r="K34" i="27"/>
  <c r="L34" i="27"/>
  <c r="M34" i="27"/>
  <c r="N34" i="27"/>
  <c r="I35" i="27"/>
  <c r="K35" i="27" s="1"/>
  <c r="J35" i="27"/>
  <c r="L35" i="27"/>
  <c r="M35" i="27"/>
  <c r="N35" i="27"/>
  <c r="I36" i="27"/>
  <c r="AA36" i="27" s="1"/>
  <c r="J36" i="27"/>
  <c r="K36" i="27"/>
  <c r="L36" i="27"/>
  <c r="M36" i="27"/>
  <c r="N36" i="27"/>
  <c r="I37" i="27"/>
  <c r="J37" i="27"/>
  <c r="L37" i="27"/>
  <c r="M37" i="27"/>
  <c r="N37" i="27"/>
  <c r="I38" i="27"/>
  <c r="AA38" i="27" s="1"/>
  <c r="AI38" i="27" s="1"/>
  <c r="J38" i="27"/>
  <c r="L38" i="27"/>
  <c r="M38" i="27"/>
  <c r="N38" i="27"/>
  <c r="I39" i="27"/>
  <c r="K39" i="27" s="1"/>
  <c r="J39" i="27"/>
  <c r="L39" i="27"/>
  <c r="M39" i="27"/>
  <c r="N39" i="27"/>
  <c r="I40" i="27"/>
  <c r="K40" i="27" s="1"/>
  <c r="J40" i="27"/>
  <c r="L40" i="27"/>
  <c r="M40" i="27"/>
  <c r="N40" i="27"/>
  <c r="I41" i="27"/>
  <c r="AA41" i="27" s="1"/>
  <c r="J41" i="27"/>
  <c r="K41" i="27"/>
  <c r="L41" i="27"/>
  <c r="M41" i="27"/>
  <c r="N41" i="27"/>
  <c r="I42" i="27"/>
  <c r="K42" i="27" s="1"/>
  <c r="J42" i="27"/>
  <c r="L42" i="27"/>
  <c r="M42" i="27"/>
  <c r="N42" i="27"/>
  <c r="I43" i="27"/>
  <c r="J43" i="27"/>
  <c r="L43" i="27"/>
  <c r="M43" i="27"/>
  <c r="N43" i="27"/>
  <c r="I44" i="27"/>
  <c r="J44" i="27"/>
  <c r="L44" i="27"/>
  <c r="M44" i="27"/>
  <c r="N44" i="27"/>
  <c r="N33" i="27"/>
  <c r="I33" i="27"/>
  <c r="J33" i="27"/>
  <c r="AK32" i="27"/>
  <c r="AG32" i="27"/>
  <c r="AL32" i="27" s="1"/>
  <c r="AD32" i="27"/>
  <c r="O32" i="27"/>
  <c r="P32" i="27"/>
  <c r="Q32" i="27"/>
  <c r="R32" i="27"/>
  <c r="S32" i="27"/>
  <c r="T32" i="27"/>
  <c r="U32" i="27"/>
  <c r="V32" i="27"/>
  <c r="W32" i="27"/>
  <c r="X32" i="27"/>
  <c r="Y32" i="27"/>
  <c r="Z32" i="27"/>
  <c r="AJ32" i="27" s="1"/>
  <c r="AJ31" i="27"/>
  <c r="AK31" i="27"/>
  <c r="AM31" i="27" s="1"/>
  <c r="AL31" i="27"/>
  <c r="AN31" i="27"/>
  <c r="AG31" i="27"/>
  <c r="AD31" i="27"/>
  <c r="O31" i="27"/>
  <c r="P31" i="27"/>
  <c r="Q31" i="27"/>
  <c r="R31" i="27"/>
  <c r="S31" i="27"/>
  <c r="T31" i="27"/>
  <c r="U31" i="27"/>
  <c r="V31" i="27"/>
  <c r="W31" i="27"/>
  <c r="X31" i="27"/>
  <c r="Y31" i="27"/>
  <c r="Z31" i="27"/>
  <c r="AA31" i="27"/>
  <c r="N26" i="27"/>
  <c r="N27" i="27"/>
  <c r="N28" i="27"/>
  <c r="N29" i="27"/>
  <c r="B23" i="27"/>
  <c r="AG16" i="27"/>
  <c r="AG19" i="27"/>
  <c r="AH34" i="27" s="1"/>
  <c r="AG20" i="27"/>
  <c r="AL38" i="27" s="1"/>
  <c r="AD19" i="27"/>
  <c r="AD20" i="27"/>
  <c r="AK39" i="27" s="1"/>
  <c r="N19" i="27"/>
  <c r="O19" i="27"/>
  <c r="P19" i="27"/>
  <c r="Q19" i="27"/>
  <c r="R19" i="27"/>
  <c r="S19" i="27"/>
  <c r="T19" i="27"/>
  <c r="U19" i="27"/>
  <c r="V19" i="27"/>
  <c r="W19" i="27"/>
  <c r="X19" i="27"/>
  <c r="Y19" i="27"/>
  <c r="Z19" i="27"/>
  <c r="N20" i="27"/>
  <c r="O20" i="27"/>
  <c r="P20" i="27"/>
  <c r="Q20" i="27"/>
  <c r="R20" i="27"/>
  <c r="S20" i="27"/>
  <c r="T20" i="27"/>
  <c r="U20" i="27"/>
  <c r="V20" i="27"/>
  <c r="W20" i="27"/>
  <c r="X20" i="27"/>
  <c r="Y20" i="27"/>
  <c r="Z20" i="27"/>
  <c r="B17" i="27"/>
  <c r="B18" i="27"/>
  <c r="B19" i="27"/>
  <c r="O17" i="27"/>
  <c r="P17" i="27"/>
  <c r="Q17" i="27"/>
  <c r="R17" i="27"/>
  <c r="S17" i="27"/>
  <c r="T17" i="27"/>
  <c r="U17" i="27"/>
  <c r="V17" i="27"/>
  <c r="W17" i="27"/>
  <c r="X17" i="27"/>
  <c r="Y17" i="27"/>
  <c r="Z17" i="27"/>
  <c r="O16" i="27"/>
  <c r="P16" i="27"/>
  <c r="Q16" i="27"/>
  <c r="R16" i="27"/>
  <c r="S16" i="27"/>
  <c r="T16" i="27"/>
  <c r="U16" i="27"/>
  <c r="V16" i="27"/>
  <c r="W16" i="27"/>
  <c r="X16" i="27"/>
  <c r="Y16" i="27"/>
  <c r="A14" i="27"/>
  <c r="AG12" i="27"/>
  <c r="AG13" i="27"/>
  <c r="AD12" i="27"/>
  <c r="AD13" i="27"/>
  <c r="B12" i="27"/>
  <c r="B13" i="27"/>
  <c r="O12" i="27"/>
  <c r="P12" i="27"/>
  <c r="Q12" i="27"/>
  <c r="R12" i="27"/>
  <c r="S12" i="27"/>
  <c r="T12" i="27"/>
  <c r="U12" i="27"/>
  <c r="V12" i="27"/>
  <c r="W12" i="27"/>
  <c r="X12" i="27"/>
  <c r="Y12" i="27"/>
  <c r="Z12" i="27"/>
  <c r="AA12" i="27"/>
  <c r="O13" i="27"/>
  <c r="P13" i="27"/>
  <c r="Q13" i="27"/>
  <c r="R13" i="27"/>
  <c r="S13" i="27"/>
  <c r="T13" i="27"/>
  <c r="U13" i="27"/>
  <c r="V13" i="27"/>
  <c r="W13" i="27"/>
  <c r="X13" i="27"/>
  <c r="Y13" i="27"/>
  <c r="Z13" i="27"/>
  <c r="AA13" i="27"/>
  <c r="O11" i="27"/>
  <c r="P11" i="27"/>
  <c r="Q11" i="27"/>
  <c r="R11" i="27"/>
  <c r="S11" i="27"/>
  <c r="T11" i="27"/>
  <c r="U11" i="27"/>
  <c r="V11" i="27"/>
  <c r="W11" i="27"/>
  <c r="X11" i="27"/>
  <c r="Y11" i="27"/>
  <c r="Z11" i="27"/>
  <c r="C10" i="27"/>
  <c r="D10" i="27"/>
  <c r="C9" i="27"/>
  <c r="C1" i="27"/>
  <c r="C2" i="27"/>
  <c r="C3" i="27"/>
  <c r="C4" i="27"/>
  <c r="C5" i="27"/>
  <c r="C6" i="27"/>
  <c r="C7" i="27"/>
  <c r="C8" i="27"/>
  <c r="E6" i="27"/>
  <c r="E4" i="27"/>
  <c r="F4" i="27"/>
  <c r="B3" i="27"/>
  <c r="AG74" i="26"/>
  <c r="AG75" i="26"/>
  <c r="AD74" i="26"/>
  <c r="AD75" i="26"/>
  <c r="O74" i="26"/>
  <c r="P74" i="26"/>
  <c r="Q74" i="26"/>
  <c r="R74" i="26"/>
  <c r="S74" i="26"/>
  <c r="T74" i="26"/>
  <c r="U74" i="26"/>
  <c r="V74" i="26"/>
  <c r="W74" i="26"/>
  <c r="X74" i="26"/>
  <c r="Y74" i="26"/>
  <c r="Z74" i="26"/>
  <c r="O75" i="26"/>
  <c r="P75" i="26"/>
  <c r="Q75" i="26"/>
  <c r="R75" i="26"/>
  <c r="S75" i="26"/>
  <c r="T75" i="26"/>
  <c r="U75" i="26"/>
  <c r="V75" i="26"/>
  <c r="W75" i="26"/>
  <c r="X75" i="26"/>
  <c r="Y75" i="26"/>
  <c r="Z75" i="26"/>
  <c r="N71" i="26"/>
  <c r="N74" i="26" s="1"/>
  <c r="N72" i="26"/>
  <c r="N75" i="26" s="1"/>
  <c r="I71" i="26"/>
  <c r="AA71" i="26" s="1"/>
  <c r="AI71" i="26" s="1"/>
  <c r="J71" i="26"/>
  <c r="I72" i="26"/>
  <c r="AA72" i="26" s="1"/>
  <c r="J72" i="26"/>
  <c r="N49" i="26"/>
  <c r="N50" i="26"/>
  <c r="N51" i="26"/>
  <c r="N52" i="26"/>
  <c r="N53" i="26"/>
  <c r="N54" i="26"/>
  <c r="N55" i="26"/>
  <c r="N56" i="26"/>
  <c r="N57" i="26"/>
  <c r="N58" i="26"/>
  <c r="N59" i="26"/>
  <c r="N60" i="26"/>
  <c r="N61" i="26"/>
  <c r="N62" i="26"/>
  <c r="N63" i="26"/>
  <c r="N64" i="26"/>
  <c r="N65" i="26"/>
  <c r="N66" i="26"/>
  <c r="N67" i="26"/>
  <c r="N68" i="26"/>
  <c r="N69" i="26"/>
  <c r="I68" i="26"/>
  <c r="AA68" i="26" s="1"/>
  <c r="AF68" i="26" s="1"/>
  <c r="J68" i="26"/>
  <c r="I69" i="26"/>
  <c r="AA69" i="26" s="1"/>
  <c r="J69" i="26"/>
  <c r="B54" i="26"/>
  <c r="AH50" i="26"/>
  <c r="AH57" i="26"/>
  <c r="AK60" i="26"/>
  <c r="AK69" i="26"/>
  <c r="AE55" i="26"/>
  <c r="AE56" i="26"/>
  <c r="AE58" i="26"/>
  <c r="AE64" i="26"/>
  <c r="AE66" i="26"/>
  <c r="AE68" i="26"/>
  <c r="AA56" i="26"/>
  <c r="AA60" i="26"/>
  <c r="AI60" i="26" s="1"/>
  <c r="AA61" i="26"/>
  <c r="AA65" i="26"/>
  <c r="I50" i="26"/>
  <c r="K50" i="26" s="1"/>
  <c r="J50" i="26"/>
  <c r="L50" i="26"/>
  <c r="M50" i="26"/>
  <c r="I51" i="26"/>
  <c r="J51" i="26"/>
  <c r="L51" i="26"/>
  <c r="M51" i="26"/>
  <c r="I52" i="26"/>
  <c r="K52" i="26" s="1"/>
  <c r="J52" i="26"/>
  <c r="L52" i="26"/>
  <c r="M52" i="26"/>
  <c r="I53" i="26"/>
  <c r="K53" i="26" s="1"/>
  <c r="J53" i="26"/>
  <c r="L53" i="26"/>
  <c r="M53" i="26"/>
  <c r="I54" i="26"/>
  <c r="AA54" i="26" s="1"/>
  <c r="J54" i="26"/>
  <c r="L54" i="26"/>
  <c r="M54" i="26"/>
  <c r="I55" i="26"/>
  <c r="AA55" i="26" s="1"/>
  <c r="J55" i="26"/>
  <c r="L55" i="26"/>
  <c r="M55" i="26"/>
  <c r="I56" i="26"/>
  <c r="K56" i="26" s="1"/>
  <c r="J56" i="26"/>
  <c r="L56" i="26"/>
  <c r="M56" i="26"/>
  <c r="I57" i="26"/>
  <c r="J57" i="26"/>
  <c r="L57" i="26"/>
  <c r="M57" i="26"/>
  <c r="I58" i="26"/>
  <c r="K58" i="26" s="1"/>
  <c r="J58" i="26"/>
  <c r="L58" i="26"/>
  <c r="M58" i="26"/>
  <c r="I59" i="26"/>
  <c r="AA59" i="26" s="1"/>
  <c r="J59" i="26"/>
  <c r="L59" i="26"/>
  <c r="M59" i="26"/>
  <c r="I60" i="26"/>
  <c r="J60" i="26"/>
  <c r="K60" i="26"/>
  <c r="L60" i="26"/>
  <c r="M60" i="26"/>
  <c r="I61" i="26"/>
  <c r="K61" i="26" s="1"/>
  <c r="J61" i="26"/>
  <c r="L61" i="26"/>
  <c r="M61" i="26"/>
  <c r="I62" i="26"/>
  <c r="AA62" i="26" s="1"/>
  <c r="J62" i="26"/>
  <c r="L62" i="26"/>
  <c r="M62" i="26"/>
  <c r="I63" i="26"/>
  <c r="J63" i="26"/>
  <c r="L63" i="26"/>
  <c r="M63" i="26"/>
  <c r="I64" i="26"/>
  <c r="K64" i="26" s="1"/>
  <c r="J64" i="26"/>
  <c r="L64" i="26"/>
  <c r="M64" i="26"/>
  <c r="I65" i="26"/>
  <c r="J65" i="26"/>
  <c r="K65" i="26"/>
  <c r="L65" i="26"/>
  <c r="M65" i="26"/>
  <c r="I66" i="26"/>
  <c r="K66" i="26" s="1"/>
  <c r="J66" i="26"/>
  <c r="L66" i="26"/>
  <c r="M66" i="26"/>
  <c r="I67" i="26"/>
  <c r="AA67" i="26" s="1"/>
  <c r="J67" i="26"/>
  <c r="K67" i="26"/>
  <c r="L67" i="26"/>
  <c r="M67" i="26"/>
  <c r="B48" i="26"/>
  <c r="B49" i="26"/>
  <c r="B50" i="26"/>
  <c r="I49" i="26"/>
  <c r="J49" i="26"/>
  <c r="A45" i="26"/>
  <c r="AK38" i="26"/>
  <c r="AL38" i="26"/>
  <c r="AH40" i="26"/>
  <c r="AL44" i="26"/>
  <c r="AK46" i="26"/>
  <c r="AL46" i="26"/>
  <c r="AE46" i="26"/>
  <c r="AF46" i="26"/>
  <c r="AA39" i="26"/>
  <c r="AK35" i="26"/>
  <c r="AL35" i="26"/>
  <c r="AK37" i="26"/>
  <c r="AM37" i="26"/>
  <c r="AN37" i="26"/>
  <c r="AH36" i="26"/>
  <c r="AE36" i="26"/>
  <c r="I35" i="26"/>
  <c r="J35" i="26"/>
  <c r="L35" i="26"/>
  <c r="M35" i="26"/>
  <c r="N35" i="26"/>
  <c r="I36" i="26"/>
  <c r="J36" i="26"/>
  <c r="L36" i="26"/>
  <c r="M36" i="26"/>
  <c r="N36" i="26"/>
  <c r="I37" i="26"/>
  <c r="J37" i="26"/>
  <c r="L37" i="26"/>
  <c r="M37" i="26"/>
  <c r="N37" i="26"/>
  <c r="I38" i="26"/>
  <c r="J38" i="26"/>
  <c r="L38" i="26"/>
  <c r="M38" i="26"/>
  <c r="N38" i="26"/>
  <c r="I39" i="26"/>
  <c r="J39" i="26"/>
  <c r="K39" i="26"/>
  <c r="L39" i="26"/>
  <c r="M39" i="26"/>
  <c r="N39" i="26"/>
  <c r="I40" i="26"/>
  <c r="J40" i="26"/>
  <c r="L40" i="26"/>
  <c r="M40" i="26"/>
  <c r="N40" i="26"/>
  <c r="I41" i="26"/>
  <c r="J41" i="26"/>
  <c r="L41" i="26"/>
  <c r="M41" i="26"/>
  <c r="N41" i="26"/>
  <c r="I42" i="26"/>
  <c r="AA42" i="26" s="1"/>
  <c r="AI42" i="26" s="1"/>
  <c r="J42" i="26"/>
  <c r="L42" i="26"/>
  <c r="M42" i="26"/>
  <c r="N42" i="26"/>
  <c r="I43" i="26"/>
  <c r="AA43" i="26" s="1"/>
  <c r="AF43" i="26" s="1"/>
  <c r="J43" i="26"/>
  <c r="L43" i="26"/>
  <c r="M43" i="26"/>
  <c r="N43" i="26"/>
  <c r="I44" i="26"/>
  <c r="K44" i="26" s="1"/>
  <c r="J44" i="26"/>
  <c r="L44" i="26"/>
  <c r="M44" i="26"/>
  <c r="N44" i="26"/>
  <c r="I45" i="26"/>
  <c r="J45" i="26"/>
  <c r="L45" i="26"/>
  <c r="M45" i="26"/>
  <c r="N45" i="26"/>
  <c r="I46" i="26"/>
  <c r="AA46" i="26" s="1"/>
  <c r="J46" i="26"/>
  <c r="L46" i="26"/>
  <c r="M46" i="26"/>
  <c r="N46" i="26"/>
  <c r="I47" i="26"/>
  <c r="J47" i="26"/>
  <c r="L47" i="26"/>
  <c r="M47" i="26"/>
  <c r="N47" i="26"/>
  <c r="N33" i="26"/>
  <c r="N34" i="26"/>
  <c r="I33" i="26"/>
  <c r="J33" i="26"/>
  <c r="I34" i="26"/>
  <c r="J34" i="26"/>
  <c r="AJ32" i="26"/>
  <c r="AK32" i="26"/>
  <c r="AG32" i="26"/>
  <c r="AL32" i="26" s="1"/>
  <c r="AD32" i="26"/>
  <c r="O32" i="26"/>
  <c r="P32" i="26"/>
  <c r="Q32" i="26"/>
  <c r="R32" i="26"/>
  <c r="S32" i="26"/>
  <c r="T32" i="26"/>
  <c r="U32" i="26"/>
  <c r="V32" i="26"/>
  <c r="W32" i="26"/>
  <c r="X32" i="26"/>
  <c r="Y32" i="26"/>
  <c r="Z32" i="26"/>
  <c r="AJ31" i="26"/>
  <c r="AK31" i="26"/>
  <c r="AM31" i="26" s="1"/>
  <c r="AL31" i="26"/>
  <c r="AN31" i="26" s="1"/>
  <c r="AG31" i="26"/>
  <c r="AD31" i="26"/>
  <c r="O31" i="26"/>
  <c r="P31" i="26"/>
  <c r="Q31" i="26"/>
  <c r="R31" i="26"/>
  <c r="S31" i="26"/>
  <c r="T31" i="26"/>
  <c r="U31" i="26"/>
  <c r="V31" i="26"/>
  <c r="W31" i="26"/>
  <c r="X31" i="26"/>
  <c r="Y31" i="26"/>
  <c r="Z31" i="26"/>
  <c r="AA31" i="26"/>
  <c r="N26" i="26"/>
  <c r="N27" i="26"/>
  <c r="N28" i="26"/>
  <c r="N29" i="26"/>
  <c r="B22" i="26"/>
  <c r="B23" i="26"/>
  <c r="AG16" i="26"/>
  <c r="AG19" i="26"/>
  <c r="AH71" i="26" s="1"/>
  <c r="AG20" i="26"/>
  <c r="AL61" i="26" s="1"/>
  <c r="AD19" i="26"/>
  <c r="AD20" i="26"/>
  <c r="N19" i="26"/>
  <c r="O19" i="26"/>
  <c r="P19" i="26"/>
  <c r="Q19" i="26"/>
  <c r="R19" i="26"/>
  <c r="S19" i="26"/>
  <c r="T19" i="26"/>
  <c r="U19" i="26"/>
  <c r="V19" i="26"/>
  <c r="W19" i="26"/>
  <c r="X19" i="26"/>
  <c r="Y19" i="26"/>
  <c r="Z19" i="26"/>
  <c r="N20" i="26"/>
  <c r="O20" i="26"/>
  <c r="P20" i="26"/>
  <c r="Q20" i="26"/>
  <c r="R20" i="26"/>
  <c r="S20" i="26"/>
  <c r="T20" i="26"/>
  <c r="U20" i="26"/>
  <c r="V20" i="26"/>
  <c r="W20" i="26"/>
  <c r="X20" i="26"/>
  <c r="Y20" i="26"/>
  <c r="Z20" i="26"/>
  <c r="B17" i="26"/>
  <c r="B18" i="26"/>
  <c r="B19" i="26"/>
  <c r="O17" i="26"/>
  <c r="P17" i="26"/>
  <c r="Q17" i="26"/>
  <c r="R17" i="26"/>
  <c r="S17" i="26"/>
  <c r="T17" i="26"/>
  <c r="U17" i="26"/>
  <c r="V17" i="26"/>
  <c r="W17" i="26"/>
  <c r="X17" i="26"/>
  <c r="Y17" i="26"/>
  <c r="Z17" i="26"/>
  <c r="O16" i="26"/>
  <c r="P16" i="26"/>
  <c r="Q16" i="26"/>
  <c r="R16" i="26"/>
  <c r="S16" i="26"/>
  <c r="T16" i="26"/>
  <c r="U16" i="26"/>
  <c r="V16" i="26"/>
  <c r="W16" i="26"/>
  <c r="X16" i="26"/>
  <c r="Y16" i="26"/>
  <c r="A14" i="26"/>
  <c r="AG12" i="26"/>
  <c r="AG13" i="26"/>
  <c r="AD12" i="26"/>
  <c r="AD13" i="26"/>
  <c r="B12" i="26"/>
  <c r="B13" i="26"/>
  <c r="O12" i="26"/>
  <c r="P12" i="26"/>
  <c r="Q12" i="26"/>
  <c r="R12" i="26"/>
  <c r="S12" i="26"/>
  <c r="T12" i="26"/>
  <c r="U12" i="26"/>
  <c r="V12" i="26"/>
  <c r="W12" i="26"/>
  <c r="X12" i="26"/>
  <c r="Y12" i="26"/>
  <c r="Z12" i="26"/>
  <c r="AA12" i="26"/>
  <c r="O13" i="26"/>
  <c r="P13" i="26"/>
  <c r="Q13" i="26"/>
  <c r="R13" i="26"/>
  <c r="S13" i="26"/>
  <c r="T13" i="26"/>
  <c r="U13" i="26"/>
  <c r="V13" i="26"/>
  <c r="W13" i="26"/>
  <c r="X13" i="26"/>
  <c r="Y13" i="26"/>
  <c r="Z13" i="26"/>
  <c r="AA13" i="26"/>
  <c r="O11" i="26"/>
  <c r="P11" i="26"/>
  <c r="Q11" i="26"/>
  <c r="R11" i="26"/>
  <c r="S11" i="26"/>
  <c r="T11" i="26"/>
  <c r="U11" i="26"/>
  <c r="V11" i="26"/>
  <c r="W11" i="26"/>
  <c r="X11" i="26"/>
  <c r="Y11" i="26"/>
  <c r="Z11" i="26"/>
  <c r="C10" i="26"/>
  <c r="D10" i="26"/>
  <c r="AA16" i="26" s="1"/>
  <c r="C9" i="26"/>
  <c r="C1" i="26"/>
  <c r="C2" i="26"/>
  <c r="C3" i="26"/>
  <c r="C4" i="26"/>
  <c r="C5" i="26"/>
  <c r="C6" i="26"/>
  <c r="C7" i="26"/>
  <c r="C8" i="26"/>
  <c r="E6" i="26"/>
  <c r="E4" i="26"/>
  <c r="F4" i="26"/>
  <c r="B3" i="26"/>
  <c r="N54" i="25"/>
  <c r="V54" i="25"/>
  <c r="X54" i="25"/>
  <c r="AD52" i="25"/>
  <c r="AG52" i="25"/>
  <c r="AL52" i="25" s="1"/>
  <c r="AH52" i="25"/>
  <c r="N52" i="25"/>
  <c r="O52" i="25"/>
  <c r="O54" i="25" s="1"/>
  <c r="P52" i="25"/>
  <c r="P54" i="25" s="1"/>
  <c r="Q52" i="25"/>
  <c r="Q54" i="25" s="1"/>
  <c r="R52" i="25"/>
  <c r="R54" i="25" s="1"/>
  <c r="S52" i="25"/>
  <c r="S54" i="25" s="1"/>
  <c r="T52" i="25"/>
  <c r="T54" i="25" s="1"/>
  <c r="U52" i="25"/>
  <c r="U54" i="25" s="1"/>
  <c r="V52" i="25"/>
  <c r="W52" i="25"/>
  <c r="W54" i="25" s="1"/>
  <c r="X52" i="25"/>
  <c r="Y52" i="25"/>
  <c r="Y54" i="25" s="1"/>
  <c r="Z52" i="25"/>
  <c r="Z54" i="25" s="1"/>
  <c r="I52" i="25"/>
  <c r="J52" i="25"/>
  <c r="AH34" i="25"/>
  <c r="AH35" i="25"/>
  <c r="AK35" i="25"/>
  <c r="AH36" i="25"/>
  <c r="AH37" i="25"/>
  <c r="AH39" i="25"/>
  <c r="AK39" i="25"/>
  <c r="AH40" i="25"/>
  <c r="AH41" i="25"/>
  <c r="AK41" i="25"/>
  <c r="AH42" i="25"/>
  <c r="AH43" i="25"/>
  <c r="AK43" i="25"/>
  <c r="AH44" i="25"/>
  <c r="AH45" i="25"/>
  <c r="AL46" i="25"/>
  <c r="AH47" i="25"/>
  <c r="AK47" i="25"/>
  <c r="AL47" i="25"/>
  <c r="AH48" i="25"/>
  <c r="AH49" i="25"/>
  <c r="AL49" i="25"/>
  <c r="AH50" i="25"/>
  <c r="AL50" i="25"/>
  <c r="AE34" i="25"/>
  <c r="AE37" i="25"/>
  <c r="AE39" i="25"/>
  <c r="AE40" i="25"/>
  <c r="AE41" i="25"/>
  <c r="AE42" i="25"/>
  <c r="AE43" i="25"/>
  <c r="AE44" i="25"/>
  <c r="AE47" i="25"/>
  <c r="AE48" i="25"/>
  <c r="AE49" i="25"/>
  <c r="AA34" i="25"/>
  <c r="AI34" i="25" s="1"/>
  <c r="AA37" i="25"/>
  <c r="AI37" i="25" s="1"/>
  <c r="AA44" i="25"/>
  <c r="AB44" i="25" s="1"/>
  <c r="I34" i="25"/>
  <c r="J34" i="25"/>
  <c r="K34" i="25"/>
  <c r="L34" i="25"/>
  <c r="M34" i="25"/>
  <c r="N34" i="25"/>
  <c r="I35" i="25"/>
  <c r="AA35" i="25" s="1"/>
  <c r="AF35" i="25" s="1"/>
  <c r="J35" i="25"/>
  <c r="L35" i="25"/>
  <c r="M35" i="25"/>
  <c r="N35" i="25"/>
  <c r="I36" i="25"/>
  <c r="K36" i="25" s="1"/>
  <c r="J36" i="25"/>
  <c r="L36" i="25"/>
  <c r="M36" i="25"/>
  <c r="N36" i="25"/>
  <c r="I37" i="25"/>
  <c r="J37" i="25"/>
  <c r="K37" i="25"/>
  <c r="L37" i="25"/>
  <c r="M37" i="25"/>
  <c r="N37" i="25"/>
  <c r="I38" i="25"/>
  <c r="K38" i="25" s="1"/>
  <c r="J38" i="25"/>
  <c r="L38" i="25"/>
  <c r="M38" i="25"/>
  <c r="N38" i="25"/>
  <c r="I39" i="25"/>
  <c r="AA39" i="25" s="1"/>
  <c r="AF39" i="25" s="1"/>
  <c r="J39" i="25"/>
  <c r="L39" i="25"/>
  <c r="M39" i="25"/>
  <c r="N39" i="25"/>
  <c r="I40" i="25"/>
  <c r="K40" i="25" s="1"/>
  <c r="J40" i="25"/>
  <c r="L40" i="25"/>
  <c r="M40" i="25"/>
  <c r="N40" i="25"/>
  <c r="I41" i="25"/>
  <c r="J41" i="25"/>
  <c r="L41" i="25"/>
  <c r="M41" i="25"/>
  <c r="N41" i="25"/>
  <c r="I42" i="25"/>
  <c r="AA42" i="25" s="1"/>
  <c r="AI42" i="25" s="1"/>
  <c r="J42" i="25"/>
  <c r="K42" i="25"/>
  <c r="L42" i="25"/>
  <c r="M42" i="25"/>
  <c r="N42" i="25"/>
  <c r="I43" i="25"/>
  <c r="AA43" i="25" s="1"/>
  <c r="AB43" i="25" s="1"/>
  <c r="J43" i="25"/>
  <c r="L43" i="25"/>
  <c r="M43" i="25"/>
  <c r="N43" i="25"/>
  <c r="I44" i="25"/>
  <c r="K44" i="25" s="1"/>
  <c r="J44" i="25"/>
  <c r="L44" i="25"/>
  <c r="M44" i="25"/>
  <c r="N44" i="25"/>
  <c r="I45" i="25"/>
  <c r="K45" i="25" s="1"/>
  <c r="J45" i="25"/>
  <c r="L45" i="25"/>
  <c r="M45" i="25"/>
  <c r="N45" i="25"/>
  <c r="I46" i="25"/>
  <c r="AA46" i="25" s="1"/>
  <c r="AI46" i="25" s="1"/>
  <c r="J46" i="25"/>
  <c r="L46" i="25"/>
  <c r="M46" i="25"/>
  <c r="N46" i="25"/>
  <c r="I47" i="25"/>
  <c r="AA47" i="25" s="1"/>
  <c r="AF47" i="25" s="1"/>
  <c r="J47" i="25"/>
  <c r="L47" i="25"/>
  <c r="M47" i="25"/>
  <c r="N47" i="25"/>
  <c r="I48" i="25"/>
  <c r="K48" i="25" s="1"/>
  <c r="J48" i="25"/>
  <c r="L48" i="25"/>
  <c r="M48" i="25"/>
  <c r="N48" i="25"/>
  <c r="I49" i="25"/>
  <c r="K49" i="25" s="1"/>
  <c r="J49" i="25"/>
  <c r="L49" i="25"/>
  <c r="M49" i="25"/>
  <c r="N49" i="25"/>
  <c r="I50" i="25"/>
  <c r="J50" i="25"/>
  <c r="L50" i="25"/>
  <c r="M50" i="25"/>
  <c r="N50" i="25"/>
  <c r="N33" i="25"/>
  <c r="I33" i="25"/>
  <c r="J33" i="25"/>
  <c r="AG32" i="25"/>
  <c r="AL32" i="25" s="1"/>
  <c r="AD32" i="25"/>
  <c r="AK32" i="25" s="1"/>
  <c r="O32" i="25"/>
  <c r="P32" i="25"/>
  <c r="Q32" i="25"/>
  <c r="R32" i="25"/>
  <c r="S32" i="25"/>
  <c r="T32" i="25"/>
  <c r="U32" i="25"/>
  <c r="V32" i="25"/>
  <c r="W32" i="25"/>
  <c r="X32" i="25"/>
  <c r="Y32" i="25"/>
  <c r="Z32" i="25"/>
  <c r="AJ32" i="25" s="1"/>
  <c r="AJ31" i="25"/>
  <c r="AK31" i="25"/>
  <c r="AM31" i="25" s="1"/>
  <c r="AL31" i="25"/>
  <c r="AN31" i="25" s="1"/>
  <c r="AG31" i="25"/>
  <c r="AD31" i="25"/>
  <c r="O31" i="25"/>
  <c r="P31" i="25"/>
  <c r="Q31" i="25"/>
  <c r="R31" i="25"/>
  <c r="S31" i="25"/>
  <c r="T31" i="25"/>
  <c r="U31" i="25"/>
  <c r="V31" i="25"/>
  <c r="W31" i="25"/>
  <c r="X31" i="25"/>
  <c r="Y31" i="25"/>
  <c r="Z31" i="25"/>
  <c r="AA31" i="25"/>
  <c r="N26" i="25"/>
  <c r="N27" i="25"/>
  <c r="N28" i="25"/>
  <c r="N29" i="25"/>
  <c r="B22" i="25"/>
  <c r="B23" i="25"/>
  <c r="AG16" i="25"/>
  <c r="AG19" i="25"/>
  <c r="AH38" i="25" s="1"/>
  <c r="AG20" i="25"/>
  <c r="AL38" i="25" s="1"/>
  <c r="AD19" i="25"/>
  <c r="AD20" i="25"/>
  <c r="AK34" i="25" s="1"/>
  <c r="N19" i="25"/>
  <c r="O19" i="25"/>
  <c r="AA19" i="25" s="1"/>
  <c r="AB34" i="25" s="1"/>
  <c r="P19" i="25"/>
  <c r="Q19" i="25"/>
  <c r="R19" i="25"/>
  <c r="S19" i="25"/>
  <c r="T19" i="25"/>
  <c r="U19" i="25"/>
  <c r="V19" i="25"/>
  <c r="W19" i="25"/>
  <c r="X19" i="25"/>
  <c r="Y19" i="25"/>
  <c r="Z19" i="25"/>
  <c r="N20" i="25"/>
  <c r="O20" i="25"/>
  <c r="P20" i="25"/>
  <c r="Q20" i="25"/>
  <c r="R20" i="25"/>
  <c r="S20" i="25"/>
  <c r="T20" i="25"/>
  <c r="U20" i="25"/>
  <c r="V20" i="25"/>
  <c r="W20" i="25"/>
  <c r="X20" i="25"/>
  <c r="Y20" i="25"/>
  <c r="Z20" i="25"/>
  <c r="G19" i="25"/>
  <c r="B17" i="25"/>
  <c r="B18" i="25"/>
  <c r="B19" i="25"/>
  <c r="O17" i="25"/>
  <c r="P17" i="25"/>
  <c r="Q17" i="25"/>
  <c r="R17" i="25"/>
  <c r="S17" i="25"/>
  <c r="T17" i="25"/>
  <c r="U17" i="25"/>
  <c r="V17" i="25"/>
  <c r="W17" i="25"/>
  <c r="X17" i="25"/>
  <c r="Y17" i="25"/>
  <c r="Z17" i="25"/>
  <c r="O16" i="25"/>
  <c r="P16" i="25"/>
  <c r="Q16" i="25"/>
  <c r="R16" i="25"/>
  <c r="S16" i="25"/>
  <c r="T16" i="25"/>
  <c r="U16" i="25"/>
  <c r="V16" i="25"/>
  <c r="W16" i="25"/>
  <c r="X16" i="25"/>
  <c r="Y16" i="25"/>
  <c r="A14" i="25"/>
  <c r="AG12" i="25"/>
  <c r="AG13" i="25"/>
  <c r="AD12" i="25"/>
  <c r="AD13" i="25"/>
  <c r="B12" i="25"/>
  <c r="AA16" i="25" s="1"/>
  <c r="B13" i="25"/>
  <c r="O12" i="25"/>
  <c r="P12" i="25"/>
  <c r="Q12" i="25"/>
  <c r="R12" i="25"/>
  <c r="S12" i="25"/>
  <c r="T12" i="25"/>
  <c r="U12" i="25"/>
  <c r="V12" i="25"/>
  <c r="W12" i="25"/>
  <c r="X12" i="25"/>
  <c r="Y12" i="25"/>
  <c r="Z12" i="25"/>
  <c r="AA12" i="25"/>
  <c r="O13" i="25"/>
  <c r="P13" i="25"/>
  <c r="Q13" i="25"/>
  <c r="R13" i="25"/>
  <c r="S13" i="25"/>
  <c r="T13" i="25"/>
  <c r="U13" i="25"/>
  <c r="V13" i="25"/>
  <c r="W13" i="25"/>
  <c r="X13" i="25"/>
  <c r="Y13" i="25"/>
  <c r="Z13" i="25"/>
  <c r="AA13" i="25"/>
  <c r="O11" i="25"/>
  <c r="P11" i="25"/>
  <c r="Q11" i="25"/>
  <c r="R11" i="25"/>
  <c r="S11" i="25"/>
  <c r="T11" i="25"/>
  <c r="U11" i="25"/>
  <c r="V11" i="25"/>
  <c r="W11" i="25"/>
  <c r="X11" i="25"/>
  <c r="Y11" i="25"/>
  <c r="Z11" i="25"/>
  <c r="C10" i="25"/>
  <c r="D10" i="25"/>
  <c r="C9" i="25"/>
  <c r="C1" i="25"/>
  <c r="C2" i="25"/>
  <c r="C3" i="25"/>
  <c r="C4" i="25"/>
  <c r="C5" i="25"/>
  <c r="C6" i="25"/>
  <c r="C7" i="25"/>
  <c r="C8" i="25"/>
  <c r="E6" i="25"/>
  <c r="B29" i="25" s="1"/>
  <c r="E4" i="25"/>
  <c r="F4" i="25"/>
  <c r="B3" i="25"/>
  <c r="N100" i="23"/>
  <c r="N98" i="23"/>
  <c r="I98" i="23"/>
  <c r="AA98" i="23" s="1"/>
  <c r="J98" i="23"/>
  <c r="N76" i="23"/>
  <c r="N77" i="23"/>
  <c r="N78" i="23"/>
  <c r="N79" i="23"/>
  <c r="N80" i="23"/>
  <c r="N81" i="23"/>
  <c r="N82" i="23"/>
  <c r="N83" i="23"/>
  <c r="N84" i="23"/>
  <c r="N85" i="23"/>
  <c r="N86" i="23"/>
  <c r="N87" i="23"/>
  <c r="N88" i="23"/>
  <c r="N89" i="23"/>
  <c r="N90" i="23"/>
  <c r="N91" i="23"/>
  <c r="N92" i="23"/>
  <c r="N93" i="23"/>
  <c r="N94" i="23"/>
  <c r="N95" i="23"/>
  <c r="AM95" i="23"/>
  <c r="AN95" i="23"/>
  <c r="AG77" i="23"/>
  <c r="AG78" i="23"/>
  <c r="AG79" i="23"/>
  <c r="AH79" i="23"/>
  <c r="AG80" i="23"/>
  <c r="AH80" i="23" s="1"/>
  <c r="AG81" i="23"/>
  <c r="AG82" i="23"/>
  <c r="AG83" i="23"/>
  <c r="AH83" i="23" s="1"/>
  <c r="AG84" i="23"/>
  <c r="AH84" i="23" s="1"/>
  <c r="AG85" i="23"/>
  <c r="AG86" i="23"/>
  <c r="AG87" i="23"/>
  <c r="AH87" i="23"/>
  <c r="AG88" i="23"/>
  <c r="AH88" i="23" s="1"/>
  <c r="AG89" i="23"/>
  <c r="AG90" i="23"/>
  <c r="AG91" i="23"/>
  <c r="AH91" i="23" s="1"/>
  <c r="AG92" i="23"/>
  <c r="AH92" i="23" s="1"/>
  <c r="AG93" i="23"/>
  <c r="AG94" i="23"/>
  <c r="AD77" i="23"/>
  <c r="AE77" i="23"/>
  <c r="AD78" i="23"/>
  <c r="AD79" i="23"/>
  <c r="AD80" i="23"/>
  <c r="AD81" i="23"/>
  <c r="AE81" i="23"/>
  <c r="AD82" i="23"/>
  <c r="AD83" i="23"/>
  <c r="AD84" i="23"/>
  <c r="AD85" i="23"/>
  <c r="AE85" i="23"/>
  <c r="AD86" i="23"/>
  <c r="AD87" i="23"/>
  <c r="AD88" i="23"/>
  <c r="AD89" i="23"/>
  <c r="AE89" i="23" s="1"/>
  <c r="AD90" i="23"/>
  <c r="AD91" i="23"/>
  <c r="AD92" i="23"/>
  <c r="AD93" i="23"/>
  <c r="AE93" i="23" s="1"/>
  <c r="AD94" i="23"/>
  <c r="O77" i="23"/>
  <c r="P77" i="23"/>
  <c r="Q77" i="23"/>
  <c r="R77" i="23"/>
  <c r="S77" i="23"/>
  <c r="T77" i="23"/>
  <c r="U77" i="23"/>
  <c r="V77" i="23"/>
  <c r="W77" i="23"/>
  <c r="X77" i="23"/>
  <c r="Y77" i="23"/>
  <c r="Z77" i="23"/>
  <c r="O78" i="23"/>
  <c r="P78" i="23"/>
  <c r="Q78" i="23"/>
  <c r="R78" i="23"/>
  <c r="S78" i="23"/>
  <c r="T78" i="23"/>
  <c r="U78" i="23"/>
  <c r="V78" i="23"/>
  <c r="W78" i="23"/>
  <c r="X78" i="23"/>
  <c r="Y78" i="23"/>
  <c r="Z78" i="23"/>
  <c r="O79" i="23"/>
  <c r="P79" i="23"/>
  <c r="Q79" i="23"/>
  <c r="R79" i="23"/>
  <c r="S79" i="23"/>
  <c r="T79" i="23"/>
  <c r="U79" i="23"/>
  <c r="V79" i="23"/>
  <c r="W79" i="23"/>
  <c r="X79" i="23"/>
  <c r="Y79" i="23"/>
  <c r="Z79" i="23"/>
  <c r="O80" i="23"/>
  <c r="P80" i="23"/>
  <c r="Q80" i="23"/>
  <c r="R80" i="23"/>
  <c r="S80" i="23"/>
  <c r="T80" i="23"/>
  <c r="U80" i="23"/>
  <c r="V80" i="23"/>
  <c r="W80" i="23"/>
  <c r="X80" i="23"/>
  <c r="Y80" i="23"/>
  <c r="Z80" i="23"/>
  <c r="O81" i="23"/>
  <c r="P81" i="23"/>
  <c r="Q81" i="23"/>
  <c r="R81" i="23"/>
  <c r="S81" i="23"/>
  <c r="T81" i="23"/>
  <c r="U81" i="23"/>
  <c r="V81" i="23"/>
  <c r="W81" i="23"/>
  <c r="X81" i="23"/>
  <c r="Y81" i="23"/>
  <c r="Z81" i="23"/>
  <c r="O82" i="23"/>
  <c r="P82" i="23"/>
  <c r="Q82" i="23"/>
  <c r="R82" i="23"/>
  <c r="S82" i="23"/>
  <c r="T82" i="23"/>
  <c r="U82" i="23"/>
  <c r="V82" i="23"/>
  <c r="W82" i="23"/>
  <c r="X82" i="23"/>
  <c r="Y82" i="23"/>
  <c r="Z82" i="23"/>
  <c r="O83" i="23"/>
  <c r="P83" i="23"/>
  <c r="Q83" i="23"/>
  <c r="R83" i="23"/>
  <c r="S83" i="23"/>
  <c r="T83" i="23"/>
  <c r="U83" i="23"/>
  <c r="V83" i="23"/>
  <c r="W83" i="23"/>
  <c r="X83" i="23"/>
  <c r="Y83" i="23"/>
  <c r="Z83" i="23"/>
  <c r="O84" i="23"/>
  <c r="P84" i="23"/>
  <c r="Q84" i="23"/>
  <c r="R84" i="23"/>
  <c r="S84" i="23"/>
  <c r="T84" i="23"/>
  <c r="U84" i="23"/>
  <c r="V84" i="23"/>
  <c r="W84" i="23"/>
  <c r="X84" i="23"/>
  <c r="Y84" i="23"/>
  <c r="Z84" i="23"/>
  <c r="O85" i="23"/>
  <c r="P85" i="23"/>
  <c r="Q85" i="23"/>
  <c r="R85" i="23"/>
  <c r="S85" i="23"/>
  <c r="T85" i="23"/>
  <c r="U85" i="23"/>
  <c r="V85" i="23"/>
  <c r="W85" i="23"/>
  <c r="X85" i="23"/>
  <c r="Y85" i="23"/>
  <c r="Z85" i="23"/>
  <c r="O86" i="23"/>
  <c r="P86" i="23"/>
  <c r="Q86" i="23"/>
  <c r="R86" i="23"/>
  <c r="S86" i="23"/>
  <c r="T86" i="23"/>
  <c r="U86" i="23"/>
  <c r="V86" i="23"/>
  <c r="W86" i="23"/>
  <c r="X86" i="23"/>
  <c r="Y86" i="23"/>
  <c r="Z86" i="23"/>
  <c r="O87" i="23"/>
  <c r="P87" i="23"/>
  <c r="Q87" i="23"/>
  <c r="R87" i="23"/>
  <c r="S87" i="23"/>
  <c r="T87" i="23"/>
  <c r="U87" i="23"/>
  <c r="V87" i="23"/>
  <c r="W87" i="23"/>
  <c r="X87" i="23"/>
  <c r="Y87" i="23"/>
  <c r="Z87" i="23"/>
  <c r="O88" i="23"/>
  <c r="P88" i="23"/>
  <c r="Q88" i="23"/>
  <c r="R88" i="23"/>
  <c r="S88" i="23"/>
  <c r="T88" i="23"/>
  <c r="U88" i="23"/>
  <c r="V88" i="23"/>
  <c r="W88" i="23"/>
  <c r="X88" i="23"/>
  <c r="Y88" i="23"/>
  <c r="Z88" i="23"/>
  <c r="O89" i="23"/>
  <c r="P89" i="23"/>
  <c r="Q89" i="23"/>
  <c r="R89" i="23"/>
  <c r="S89" i="23"/>
  <c r="T89" i="23"/>
  <c r="U89" i="23"/>
  <c r="V89" i="23"/>
  <c r="W89" i="23"/>
  <c r="X89" i="23"/>
  <c r="Y89" i="23"/>
  <c r="Z89" i="23"/>
  <c r="O90" i="23"/>
  <c r="P90" i="23"/>
  <c r="Q90" i="23"/>
  <c r="R90" i="23"/>
  <c r="S90" i="23"/>
  <c r="T90" i="23"/>
  <c r="U90" i="23"/>
  <c r="V90" i="23"/>
  <c r="W90" i="23"/>
  <c r="X90" i="23"/>
  <c r="Y90" i="23"/>
  <c r="Z90" i="23"/>
  <c r="O91" i="23"/>
  <c r="P91" i="23"/>
  <c r="Q91" i="23"/>
  <c r="R91" i="23"/>
  <c r="S91" i="23"/>
  <c r="T91" i="23"/>
  <c r="U91" i="23"/>
  <c r="V91" i="23"/>
  <c r="W91" i="23"/>
  <c r="X91" i="23"/>
  <c r="Y91" i="23"/>
  <c r="Z91" i="23"/>
  <c r="O92" i="23"/>
  <c r="P92" i="23"/>
  <c r="Q92" i="23"/>
  <c r="R92" i="23"/>
  <c r="S92" i="23"/>
  <c r="T92" i="23"/>
  <c r="U92" i="23"/>
  <c r="V92" i="23"/>
  <c r="W92" i="23"/>
  <c r="X92" i="23"/>
  <c r="Y92" i="23"/>
  <c r="Z92" i="23"/>
  <c r="O93" i="23"/>
  <c r="P93" i="23"/>
  <c r="Q93" i="23"/>
  <c r="R93" i="23"/>
  <c r="S93" i="23"/>
  <c r="T93" i="23"/>
  <c r="U93" i="23"/>
  <c r="V93" i="23"/>
  <c r="W93" i="23"/>
  <c r="X93" i="23"/>
  <c r="Y93" i="23"/>
  <c r="Z93" i="23"/>
  <c r="O94" i="23"/>
  <c r="P94" i="23"/>
  <c r="Q94" i="23"/>
  <c r="R94" i="23"/>
  <c r="S94" i="23"/>
  <c r="T94" i="23"/>
  <c r="U94" i="23"/>
  <c r="V94" i="23"/>
  <c r="W94" i="23"/>
  <c r="X94" i="23"/>
  <c r="Y94" i="23"/>
  <c r="Z94" i="23"/>
  <c r="I76" i="23"/>
  <c r="J76" i="23"/>
  <c r="I77" i="23"/>
  <c r="J77" i="23"/>
  <c r="I78" i="23"/>
  <c r="AA78" i="23" s="1"/>
  <c r="J78" i="23"/>
  <c r="I79" i="23"/>
  <c r="J79" i="23"/>
  <c r="I80" i="23"/>
  <c r="J80" i="23"/>
  <c r="I81" i="23"/>
  <c r="J81" i="23"/>
  <c r="I82" i="23"/>
  <c r="J82" i="23"/>
  <c r="I83" i="23"/>
  <c r="J83" i="23"/>
  <c r="I84" i="23"/>
  <c r="J84" i="23"/>
  <c r="I85" i="23"/>
  <c r="J85" i="23"/>
  <c r="I86" i="23"/>
  <c r="AA86" i="23" s="1"/>
  <c r="J86" i="23"/>
  <c r="I87" i="23"/>
  <c r="J87" i="23"/>
  <c r="I88" i="23"/>
  <c r="J88" i="23"/>
  <c r="I89" i="23"/>
  <c r="J89" i="23"/>
  <c r="I90" i="23"/>
  <c r="J90" i="23"/>
  <c r="I91" i="23"/>
  <c r="J91" i="23"/>
  <c r="I92" i="23"/>
  <c r="J92" i="23"/>
  <c r="I93" i="23"/>
  <c r="J93" i="23"/>
  <c r="I94" i="23"/>
  <c r="AA94" i="23" s="1"/>
  <c r="J94" i="23"/>
  <c r="I95" i="23"/>
  <c r="AA95" i="23" s="1"/>
  <c r="J95" i="23"/>
  <c r="B74" i="23"/>
  <c r="B68" i="23"/>
  <c r="B69" i="23"/>
  <c r="B70" i="23"/>
  <c r="A65" i="23"/>
  <c r="AH56" i="23"/>
  <c r="AH57" i="23"/>
  <c r="AH58" i="23"/>
  <c r="AN58" i="23"/>
  <c r="AH59" i="23"/>
  <c r="AH60" i="23"/>
  <c r="AH61" i="23"/>
  <c r="AH62" i="23"/>
  <c r="AH63" i="23"/>
  <c r="AH64" i="23"/>
  <c r="AH65" i="23"/>
  <c r="AN65" i="23" s="1"/>
  <c r="AH66" i="23"/>
  <c r="AH67" i="23"/>
  <c r="AH68" i="23"/>
  <c r="AH69" i="23"/>
  <c r="AH70" i="23"/>
  <c r="AH71" i="23"/>
  <c r="AH72" i="23"/>
  <c r="AH73" i="23"/>
  <c r="AM73" i="23"/>
  <c r="AH74" i="23"/>
  <c r="AE56" i="23"/>
  <c r="AE57" i="23"/>
  <c r="AE58" i="23"/>
  <c r="AE59" i="23"/>
  <c r="AE60" i="23"/>
  <c r="AE61" i="23"/>
  <c r="AE62" i="23"/>
  <c r="AE63" i="23"/>
  <c r="AM63" i="23" s="1"/>
  <c r="AE64" i="23"/>
  <c r="AE65" i="23"/>
  <c r="AE66" i="23"/>
  <c r="AE67" i="23"/>
  <c r="AE68" i="23"/>
  <c r="AE69" i="23"/>
  <c r="AE70" i="23"/>
  <c r="AE71" i="23"/>
  <c r="AM71" i="23" s="1"/>
  <c r="AE72" i="23"/>
  <c r="AE73" i="23"/>
  <c r="AE74" i="23"/>
  <c r="AB56" i="23"/>
  <c r="AN56" i="23" s="1"/>
  <c r="AB57" i="23"/>
  <c r="AB58" i="23"/>
  <c r="AM58" i="23" s="1"/>
  <c r="AB59" i="23"/>
  <c r="AN59" i="23" s="1"/>
  <c r="AB60" i="23"/>
  <c r="AB61" i="23"/>
  <c r="AM61" i="23" s="1"/>
  <c r="AB62" i="23"/>
  <c r="AB63" i="23"/>
  <c r="AN63" i="23" s="1"/>
  <c r="AA64" i="23"/>
  <c r="AB64" i="23"/>
  <c r="AN64" i="23" s="1"/>
  <c r="AB65" i="23"/>
  <c r="AM65" i="23" s="1"/>
  <c r="AB66" i="23"/>
  <c r="AM66" i="23" s="1"/>
  <c r="AB67" i="23"/>
  <c r="AM67" i="23" s="1"/>
  <c r="AB68" i="23"/>
  <c r="AM68" i="23" s="1"/>
  <c r="AA69" i="23"/>
  <c r="AF69" i="23" s="1"/>
  <c r="AB69" i="23"/>
  <c r="AM69" i="23" s="1"/>
  <c r="AB70" i="23"/>
  <c r="AM70" i="23" s="1"/>
  <c r="AB71" i="23"/>
  <c r="AB72" i="23"/>
  <c r="AN72" i="23" s="1"/>
  <c r="AA73" i="23"/>
  <c r="AI73" i="23" s="1"/>
  <c r="AB73" i="23"/>
  <c r="AN73" i="23" s="1"/>
  <c r="AB74" i="23"/>
  <c r="AM74" i="23" s="1"/>
  <c r="I56" i="23"/>
  <c r="K56" i="23" s="1"/>
  <c r="J56" i="23"/>
  <c r="L56" i="23"/>
  <c r="M56" i="23"/>
  <c r="N56" i="23"/>
  <c r="I57" i="23"/>
  <c r="AA57" i="23" s="1"/>
  <c r="AI57" i="23" s="1"/>
  <c r="J57" i="23"/>
  <c r="K57" i="23"/>
  <c r="L57" i="23"/>
  <c r="M57" i="23"/>
  <c r="N57" i="23"/>
  <c r="I58" i="23"/>
  <c r="AA58" i="23" s="1"/>
  <c r="J58" i="23"/>
  <c r="L58" i="23"/>
  <c r="M58" i="23"/>
  <c r="N58" i="23"/>
  <c r="I59" i="23"/>
  <c r="J59" i="23"/>
  <c r="L59" i="23"/>
  <c r="M59" i="23"/>
  <c r="N59" i="23"/>
  <c r="I60" i="23"/>
  <c r="AA60" i="23" s="1"/>
  <c r="J60" i="23"/>
  <c r="K60" i="23"/>
  <c r="L60" i="23"/>
  <c r="M60" i="23"/>
  <c r="N60" i="23"/>
  <c r="I61" i="23"/>
  <c r="AA61" i="23" s="1"/>
  <c r="AF61" i="23" s="1"/>
  <c r="J61" i="23"/>
  <c r="L61" i="23"/>
  <c r="M61" i="23"/>
  <c r="N61" i="23"/>
  <c r="I62" i="23"/>
  <c r="J62" i="23"/>
  <c r="L62" i="23"/>
  <c r="M62" i="23"/>
  <c r="N62" i="23"/>
  <c r="I63" i="23"/>
  <c r="AA63" i="23" s="1"/>
  <c r="J63" i="23"/>
  <c r="L63" i="23"/>
  <c r="M63" i="23"/>
  <c r="N63" i="23"/>
  <c r="I64" i="23"/>
  <c r="K64" i="23" s="1"/>
  <c r="J64" i="23"/>
  <c r="L64" i="23"/>
  <c r="M64" i="23"/>
  <c r="N64" i="23"/>
  <c r="I65" i="23"/>
  <c r="AA65" i="23" s="1"/>
  <c r="AI65" i="23" s="1"/>
  <c r="J65" i="23"/>
  <c r="K65" i="23"/>
  <c r="L65" i="23"/>
  <c r="M65" i="23"/>
  <c r="N65" i="23"/>
  <c r="I66" i="23"/>
  <c r="J66" i="23"/>
  <c r="L66" i="23"/>
  <c r="M66" i="23"/>
  <c r="N66" i="23"/>
  <c r="I67" i="23"/>
  <c r="AA67" i="23" s="1"/>
  <c r="J67" i="23"/>
  <c r="L67" i="23"/>
  <c r="M67" i="23"/>
  <c r="N67" i="23"/>
  <c r="I68" i="23"/>
  <c r="AA68" i="23" s="1"/>
  <c r="J68" i="23"/>
  <c r="K68" i="23"/>
  <c r="L68" i="23"/>
  <c r="M68" i="23"/>
  <c r="N68" i="23"/>
  <c r="I69" i="23"/>
  <c r="K69" i="23" s="1"/>
  <c r="J69" i="23"/>
  <c r="L69" i="23"/>
  <c r="M69" i="23"/>
  <c r="N69" i="23"/>
  <c r="I70" i="23"/>
  <c r="J70" i="23"/>
  <c r="L70" i="23"/>
  <c r="M70" i="23"/>
  <c r="N70" i="23"/>
  <c r="I71" i="23"/>
  <c r="AA71" i="23" s="1"/>
  <c r="J71" i="23"/>
  <c r="L71" i="23"/>
  <c r="M71" i="23"/>
  <c r="N71" i="23"/>
  <c r="I72" i="23"/>
  <c r="K72" i="23" s="1"/>
  <c r="J72" i="23"/>
  <c r="L72" i="23"/>
  <c r="M72" i="23"/>
  <c r="N72" i="23"/>
  <c r="I73" i="23"/>
  <c r="J73" i="23"/>
  <c r="K73" i="23"/>
  <c r="L73" i="23"/>
  <c r="M73" i="23"/>
  <c r="N73" i="23"/>
  <c r="I74" i="23"/>
  <c r="J74" i="23"/>
  <c r="L74" i="23"/>
  <c r="M74" i="23"/>
  <c r="N74" i="23"/>
  <c r="N55" i="23"/>
  <c r="I55" i="23"/>
  <c r="J55" i="23"/>
  <c r="B44" i="23"/>
  <c r="B45" i="23"/>
  <c r="B39" i="23"/>
  <c r="B40" i="23"/>
  <c r="B41" i="23"/>
  <c r="A36" i="23"/>
  <c r="AH35" i="23"/>
  <c r="AH37" i="23"/>
  <c r="AH39" i="23"/>
  <c r="AH40" i="23"/>
  <c r="AL40" i="23"/>
  <c r="AH41" i="23"/>
  <c r="AH42" i="23"/>
  <c r="AH43" i="23"/>
  <c r="AH44" i="23"/>
  <c r="AH45" i="23"/>
  <c r="AH47" i="23"/>
  <c r="AH48" i="23"/>
  <c r="AH49" i="23"/>
  <c r="AH50" i="23"/>
  <c r="AH51" i="23"/>
  <c r="AH52" i="23"/>
  <c r="AE35" i="23"/>
  <c r="AE36" i="23"/>
  <c r="AE37" i="23"/>
  <c r="AE39" i="23"/>
  <c r="AE40" i="23"/>
  <c r="AE41" i="23"/>
  <c r="AE42" i="23"/>
  <c r="AE43" i="23"/>
  <c r="AF43" i="23"/>
  <c r="AE44" i="23"/>
  <c r="AE45" i="23"/>
  <c r="AE46" i="23"/>
  <c r="AE47" i="23"/>
  <c r="AE48" i="23"/>
  <c r="AE49" i="23"/>
  <c r="AE50" i="23"/>
  <c r="AE51" i="23"/>
  <c r="AE52" i="23"/>
  <c r="AA36" i="23"/>
  <c r="AA38" i="23"/>
  <c r="AA39" i="23"/>
  <c r="AB39" i="23" s="1"/>
  <c r="AA43" i="23"/>
  <c r="AA47" i="23"/>
  <c r="AB47" i="23" s="1"/>
  <c r="I34" i="23"/>
  <c r="K34" i="23" s="1"/>
  <c r="J34" i="23"/>
  <c r="L34" i="23"/>
  <c r="M34" i="23"/>
  <c r="N34" i="23"/>
  <c r="I35" i="23"/>
  <c r="AA35" i="23" s="1"/>
  <c r="J35" i="23"/>
  <c r="K35" i="23"/>
  <c r="L35" i="23"/>
  <c r="M35" i="23"/>
  <c r="N35" i="23"/>
  <c r="I36" i="23"/>
  <c r="K36" i="23" s="1"/>
  <c r="J36" i="23"/>
  <c r="L36" i="23"/>
  <c r="M36" i="23"/>
  <c r="N36" i="23"/>
  <c r="I37" i="23"/>
  <c r="AA37" i="23" s="1"/>
  <c r="AI37" i="23" s="1"/>
  <c r="J37" i="23"/>
  <c r="L37" i="23"/>
  <c r="M37" i="23"/>
  <c r="N37" i="23"/>
  <c r="I38" i="23"/>
  <c r="K38" i="23" s="1"/>
  <c r="J38" i="23"/>
  <c r="L38" i="23"/>
  <c r="M38" i="23"/>
  <c r="N38" i="23"/>
  <c r="I39" i="23"/>
  <c r="J39" i="23"/>
  <c r="K39" i="23"/>
  <c r="L39" i="23"/>
  <c r="M39" i="23"/>
  <c r="N39" i="23"/>
  <c r="I40" i="23"/>
  <c r="K40" i="23" s="1"/>
  <c r="J40" i="23"/>
  <c r="L40" i="23"/>
  <c r="M40" i="23"/>
  <c r="N40" i="23"/>
  <c r="I41" i="23"/>
  <c r="AA41" i="23" s="1"/>
  <c r="J41" i="23"/>
  <c r="L41" i="23"/>
  <c r="M41" i="23"/>
  <c r="N41" i="23"/>
  <c r="I42" i="23"/>
  <c r="AA42" i="23" s="1"/>
  <c r="J42" i="23"/>
  <c r="K42" i="23"/>
  <c r="L42" i="23"/>
  <c r="M42" i="23"/>
  <c r="N42" i="23"/>
  <c r="I43" i="23"/>
  <c r="K43" i="23" s="1"/>
  <c r="J43" i="23"/>
  <c r="L43" i="23"/>
  <c r="M43" i="23"/>
  <c r="N43" i="23"/>
  <c r="I44" i="23"/>
  <c r="K44" i="23" s="1"/>
  <c r="J44" i="23"/>
  <c r="L44" i="23"/>
  <c r="M44" i="23"/>
  <c r="N44" i="23"/>
  <c r="I45" i="23"/>
  <c r="AA45" i="23" s="1"/>
  <c r="AI45" i="23" s="1"/>
  <c r="J45" i="23"/>
  <c r="L45" i="23"/>
  <c r="M45" i="23"/>
  <c r="N45" i="23"/>
  <c r="I46" i="23"/>
  <c r="K46" i="23" s="1"/>
  <c r="J46" i="23"/>
  <c r="L46" i="23"/>
  <c r="M46" i="23"/>
  <c r="N46" i="23"/>
  <c r="I47" i="23"/>
  <c r="J47" i="23"/>
  <c r="K47" i="23"/>
  <c r="L47" i="23"/>
  <c r="M47" i="23"/>
  <c r="N47" i="23"/>
  <c r="I48" i="23"/>
  <c r="K48" i="23" s="1"/>
  <c r="J48" i="23"/>
  <c r="L48" i="23"/>
  <c r="M48" i="23"/>
  <c r="N48" i="23"/>
  <c r="I49" i="23"/>
  <c r="J49" i="23"/>
  <c r="L49" i="23"/>
  <c r="M49" i="23"/>
  <c r="N49" i="23"/>
  <c r="I50" i="23"/>
  <c r="AA50" i="23" s="1"/>
  <c r="J50" i="23"/>
  <c r="L50" i="23"/>
  <c r="M50" i="23"/>
  <c r="N50" i="23"/>
  <c r="I51" i="23"/>
  <c r="AA51" i="23" s="1"/>
  <c r="J51" i="23"/>
  <c r="K51" i="23"/>
  <c r="L51" i="23"/>
  <c r="M51" i="23"/>
  <c r="N51" i="23"/>
  <c r="I52" i="23"/>
  <c r="K52" i="23" s="1"/>
  <c r="J52" i="23"/>
  <c r="L52" i="23"/>
  <c r="M52" i="23"/>
  <c r="N52" i="23"/>
  <c r="I53" i="23"/>
  <c r="AA53" i="23" s="1"/>
  <c r="J53" i="23"/>
  <c r="L53" i="23"/>
  <c r="M53" i="23"/>
  <c r="N53" i="23"/>
  <c r="N33" i="23"/>
  <c r="I33" i="23"/>
  <c r="J33" i="23"/>
  <c r="AK32" i="23"/>
  <c r="AL32" i="23"/>
  <c r="AG32" i="23"/>
  <c r="AD32" i="23"/>
  <c r="O32" i="23"/>
  <c r="P32" i="23"/>
  <c r="Q32" i="23"/>
  <c r="R32" i="23"/>
  <c r="S32" i="23"/>
  <c r="T32" i="23"/>
  <c r="U32" i="23"/>
  <c r="V32" i="23"/>
  <c r="W32" i="23"/>
  <c r="X32" i="23"/>
  <c r="Y32" i="23"/>
  <c r="Z32" i="23"/>
  <c r="AJ32" i="23" s="1"/>
  <c r="AJ31" i="23"/>
  <c r="AK31" i="23"/>
  <c r="AM31" i="23" s="1"/>
  <c r="AL31" i="23"/>
  <c r="AN31" i="23"/>
  <c r="AG31" i="23"/>
  <c r="AD31" i="23"/>
  <c r="O31" i="23"/>
  <c r="P31" i="23"/>
  <c r="Q31" i="23"/>
  <c r="R31" i="23"/>
  <c r="S31" i="23"/>
  <c r="T31" i="23"/>
  <c r="U31" i="23"/>
  <c r="V31" i="23"/>
  <c r="W31" i="23"/>
  <c r="X31" i="23"/>
  <c r="Y31" i="23"/>
  <c r="Z31" i="23"/>
  <c r="AA31" i="23"/>
  <c r="N26" i="23"/>
  <c r="N27" i="23"/>
  <c r="N28" i="23"/>
  <c r="N29" i="23"/>
  <c r="B29" i="23"/>
  <c r="B22" i="23"/>
  <c r="B23" i="23"/>
  <c r="AG16" i="23"/>
  <c r="AG19" i="23"/>
  <c r="AG20" i="23"/>
  <c r="AL73" i="23" s="1"/>
  <c r="AD19" i="23"/>
  <c r="AE53" i="23" s="1"/>
  <c r="AD20" i="23"/>
  <c r="AK89" i="23" s="1"/>
  <c r="N19" i="23"/>
  <c r="O19" i="23"/>
  <c r="P19" i="23"/>
  <c r="Q19" i="23"/>
  <c r="R19" i="23"/>
  <c r="S19" i="23"/>
  <c r="T19" i="23"/>
  <c r="U19" i="23"/>
  <c r="V19" i="23"/>
  <c r="W19" i="23"/>
  <c r="X19" i="23"/>
  <c r="Y19" i="23"/>
  <c r="Z19" i="23"/>
  <c r="N20" i="23"/>
  <c r="O20" i="23"/>
  <c r="P20" i="23"/>
  <c r="Q20" i="23"/>
  <c r="R20" i="23"/>
  <c r="S20" i="23"/>
  <c r="T20" i="23"/>
  <c r="U20" i="23"/>
  <c r="V20" i="23"/>
  <c r="W20" i="23"/>
  <c r="X20" i="23"/>
  <c r="Y20" i="23"/>
  <c r="Z20" i="23"/>
  <c r="G19" i="23"/>
  <c r="B17" i="23"/>
  <c r="B18" i="23"/>
  <c r="B19" i="23"/>
  <c r="O17" i="23"/>
  <c r="P17" i="23"/>
  <c r="Q17" i="23"/>
  <c r="R17" i="23"/>
  <c r="S17" i="23"/>
  <c r="T17" i="23"/>
  <c r="U17" i="23"/>
  <c r="V17" i="23"/>
  <c r="W17" i="23"/>
  <c r="X17" i="23"/>
  <c r="Y17" i="23"/>
  <c r="Z17" i="23"/>
  <c r="AA18" i="23" s="1"/>
  <c r="O16" i="23"/>
  <c r="P16" i="23"/>
  <c r="Q16" i="23"/>
  <c r="R16" i="23"/>
  <c r="S16" i="23"/>
  <c r="T16" i="23"/>
  <c r="U16" i="23"/>
  <c r="V16" i="23"/>
  <c r="W16" i="23"/>
  <c r="X16" i="23"/>
  <c r="Y16" i="23"/>
  <c r="A14" i="23"/>
  <c r="AG12" i="23"/>
  <c r="AG13" i="23"/>
  <c r="AD12" i="23"/>
  <c r="AD13" i="23"/>
  <c r="B12" i="23"/>
  <c r="B13" i="23"/>
  <c r="O12" i="23"/>
  <c r="P12" i="23"/>
  <c r="Q12" i="23"/>
  <c r="R12" i="23"/>
  <c r="S12" i="23"/>
  <c r="T12" i="23"/>
  <c r="U12" i="23"/>
  <c r="V12" i="23"/>
  <c r="W12" i="23"/>
  <c r="X12" i="23"/>
  <c r="Y12" i="23"/>
  <c r="Z12" i="23"/>
  <c r="AA12" i="23"/>
  <c r="O13" i="23"/>
  <c r="P13" i="23"/>
  <c r="Q13" i="23"/>
  <c r="R13" i="23"/>
  <c r="S13" i="23"/>
  <c r="T13" i="23"/>
  <c r="U13" i="23"/>
  <c r="V13" i="23"/>
  <c r="W13" i="23"/>
  <c r="X13" i="23"/>
  <c r="Y13" i="23"/>
  <c r="Z13" i="23"/>
  <c r="AA13" i="23"/>
  <c r="O11" i="23"/>
  <c r="P11" i="23"/>
  <c r="Q11" i="23"/>
  <c r="R11" i="23"/>
  <c r="S11" i="23"/>
  <c r="T11" i="23"/>
  <c r="U11" i="23"/>
  <c r="V11" i="23"/>
  <c r="W11" i="23"/>
  <c r="X11" i="23"/>
  <c r="Y11" i="23"/>
  <c r="Z11" i="23"/>
  <c r="C10" i="23"/>
  <c r="D10" i="23"/>
  <c r="C9" i="23"/>
  <c r="C1" i="23"/>
  <c r="C2" i="23"/>
  <c r="C3" i="23"/>
  <c r="C4" i="23"/>
  <c r="C5" i="23"/>
  <c r="C6" i="23"/>
  <c r="C7" i="23"/>
  <c r="C8" i="23"/>
  <c r="E6" i="23"/>
  <c r="B51" i="23" s="1"/>
  <c r="E4" i="23"/>
  <c r="F4" i="23"/>
  <c r="B3" i="23"/>
  <c r="B111" i="22"/>
  <c r="B105" i="22"/>
  <c r="B106" i="22"/>
  <c r="B107" i="22"/>
  <c r="A102" i="22"/>
  <c r="B79" i="22"/>
  <c r="B80" i="22"/>
  <c r="B74" i="22"/>
  <c r="B75" i="22"/>
  <c r="B76" i="22"/>
  <c r="AG74" i="22"/>
  <c r="AD74" i="22"/>
  <c r="O74" i="22"/>
  <c r="P74" i="22"/>
  <c r="Q74" i="22"/>
  <c r="R74" i="22"/>
  <c r="S74" i="22"/>
  <c r="T74" i="22"/>
  <c r="U74" i="22"/>
  <c r="V74" i="22"/>
  <c r="W74" i="22"/>
  <c r="X74" i="22"/>
  <c r="Y74" i="22"/>
  <c r="Z74" i="22"/>
  <c r="Z75" i="22"/>
  <c r="N71" i="22"/>
  <c r="N74" i="22" s="1"/>
  <c r="N72" i="22"/>
  <c r="N75" i="22" s="1"/>
  <c r="AH71" i="22"/>
  <c r="AK71" i="22"/>
  <c r="AH72" i="22"/>
  <c r="AE71" i="22"/>
  <c r="AE72" i="22"/>
  <c r="I71" i="22"/>
  <c r="AA71" i="22" s="1"/>
  <c r="J71" i="22"/>
  <c r="I72" i="22"/>
  <c r="AA72" i="22" s="1"/>
  <c r="AB72" i="22" s="1"/>
  <c r="J72" i="22"/>
  <c r="A71" i="22"/>
  <c r="N66" i="22"/>
  <c r="N67" i="22"/>
  <c r="N68" i="22"/>
  <c r="N69" i="22"/>
  <c r="I69" i="22"/>
  <c r="AA69" i="22" s="1"/>
  <c r="J69" i="22"/>
  <c r="AH67" i="22"/>
  <c r="AH68" i="22"/>
  <c r="AK68" i="22"/>
  <c r="AH69" i="22"/>
  <c r="AE67" i="22"/>
  <c r="AE68" i="22"/>
  <c r="AE69" i="22"/>
  <c r="AA67" i="22"/>
  <c r="AI67" i="22" s="1"/>
  <c r="I67" i="22"/>
  <c r="J67" i="22"/>
  <c r="K67" i="22"/>
  <c r="L67" i="22"/>
  <c r="M67" i="22"/>
  <c r="I68" i="22"/>
  <c r="J68" i="22"/>
  <c r="L68" i="22"/>
  <c r="M68" i="22"/>
  <c r="I66" i="22"/>
  <c r="J66" i="22"/>
  <c r="AH60" i="22"/>
  <c r="AH61" i="22"/>
  <c r="AH62" i="22"/>
  <c r="AH63" i="22"/>
  <c r="AK63" i="22"/>
  <c r="AH64" i="22"/>
  <c r="AE60" i="22"/>
  <c r="AE61" i="22"/>
  <c r="AF61" i="22"/>
  <c r="AE62" i="22"/>
  <c r="AE63" i="22"/>
  <c r="AE64" i="22"/>
  <c r="AB61" i="22"/>
  <c r="AM61" i="22" s="1"/>
  <c r="AA62" i="22"/>
  <c r="AI62" i="22" s="1"/>
  <c r="I60" i="22"/>
  <c r="AA60" i="22" s="1"/>
  <c r="J60" i="22"/>
  <c r="L60" i="22"/>
  <c r="M60" i="22"/>
  <c r="N60" i="22"/>
  <c r="I61" i="22"/>
  <c r="AA61" i="22" s="1"/>
  <c r="AI61" i="22" s="1"/>
  <c r="J61" i="22"/>
  <c r="K61" i="22"/>
  <c r="L61" i="22"/>
  <c r="M61" i="22"/>
  <c r="N61" i="22"/>
  <c r="I62" i="22"/>
  <c r="K62" i="22" s="1"/>
  <c r="J62" i="22"/>
  <c r="L62" i="22"/>
  <c r="M62" i="22"/>
  <c r="N62" i="22"/>
  <c r="I63" i="22"/>
  <c r="AA63" i="22" s="1"/>
  <c r="J63" i="22"/>
  <c r="L63" i="22"/>
  <c r="M63" i="22"/>
  <c r="N63" i="22"/>
  <c r="I64" i="22"/>
  <c r="AA64" i="22" s="1"/>
  <c r="J64" i="22"/>
  <c r="L64" i="22"/>
  <c r="M64" i="22"/>
  <c r="N64" i="22"/>
  <c r="N58" i="22"/>
  <c r="N59" i="22"/>
  <c r="I58" i="22"/>
  <c r="J58" i="22"/>
  <c r="I59" i="22"/>
  <c r="J59" i="22"/>
  <c r="AD56" i="22"/>
  <c r="AD75" i="22" s="1"/>
  <c r="AG56" i="22"/>
  <c r="AH56" i="22"/>
  <c r="N56" i="22"/>
  <c r="O56" i="22"/>
  <c r="O75" i="22" s="1"/>
  <c r="P56" i="22"/>
  <c r="P75" i="22" s="1"/>
  <c r="Q56" i="22"/>
  <c r="Q75" i="22" s="1"/>
  <c r="R56" i="22"/>
  <c r="R75" i="22" s="1"/>
  <c r="S56" i="22"/>
  <c r="S75" i="22" s="1"/>
  <c r="T56" i="22"/>
  <c r="T75" i="22" s="1"/>
  <c r="U56" i="22"/>
  <c r="U75" i="22" s="1"/>
  <c r="V56" i="22"/>
  <c r="V75" i="22" s="1"/>
  <c r="W56" i="22"/>
  <c r="W75" i="22" s="1"/>
  <c r="X56" i="22"/>
  <c r="X75" i="22" s="1"/>
  <c r="Y56" i="22"/>
  <c r="Y75" i="22" s="1"/>
  <c r="Z56" i="22"/>
  <c r="AB46" i="22"/>
  <c r="AB47" i="22"/>
  <c r="AN47" i="22" s="1"/>
  <c r="AB48" i="22"/>
  <c r="AM48" i="22" s="1"/>
  <c r="AB49" i="22"/>
  <c r="AB50" i="22"/>
  <c r="AN50" i="22" s="1"/>
  <c r="AB51" i="22"/>
  <c r="AB52" i="22"/>
  <c r="AB53" i="22"/>
  <c r="AB54" i="22"/>
  <c r="AB55" i="22"/>
  <c r="AN55" i="22" s="1"/>
  <c r="N45" i="22"/>
  <c r="N46" i="22"/>
  <c r="N47" i="22"/>
  <c r="N48" i="22"/>
  <c r="N49" i="22"/>
  <c r="N50" i="22"/>
  <c r="N51" i="22"/>
  <c r="N52" i="22"/>
  <c r="N53" i="22"/>
  <c r="N54" i="22"/>
  <c r="N55" i="22"/>
  <c r="I55" i="22"/>
  <c r="K55" i="22" s="1"/>
  <c r="J55" i="22"/>
  <c r="I56" i="22"/>
  <c r="J56" i="22"/>
  <c r="K56" i="22"/>
  <c r="AA53" i="22"/>
  <c r="AF53" i="22" s="1"/>
  <c r="B51" i="22"/>
  <c r="B52" i="22"/>
  <c r="B46" i="22"/>
  <c r="B47" i="22"/>
  <c r="B48" i="22"/>
  <c r="AH46" i="22"/>
  <c r="AH47" i="22"/>
  <c r="AH48" i="22"/>
  <c r="AK48" i="22"/>
  <c r="AH49" i="22"/>
  <c r="AH50" i="22"/>
  <c r="AM50" i="22"/>
  <c r="AH51" i="22"/>
  <c r="AH52" i="22"/>
  <c r="AH53" i="22"/>
  <c r="AN53" i="22" s="1"/>
  <c r="AM53" i="22"/>
  <c r="AH54" i="22"/>
  <c r="AH55" i="22"/>
  <c r="AI55" i="22"/>
  <c r="AE46" i="22"/>
  <c r="AE47" i="22"/>
  <c r="AE48" i="22"/>
  <c r="AE49" i="22"/>
  <c r="AM49" i="22" s="1"/>
  <c r="AE50" i="22"/>
  <c r="AE51" i="22"/>
  <c r="AM51" i="22" s="1"/>
  <c r="AE52" i="22"/>
  <c r="AE53" i="22"/>
  <c r="AE54" i="22"/>
  <c r="AE55" i="22"/>
  <c r="AF55" i="22"/>
  <c r="I46" i="22"/>
  <c r="AA46" i="22" s="1"/>
  <c r="J46" i="22"/>
  <c r="L46" i="22"/>
  <c r="M46" i="22"/>
  <c r="I47" i="22"/>
  <c r="AA47" i="22" s="1"/>
  <c r="J47" i="22"/>
  <c r="L47" i="22"/>
  <c r="M47" i="22"/>
  <c r="I48" i="22"/>
  <c r="J48" i="22"/>
  <c r="L48" i="22"/>
  <c r="M48" i="22"/>
  <c r="I49" i="22"/>
  <c r="AA49" i="22" s="1"/>
  <c r="J49" i="22"/>
  <c r="L49" i="22"/>
  <c r="M49" i="22"/>
  <c r="I50" i="22"/>
  <c r="AA50" i="22" s="1"/>
  <c r="J50" i="22"/>
  <c r="K50" i="22"/>
  <c r="L50" i="22"/>
  <c r="M50" i="22"/>
  <c r="I51" i="22"/>
  <c r="AA51" i="22" s="1"/>
  <c r="AF51" i="22" s="1"/>
  <c r="J51" i="22"/>
  <c r="K51" i="22"/>
  <c r="L51" i="22"/>
  <c r="M51" i="22"/>
  <c r="I52" i="22"/>
  <c r="AA52" i="22" s="1"/>
  <c r="J52" i="22"/>
  <c r="L52" i="22"/>
  <c r="M52" i="22"/>
  <c r="I53" i="22"/>
  <c r="K53" i="22" s="1"/>
  <c r="J53" i="22"/>
  <c r="L53" i="22"/>
  <c r="M53" i="22"/>
  <c r="I54" i="22"/>
  <c r="AA54" i="22" s="1"/>
  <c r="J54" i="22"/>
  <c r="L54" i="22"/>
  <c r="M54" i="22"/>
  <c r="I45" i="22"/>
  <c r="J45" i="22"/>
  <c r="A43" i="22"/>
  <c r="AH34" i="22"/>
  <c r="AH35" i="22"/>
  <c r="AH36" i="22"/>
  <c r="AH37" i="22"/>
  <c r="AK37" i="22"/>
  <c r="AH38" i="22"/>
  <c r="AH39" i="22"/>
  <c r="AK39" i="22"/>
  <c r="AH40" i="22"/>
  <c r="AK40" i="22"/>
  <c r="AH41" i="22"/>
  <c r="AH42" i="22"/>
  <c r="AH43" i="22"/>
  <c r="AE34" i="22"/>
  <c r="AE35" i="22"/>
  <c r="AE36" i="22"/>
  <c r="AE37" i="22"/>
  <c r="AE38" i="22"/>
  <c r="AE39" i="22"/>
  <c r="AE40" i="22"/>
  <c r="AE41" i="22"/>
  <c r="AE42" i="22"/>
  <c r="AE43" i="22"/>
  <c r="AA36" i="22"/>
  <c r="AI36" i="22" s="1"/>
  <c r="AA40" i="22"/>
  <c r="I34" i="22"/>
  <c r="K34" i="22" s="1"/>
  <c r="J34" i="22"/>
  <c r="L34" i="22"/>
  <c r="M34" i="22"/>
  <c r="N34" i="22"/>
  <c r="I35" i="22"/>
  <c r="AA35" i="22" s="1"/>
  <c r="J35" i="22"/>
  <c r="L35" i="22"/>
  <c r="M35" i="22"/>
  <c r="N35" i="22"/>
  <c r="I36" i="22"/>
  <c r="J36" i="22"/>
  <c r="K36" i="22"/>
  <c r="L36" i="22"/>
  <c r="M36" i="22"/>
  <c r="N36" i="22"/>
  <c r="I37" i="22"/>
  <c r="AA37" i="22" s="1"/>
  <c r="J37" i="22"/>
  <c r="L37" i="22"/>
  <c r="M37" i="22"/>
  <c r="N37" i="22"/>
  <c r="I38" i="22"/>
  <c r="K38" i="22" s="1"/>
  <c r="J38" i="22"/>
  <c r="L38" i="22"/>
  <c r="M38" i="22"/>
  <c r="N38" i="22"/>
  <c r="I39" i="22"/>
  <c r="AA39" i="22" s="1"/>
  <c r="J39" i="22"/>
  <c r="K39" i="22"/>
  <c r="L39" i="22"/>
  <c r="M39" i="22"/>
  <c r="N39" i="22"/>
  <c r="I40" i="22"/>
  <c r="K40" i="22" s="1"/>
  <c r="J40" i="22"/>
  <c r="L40" i="22"/>
  <c r="M40" i="22"/>
  <c r="N40" i="22"/>
  <c r="I41" i="22"/>
  <c r="AA41" i="22" s="1"/>
  <c r="J41" i="22"/>
  <c r="L41" i="22"/>
  <c r="M41" i="22"/>
  <c r="N41" i="22"/>
  <c r="I42" i="22"/>
  <c r="K42" i="22" s="1"/>
  <c r="J42" i="22"/>
  <c r="L42" i="22"/>
  <c r="M42" i="22"/>
  <c r="N42" i="22"/>
  <c r="I43" i="22"/>
  <c r="AA43" i="22" s="1"/>
  <c r="J43" i="22"/>
  <c r="L43" i="22"/>
  <c r="M43" i="22"/>
  <c r="N43" i="22"/>
  <c r="N33" i="22"/>
  <c r="I33" i="22"/>
  <c r="J33" i="22"/>
  <c r="AG32" i="22"/>
  <c r="AL32" i="22" s="1"/>
  <c r="AD32" i="22"/>
  <c r="AK32" i="22" s="1"/>
  <c r="O32" i="22"/>
  <c r="P32" i="22"/>
  <c r="Q32" i="22"/>
  <c r="R32" i="22"/>
  <c r="S32" i="22"/>
  <c r="T32" i="22"/>
  <c r="U32" i="22"/>
  <c r="V32" i="22"/>
  <c r="W32" i="22"/>
  <c r="X32" i="22"/>
  <c r="Y32" i="22"/>
  <c r="Z32" i="22"/>
  <c r="AJ32" i="22" s="1"/>
  <c r="AJ31" i="22"/>
  <c r="AK31" i="22"/>
  <c r="AM31" i="22" s="1"/>
  <c r="AL31" i="22"/>
  <c r="AN31" i="22" s="1"/>
  <c r="AG31" i="22"/>
  <c r="AD31" i="22"/>
  <c r="O31" i="22"/>
  <c r="P31" i="22"/>
  <c r="Q31" i="22"/>
  <c r="R31" i="22"/>
  <c r="S31" i="22"/>
  <c r="T31" i="22"/>
  <c r="U31" i="22"/>
  <c r="V31" i="22"/>
  <c r="W31" i="22"/>
  <c r="X31" i="22"/>
  <c r="Y31" i="22"/>
  <c r="Z31" i="22"/>
  <c r="AA31" i="22"/>
  <c r="N26" i="22"/>
  <c r="N27" i="22"/>
  <c r="N28" i="22"/>
  <c r="N29" i="22"/>
  <c r="B22" i="22"/>
  <c r="B23" i="22"/>
  <c r="AG16" i="22"/>
  <c r="AG19" i="22"/>
  <c r="AG20" i="22"/>
  <c r="AL60" i="22" s="1"/>
  <c r="AD19" i="22"/>
  <c r="AD20" i="22"/>
  <c r="AK72" i="22" s="1"/>
  <c r="N19" i="22"/>
  <c r="O19" i="22"/>
  <c r="P19" i="22"/>
  <c r="Q19" i="22"/>
  <c r="R19" i="22"/>
  <c r="S19" i="22"/>
  <c r="T19" i="22"/>
  <c r="U19" i="22"/>
  <c r="V19" i="22"/>
  <c r="W19" i="22"/>
  <c r="X19" i="22"/>
  <c r="Y19" i="22"/>
  <c r="Z19" i="22"/>
  <c r="N20" i="22"/>
  <c r="O20" i="22"/>
  <c r="P20" i="22"/>
  <c r="Q20" i="22"/>
  <c r="R20" i="22"/>
  <c r="S20" i="22"/>
  <c r="T20" i="22"/>
  <c r="U20" i="22"/>
  <c r="V20" i="22"/>
  <c r="W20" i="22"/>
  <c r="X20" i="22"/>
  <c r="Y20" i="22"/>
  <c r="Z20" i="22"/>
  <c r="G19" i="22"/>
  <c r="B17" i="22"/>
  <c r="B18" i="22"/>
  <c r="B19" i="22"/>
  <c r="O16" i="22"/>
  <c r="P16" i="22"/>
  <c r="Q16" i="22"/>
  <c r="R16" i="22"/>
  <c r="S16" i="22"/>
  <c r="T16" i="22"/>
  <c r="U16" i="22"/>
  <c r="V16" i="22"/>
  <c r="W16" i="22"/>
  <c r="X16" i="22"/>
  <c r="Y16" i="22"/>
  <c r="O17" i="22"/>
  <c r="P17" i="22"/>
  <c r="Q17" i="22"/>
  <c r="R17" i="22"/>
  <c r="S17" i="22"/>
  <c r="T17" i="22"/>
  <c r="U17" i="22"/>
  <c r="V17" i="22"/>
  <c r="W17" i="22"/>
  <c r="X17" i="22"/>
  <c r="Y17" i="22"/>
  <c r="Z17" i="22"/>
  <c r="AA17" i="22"/>
  <c r="AA11" i="22" s="1"/>
  <c r="A14" i="22"/>
  <c r="AG12" i="22"/>
  <c r="AG13" i="22"/>
  <c r="AD12" i="22"/>
  <c r="AD13" i="22"/>
  <c r="B12" i="22"/>
  <c r="B13" i="22"/>
  <c r="O11" i="22"/>
  <c r="P11" i="22"/>
  <c r="Q11" i="22"/>
  <c r="R11" i="22"/>
  <c r="S11" i="22"/>
  <c r="T11" i="22"/>
  <c r="U11" i="22"/>
  <c r="V11" i="22"/>
  <c r="W11" i="22"/>
  <c r="X11" i="22"/>
  <c r="Y11" i="22"/>
  <c r="Z11" i="22"/>
  <c r="O12" i="22"/>
  <c r="P12" i="22"/>
  <c r="Q12" i="22"/>
  <c r="R12" i="22"/>
  <c r="S12" i="22"/>
  <c r="T12" i="22"/>
  <c r="U12" i="22"/>
  <c r="V12" i="22"/>
  <c r="W12" i="22"/>
  <c r="X12" i="22"/>
  <c r="Y12" i="22"/>
  <c r="Z12" i="22"/>
  <c r="AA12" i="22"/>
  <c r="O13" i="22"/>
  <c r="P13" i="22"/>
  <c r="Q13" i="22"/>
  <c r="R13" i="22"/>
  <c r="S13" i="22"/>
  <c r="T13" i="22"/>
  <c r="U13" i="22"/>
  <c r="V13" i="22"/>
  <c r="W13" i="22"/>
  <c r="X13" i="22"/>
  <c r="Y13" i="22"/>
  <c r="Z13" i="22"/>
  <c r="AA13" i="22"/>
  <c r="C10" i="22"/>
  <c r="D10" i="22"/>
  <c r="C9" i="22"/>
  <c r="C1" i="22"/>
  <c r="C2" i="22"/>
  <c r="C3" i="22"/>
  <c r="C4" i="22"/>
  <c r="C5" i="22"/>
  <c r="C6" i="22"/>
  <c r="C7" i="22"/>
  <c r="C8" i="22"/>
  <c r="E6" i="22"/>
  <c r="B58" i="22" s="1"/>
  <c r="E4" i="22"/>
  <c r="F4" i="22"/>
  <c r="B3" i="22"/>
  <c r="B110" i="21"/>
  <c r="B104" i="21"/>
  <c r="B105" i="21"/>
  <c r="B106" i="21"/>
  <c r="A101" i="21"/>
  <c r="B78" i="21"/>
  <c r="B79" i="21"/>
  <c r="AG76" i="21"/>
  <c r="AD76" i="21"/>
  <c r="O76" i="21"/>
  <c r="P76" i="21"/>
  <c r="Q76" i="21"/>
  <c r="R76" i="21"/>
  <c r="S76" i="21"/>
  <c r="T76" i="21"/>
  <c r="U76" i="21"/>
  <c r="V76" i="21"/>
  <c r="W76" i="21"/>
  <c r="X76" i="21"/>
  <c r="Y76" i="21"/>
  <c r="Z76" i="21"/>
  <c r="N77" i="21"/>
  <c r="B73" i="21"/>
  <c r="B74" i="21"/>
  <c r="B75" i="21"/>
  <c r="N73" i="21"/>
  <c r="N76" i="21" s="1"/>
  <c r="N74" i="21"/>
  <c r="AH73" i="21"/>
  <c r="AH74" i="21"/>
  <c r="AE73" i="21"/>
  <c r="AE74" i="21"/>
  <c r="AA74" i="21"/>
  <c r="AB74" i="21"/>
  <c r="AM74" i="21" s="1"/>
  <c r="I73" i="21"/>
  <c r="AA73" i="21" s="1"/>
  <c r="J73" i="21"/>
  <c r="I74" i="21"/>
  <c r="J74" i="21"/>
  <c r="N68" i="21"/>
  <c r="N69" i="21"/>
  <c r="N70" i="21"/>
  <c r="N71" i="21"/>
  <c r="I71" i="21"/>
  <c r="AA71" i="21" s="1"/>
  <c r="AA76" i="21" s="1"/>
  <c r="J71" i="21"/>
  <c r="A70" i="21"/>
  <c r="AH69" i="21"/>
  <c r="AH70" i="21"/>
  <c r="AI70" i="21"/>
  <c r="AK70" i="21"/>
  <c r="AH71" i="21"/>
  <c r="AE69" i="21"/>
  <c r="AE70" i="21"/>
  <c r="AE71" i="21"/>
  <c r="AA69" i="21"/>
  <c r="I69" i="21"/>
  <c r="J69" i="21"/>
  <c r="L69" i="21"/>
  <c r="M69" i="21"/>
  <c r="I70" i="21"/>
  <c r="AA70" i="21" s="1"/>
  <c r="J70" i="21"/>
  <c r="L70" i="21"/>
  <c r="M70" i="21"/>
  <c r="I68" i="21"/>
  <c r="J68" i="21"/>
  <c r="AH62" i="21"/>
  <c r="AH63" i="21"/>
  <c r="AH64" i="21"/>
  <c r="AH65" i="21"/>
  <c r="AH66" i="21"/>
  <c r="AE62" i="21"/>
  <c r="AE63" i="21"/>
  <c r="AE64" i="21"/>
  <c r="AE65" i="21"/>
  <c r="AE66" i="21"/>
  <c r="I62" i="21"/>
  <c r="AA62" i="21" s="1"/>
  <c r="J62" i="21"/>
  <c r="L62" i="21"/>
  <c r="M62" i="21"/>
  <c r="N62" i="21"/>
  <c r="I63" i="21"/>
  <c r="AA63" i="21" s="1"/>
  <c r="AF63" i="21" s="1"/>
  <c r="J63" i="21"/>
  <c r="K63" i="21"/>
  <c r="L63" i="21"/>
  <c r="M63" i="21"/>
  <c r="N63" i="21"/>
  <c r="I64" i="21"/>
  <c r="J64" i="21"/>
  <c r="L64" i="21"/>
  <c r="M64" i="21"/>
  <c r="N64" i="21"/>
  <c r="I65" i="21"/>
  <c r="AA65" i="21" s="1"/>
  <c r="J65" i="21"/>
  <c r="K65" i="21"/>
  <c r="L65" i="21"/>
  <c r="M65" i="21"/>
  <c r="N65" i="21"/>
  <c r="I66" i="21"/>
  <c r="AA66" i="21" s="1"/>
  <c r="J66" i="21"/>
  <c r="L66" i="21"/>
  <c r="M66" i="21"/>
  <c r="N66" i="21"/>
  <c r="N60" i="21"/>
  <c r="N61" i="21"/>
  <c r="I60" i="21"/>
  <c r="J60" i="21"/>
  <c r="I61" i="21"/>
  <c r="J61" i="21"/>
  <c r="AD58" i="21"/>
  <c r="AD77" i="21" s="1"/>
  <c r="AE58" i="21"/>
  <c r="AG58" i="21"/>
  <c r="AH58" i="21" s="1"/>
  <c r="N58" i="21"/>
  <c r="O58" i="21"/>
  <c r="P58" i="21"/>
  <c r="P77" i="21" s="1"/>
  <c r="Q58" i="21"/>
  <c r="Q77" i="21" s="1"/>
  <c r="R58" i="21"/>
  <c r="R77" i="21" s="1"/>
  <c r="S58" i="21"/>
  <c r="S77" i="21" s="1"/>
  <c r="T58" i="21"/>
  <c r="T77" i="21" s="1"/>
  <c r="U58" i="21"/>
  <c r="U77" i="21" s="1"/>
  <c r="V58" i="21"/>
  <c r="V77" i="21" s="1"/>
  <c r="W58" i="21"/>
  <c r="W77" i="21" s="1"/>
  <c r="X58" i="21"/>
  <c r="X77" i="21" s="1"/>
  <c r="Y58" i="21"/>
  <c r="Y77" i="21" s="1"/>
  <c r="Z58" i="21"/>
  <c r="Z77" i="21" s="1"/>
  <c r="AH57" i="21"/>
  <c r="AI57" i="21"/>
  <c r="AB47" i="21"/>
  <c r="AB48" i="21"/>
  <c r="AB49" i="21"/>
  <c r="AB50" i="21"/>
  <c r="AB51" i="21"/>
  <c r="AM51" i="21" s="1"/>
  <c r="AB52" i="21"/>
  <c r="AM52" i="21" s="1"/>
  <c r="AB53" i="21"/>
  <c r="AM53" i="21" s="1"/>
  <c r="AB54" i="21"/>
  <c r="AM54" i="21" s="1"/>
  <c r="AB55" i="21"/>
  <c r="AB56" i="21"/>
  <c r="AM56" i="21" s="1"/>
  <c r="AB57" i="21"/>
  <c r="N46" i="21"/>
  <c r="N47" i="21"/>
  <c r="N48" i="21"/>
  <c r="N49" i="21"/>
  <c r="N50" i="21"/>
  <c r="N51" i="21"/>
  <c r="N52" i="21"/>
  <c r="N53" i="21"/>
  <c r="N54" i="21"/>
  <c r="N55" i="21"/>
  <c r="N56" i="21"/>
  <c r="N57" i="21"/>
  <c r="I57" i="21"/>
  <c r="K57" i="21" s="1"/>
  <c r="J57" i="21"/>
  <c r="I58" i="21"/>
  <c r="K58" i="21" s="1"/>
  <c r="J58" i="21"/>
  <c r="AA48" i="21"/>
  <c r="AI48" i="21" s="1"/>
  <c r="AA49" i="21"/>
  <c r="B50" i="21"/>
  <c r="B51" i="21"/>
  <c r="AH47" i="21"/>
  <c r="AL47" i="21"/>
  <c r="AN47" i="21"/>
  <c r="AH48" i="21"/>
  <c r="AN48" i="21" s="1"/>
  <c r="AH49" i="21"/>
  <c r="AM49" i="21"/>
  <c r="AH50" i="21"/>
  <c r="AN50" i="21"/>
  <c r="AH51" i="21"/>
  <c r="AH52" i="21"/>
  <c r="AH53" i="21"/>
  <c r="AH54" i="21"/>
  <c r="AH55" i="21"/>
  <c r="AH56" i="21"/>
  <c r="AL56" i="21"/>
  <c r="AE47" i="21"/>
  <c r="AE48" i="21"/>
  <c r="AM48" i="21" s="1"/>
  <c r="AE49" i="21"/>
  <c r="AE50" i="21"/>
  <c r="AM50" i="21" s="1"/>
  <c r="AE51" i="21"/>
  <c r="AE52" i="21"/>
  <c r="AE53" i="21"/>
  <c r="AE54" i="21"/>
  <c r="AE55" i="21"/>
  <c r="AE56" i="21"/>
  <c r="AE57" i="21"/>
  <c r="AF57" i="21"/>
  <c r="I47" i="21"/>
  <c r="J47" i="21"/>
  <c r="L47" i="21"/>
  <c r="M47" i="21"/>
  <c r="I48" i="21"/>
  <c r="J48" i="21"/>
  <c r="K48" i="21"/>
  <c r="L48" i="21"/>
  <c r="M48" i="21"/>
  <c r="I49" i="21"/>
  <c r="K49" i="21" s="1"/>
  <c r="J49" i="21"/>
  <c r="L49" i="21"/>
  <c r="M49" i="21"/>
  <c r="I50" i="21"/>
  <c r="K50" i="21" s="1"/>
  <c r="J50" i="21"/>
  <c r="L50" i="21"/>
  <c r="M50" i="21"/>
  <c r="I51" i="21"/>
  <c r="AA51" i="21" s="1"/>
  <c r="J51" i="21"/>
  <c r="K51" i="21"/>
  <c r="L51" i="21"/>
  <c r="M51" i="21"/>
  <c r="I52" i="21"/>
  <c r="K52" i="21" s="1"/>
  <c r="J52" i="21"/>
  <c r="L52" i="21"/>
  <c r="M52" i="21"/>
  <c r="I53" i="21"/>
  <c r="AA53" i="21" s="1"/>
  <c r="J53" i="21"/>
  <c r="K53" i="21"/>
  <c r="L53" i="21"/>
  <c r="M53" i="21"/>
  <c r="I54" i="21"/>
  <c r="K54" i="21" s="1"/>
  <c r="J54" i="21"/>
  <c r="L54" i="21"/>
  <c r="M54" i="21"/>
  <c r="I55" i="21"/>
  <c r="AA55" i="21" s="1"/>
  <c r="J55" i="21"/>
  <c r="K55" i="21"/>
  <c r="L55" i="21"/>
  <c r="M55" i="21"/>
  <c r="I56" i="21"/>
  <c r="AA56" i="21" s="1"/>
  <c r="AI56" i="21" s="1"/>
  <c r="J56" i="21"/>
  <c r="K56" i="21"/>
  <c r="L56" i="21"/>
  <c r="M56" i="21"/>
  <c r="B45" i="21"/>
  <c r="B46" i="21"/>
  <c r="B47" i="21"/>
  <c r="I46" i="21"/>
  <c r="J46" i="21"/>
  <c r="A42" i="21"/>
  <c r="AH34" i="21"/>
  <c r="AH35" i="21"/>
  <c r="AH36" i="21"/>
  <c r="AH37" i="21"/>
  <c r="AH38" i="21"/>
  <c r="AL38" i="21"/>
  <c r="AH39" i="21"/>
  <c r="AH40" i="21"/>
  <c r="AH41" i="21"/>
  <c r="AH42" i="21"/>
  <c r="AH43" i="21"/>
  <c r="AH44" i="21"/>
  <c r="AE34" i="21"/>
  <c r="AE35" i="21"/>
  <c r="AE36" i="21"/>
  <c r="AE37" i="21"/>
  <c r="AE38" i="21"/>
  <c r="AE39" i="21"/>
  <c r="AE40" i="21"/>
  <c r="AE41" i="21"/>
  <c r="AE42" i="21"/>
  <c r="AE43" i="21"/>
  <c r="AE44" i="21"/>
  <c r="AB37" i="21"/>
  <c r="AA40" i="21"/>
  <c r="AB40" i="21"/>
  <c r="AM40" i="21" s="1"/>
  <c r="I34" i="21"/>
  <c r="AA34" i="21" s="1"/>
  <c r="J34" i="21"/>
  <c r="L34" i="21"/>
  <c r="M34" i="21"/>
  <c r="N34" i="21"/>
  <c r="I35" i="21"/>
  <c r="K35" i="21" s="1"/>
  <c r="J35" i="21"/>
  <c r="L35" i="21"/>
  <c r="M35" i="21"/>
  <c r="N35" i="21"/>
  <c r="I36" i="21"/>
  <c r="J36" i="21"/>
  <c r="L36" i="21"/>
  <c r="M36" i="21"/>
  <c r="N36" i="21"/>
  <c r="I37" i="21"/>
  <c r="AA37" i="21" s="1"/>
  <c r="AI37" i="21" s="1"/>
  <c r="J37" i="21"/>
  <c r="K37" i="21"/>
  <c r="L37" i="21"/>
  <c r="M37" i="21"/>
  <c r="N37" i="21"/>
  <c r="I38" i="21"/>
  <c r="AA38" i="21" s="1"/>
  <c r="J38" i="21"/>
  <c r="L38" i="21"/>
  <c r="M38" i="21"/>
  <c r="N38" i="21"/>
  <c r="I39" i="21"/>
  <c r="K39" i="21" s="1"/>
  <c r="J39" i="21"/>
  <c r="L39" i="21"/>
  <c r="M39" i="21"/>
  <c r="N39" i="21"/>
  <c r="I40" i="21"/>
  <c r="J40" i="21"/>
  <c r="K40" i="21"/>
  <c r="L40" i="21"/>
  <c r="M40" i="21"/>
  <c r="N40" i="21"/>
  <c r="I41" i="21"/>
  <c r="AA41" i="21" s="1"/>
  <c r="J41" i="21"/>
  <c r="L41" i="21"/>
  <c r="M41" i="21"/>
  <c r="N41" i="21"/>
  <c r="I42" i="21"/>
  <c r="AA42" i="21" s="1"/>
  <c r="J42" i="21"/>
  <c r="L42" i="21"/>
  <c r="M42" i="21"/>
  <c r="N42" i="21"/>
  <c r="I43" i="21"/>
  <c r="K43" i="21" s="1"/>
  <c r="J43" i="21"/>
  <c r="L43" i="21"/>
  <c r="M43" i="21"/>
  <c r="N43" i="21"/>
  <c r="I44" i="21"/>
  <c r="AA44" i="21" s="1"/>
  <c r="J44" i="21"/>
  <c r="L44" i="21"/>
  <c r="M44" i="21"/>
  <c r="N44" i="21"/>
  <c r="N33" i="21"/>
  <c r="I33" i="21"/>
  <c r="J33" i="21"/>
  <c r="AL32" i="21"/>
  <c r="AG32" i="21"/>
  <c r="AD32" i="21"/>
  <c r="AK32" i="21" s="1"/>
  <c r="O32" i="21"/>
  <c r="P32" i="21"/>
  <c r="Q32" i="21"/>
  <c r="R32" i="21"/>
  <c r="S32" i="21"/>
  <c r="T32" i="21"/>
  <c r="U32" i="21"/>
  <c r="V32" i="21"/>
  <c r="W32" i="21"/>
  <c r="X32" i="21"/>
  <c r="Y32" i="21"/>
  <c r="Z32" i="21"/>
  <c r="AJ32" i="21" s="1"/>
  <c r="AJ31" i="21"/>
  <c r="AK31" i="21"/>
  <c r="AL31" i="21"/>
  <c r="AN31" i="21" s="1"/>
  <c r="AM31" i="21"/>
  <c r="AG31" i="21"/>
  <c r="AD31" i="21"/>
  <c r="O31" i="21"/>
  <c r="P31" i="21"/>
  <c r="Q31" i="21"/>
  <c r="R31" i="21"/>
  <c r="S31" i="21"/>
  <c r="T31" i="21"/>
  <c r="U31" i="21"/>
  <c r="V31" i="21"/>
  <c r="W31" i="21"/>
  <c r="X31" i="21"/>
  <c r="Y31" i="21"/>
  <c r="Z31" i="21"/>
  <c r="AA31" i="21"/>
  <c r="N26" i="21"/>
  <c r="N27" i="21"/>
  <c r="N28" i="21"/>
  <c r="N29" i="21"/>
  <c r="B22" i="21"/>
  <c r="B23" i="21"/>
  <c r="AG16" i="21"/>
  <c r="AG19" i="21"/>
  <c r="AG20" i="21"/>
  <c r="AL74" i="21" s="1"/>
  <c r="AD19" i="21"/>
  <c r="AD20" i="21"/>
  <c r="N19" i="21"/>
  <c r="O19" i="21"/>
  <c r="P19" i="21"/>
  <c r="Q19" i="21"/>
  <c r="R19" i="21"/>
  <c r="S19" i="21"/>
  <c r="T19" i="21"/>
  <c r="U19" i="21"/>
  <c r="V19" i="21"/>
  <c r="W19" i="21"/>
  <c r="X19" i="21"/>
  <c r="Y19" i="21"/>
  <c r="Z19" i="21"/>
  <c r="N20" i="21"/>
  <c r="O20" i="21"/>
  <c r="P20" i="21"/>
  <c r="Q20" i="21"/>
  <c r="R20" i="21"/>
  <c r="S20" i="21"/>
  <c r="T20" i="21"/>
  <c r="U20" i="21"/>
  <c r="V20" i="21"/>
  <c r="W20" i="21"/>
  <c r="X20" i="21"/>
  <c r="Y20" i="21"/>
  <c r="Z20" i="21"/>
  <c r="G19" i="21"/>
  <c r="B17" i="21"/>
  <c r="B18" i="21"/>
  <c r="B19" i="21"/>
  <c r="O16" i="21"/>
  <c r="P16" i="21"/>
  <c r="Q16" i="21"/>
  <c r="R16" i="21"/>
  <c r="S16" i="21"/>
  <c r="T16" i="21"/>
  <c r="U16" i="21"/>
  <c r="V16" i="21"/>
  <c r="W16" i="21"/>
  <c r="X16" i="21"/>
  <c r="Y16" i="21"/>
  <c r="O17" i="21"/>
  <c r="P17" i="21"/>
  <c r="Q17" i="21"/>
  <c r="R17" i="21"/>
  <c r="S17" i="21"/>
  <c r="T17" i="21"/>
  <c r="U17" i="21"/>
  <c r="V17" i="21"/>
  <c r="W17" i="21"/>
  <c r="X17" i="21"/>
  <c r="Y17" i="21"/>
  <c r="Z17" i="21"/>
  <c r="AA17" i="21" s="1"/>
  <c r="AA11" i="21" s="1"/>
  <c r="A14" i="21"/>
  <c r="AG12" i="21"/>
  <c r="AG13" i="21"/>
  <c r="AD12" i="21"/>
  <c r="AD13" i="21"/>
  <c r="B12" i="21"/>
  <c r="B13" i="21"/>
  <c r="O11" i="21"/>
  <c r="P11" i="21"/>
  <c r="Q11" i="21"/>
  <c r="R11" i="21"/>
  <c r="S11" i="21"/>
  <c r="T11" i="21"/>
  <c r="U11" i="21"/>
  <c r="V11" i="21"/>
  <c r="W11" i="21"/>
  <c r="X11" i="21"/>
  <c r="Y11" i="21"/>
  <c r="Z11" i="21"/>
  <c r="O12" i="21"/>
  <c r="P12" i="21"/>
  <c r="Q12" i="21"/>
  <c r="R12" i="21"/>
  <c r="S12" i="21"/>
  <c r="T12" i="21"/>
  <c r="U12" i="21"/>
  <c r="V12" i="21"/>
  <c r="W12" i="21"/>
  <c r="X12" i="21"/>
  <c r="Y12" i="21"/>
  <c r="Z12" i="21"/>
  <c r="AA12" i="21"/>
  <c r="O13" i="21"/>
  <c r="P13" i="21"/>
  <c r="Q13" i="21"/>
  <c r="R13" i="21"/>
  <c r="S13" i="21"/>
  <c r="T13" i="21"/>
  <c r="U13" i="21"/>
  <c r="V13" i="21"/>
  <c r="W13" i="21"/>
  <c r="X13" i="21"/>
  <c r="Y13" i="21"/>
  <c r="Z13" i="21"/>
  <c r="AA13" i="21"/>
  <c r="C10" i="21"/>
  <c r="D10" i="21"/>
  <c r="C9" i="21"/>
  <c r="C1" i="21"/>
  <c r="C2" i="21"/>
  <c r="C3" i="21"/>
  <c r="C4" i="21"/>
  <c r="C5" i="21"/>
  <c r="C6" i="21"/>
  <c r="C7" i="21"/>
  <c r="C8" i="21"/>
  <c r="E6" i="21"/>
  <c r="E4" i="21"/>
  <c r="F4" i="21"/>
  <c r="B3" i="21"/>
  <c r="B111" i="20"/>
  <c r="B105" i="20"/>
  <c r="B106" i="20"/>
  <c r="B107" i="20"/>
  <c r="A102" i="20"/>
  <c r="B79" i="20"/>
  <c r="B80" i="20"/>
  <c r="B74" i="20"/>
  <c r="B75" i="20"/>
  <c r="B76" i="20"/>
  <c r="A71" i="20"/>
  <c r="AG69" i="20"/>
  <c r="AD69" i="20"/>
  <c r="O69" i="20"/>
  <c r="P69" i="20"/>
  <c r="Q69" i="20"/>
  <c r="R69" i="20"/>
  <c r="S69" i="20"/>
  <c r="T69" i="20"/>
  <c r="U69" i="20"/>
  <c r="V69" i="20"/>
  <c r="W69" i="20"/>
  <c r="X69" i="20"/>
  <c r="Y69" i="20"/>
  <c r="Z69" i="20"/>
  <c r="N70" i="20"/>
  <c r="T70" i="20"/>
  <c r="Z70" i="20"/>
  <c r="N66" i="20"/>
  <c r="N69" i="20" s="1"/>
  <c r="N67" i="20"/>
  <c r="AL66" i="20"/>
  <c r="AE66" i="20"/>
  <c r="AE67" i="20"/>
  <c r="AA67" i="20"/>
  <c r="I66" i="20"/>
  <c r="AA66" i="20" s="1"/>
  <c r="J66" i="20"/>
  <c r="I67" i="20"/>
  <c r="J67" i="20"/>
  <c r="N59" i="20"/>
  <c r="N60" i="20"/>
  <c r="N61" i="20"/>
  <c r="N62" i="20"/>
  <c r="N63" i="20"/>
  <c r="N64" i="20"/>
  <c r="I64" i="20"/>
  <c r="AA64" i="20" s="1"/>
  <c r="J64" i="20"/>
  <c r="AI60" i="20"/>
  <c r="AK61" i="20"/>
  <c r="AL62" i="20"/>
  <c r="AE60" i="20"/>
  <c r="AE61" i="20"/>
  <c r="AE62" i="20"/>
  <c r="AE63" i="20"/>
  <c r="AF63" i="20"/>
  <c r="AE64" i="20"/>
  <c r="AF64" i="20"/>
  <c r="AA63" i="20"/>
  <c r="I60" i="20"/>
  <c r="AA60" i="20" s="1"/>
  <c r="J60" i="20"/>
  <c r="L60" i="20"/>
  <c r="M60" i="20"/>
  <c r="I61" i="20"/>
  <c r="J61" i="20"/>
  <c r="L61" i="20"/>
  <c r="M61" i="20"/>
  <c r="I62" i="20"/>
  <c r="AA62" i="20" s="1"/>
  <c r="AB62" i="20" s="1"/>
  <c r="J62" i="20"/>
  <c r="L62" i="20"/>
  <c r="M62" i="20"/>
  <c r="I63" i="20"/>
  <c r="K63" i="20" s="1"/>
  <c r="J63" i="20"/>
  <c r="L63" i="20"/>
  <c r="M63" i="20"/>
  <c r="I59" i="20"/>
  <c r="J59" i="20"/>
  <c r="B51" i="20"/>
  <c r="B52" i="20"/>
  <c r="AH48" i="20"/>
  <c r="AH49" i="20"/>
  <c r="AK49" i="20"/>
  <c r="AH50" i="20"/>
  <c r="AH52" i="20"/>
  <c r="AK57" i="20"/>
  <c r="AE48" i="20"/>
  <c r="AE49" i="20"/>
  <c r="AE50" i="20"/>
  <c r="AE51" i="20"/>
  <c r="AE52" i="20"/>
  <c r="AE53" i="20"/>
  <c r="AE54" i="20"/>
  <c r="AE55" i="20"/>
  <c r="AE56" i="20"/>
  <c r="AE57" i="20"/>
  <c r="AA49" i="20"/>
  <c r="AA52" i="20"/>
  <c r="AA57" i="20"/>
  <c r="I48" i="20"/>
  <c r="J48" i="20"/>
  <c r="L48" i="20"/>
  <c r="M48" i="20"/>
  <c r="N48" i="20"/>
  <c r="I49" i="20"/>
  <c r="K49" i="20" s="1"/>
  <c r="J49" i="20"/>
  <c r="L49" i="20"/>
  <c r="M49" i="20"/>
  <c r="N49" i="20"/>
  <c r="I50" i="20"/>
  <c r="AA50" i="20" s="1"/>
  <c r="J50" i="20"/>
  <c r="K50" i="20"/>
  <c r="L50" i="20"/>
  <c r="M50" i="20"/>
  <c r="N50" i="20"/>
  <c r="I51" i="20"/>
  <c r="J51" i="20"/>
  <c r="L51" i="20"/>
  <c r="M51" i="20"/>
  <c r="N51" i="20"/>
  <c r="I52" i="20"/>
  <c r="J52" i="20"/>
  <c r="K52" i="20"/>
  <c r="L52" i="20"/>
  <c r="M52" i="20"/>
  <c r="N52" i="20"/>
  <c r="I53" i="20"/>
  <c r="K53" i="20" s="1"/>
  <c r="J53" i="20"/>
  <c r="L53" i="20"/>
  <c r="M53" i="20"/>
  <c r="N53" i="20"/>
  <c r="I54" i="20"/>
  <c r="AA54" i="20" s="1"/>
  <c r="J54" i="20"/>
  <c r="K54" i="20"/>
  <c r="L54" i="20"/>
  <c r="M54" i="20"/>
  <c r="N54" i="20"/>
  <c r="I55" i="20"/>
  <c r="J55" i="20"/>
  <c r="L55" i="20"/>
  <c r="M55" i="20"/>
  <c r="N55" i="20"/>
  <c r="I56" i="20"/>
  <c r="AA56" i="20" s="1"/>
  <c r="J56" i="20"/>
  <c r="K56" i="20"/>
  <c r="L56" i="20"/>
  <c r="M56" i="20"/>
  <c r="N56" i="20"/>
  <c r="I57" i="20"/>
  <c r="K57" i="20" s="1"/>
  <c r="J57" i="20"/>
  <c r="L57" i="20"/>
  <c r="M57" i="20"/>
  <c r="N57" i="20"/>
  <c r="B46" i="20"/>
  <c r="B47" i="20"/>
  <c r="B48" i="20"/>
  <c r="N46" i="20"/>
  <c r="N47" i="20"/>
  <c r="I46" i="20"/>
  <c r="J46" i="20"/>
  <c r="I47" i="20"/>
  <c r="J47" i="20"/>
  <c r="AD44" i="20"/>
  <c r="AD70" i="20" s="1"/>
  <c r="AG44" i="20"/>
  <c r="AG70" i="20" s="1"/>
  <c r="N44" i="20"/>
  <c r="O44" i="20"/>
  <c r="O70" i="20" s="1"/>
  <c r="P44" i="20"/>
  <c r="P70" i="20" s="1"/>
  <c r="Q44" i="20"/>
  <c r="Q70" i="20" s="1"/>
  <c r="R44" i="20"/>
  <c r="R70" i="20" s="1"/>
  <c r="S44" i="20"/>
  <c r="S70" i="20" s="1"/>
  <c r="T44" i="20"/>
  <c r="U44" i="20"/>
  <c r="U70" i="20" s="1"/>
  <c r="V44" i="20"/>
  <c r="V70" i="20" s="1"/>
  <c r="W44" i="20"/>
  <c r="W70" i="20" s="1"/>
  <c r="X44" i="20"/>
  <c r="X70" i="20" s="1"/>
  <c r="Y44" i="20"/>
  <c r="Y70" i="20" s="1"/>
  <c r="Z44" i="20"/>
  <c r="N40" i="20"/>
  <c r="N41" i="20"/>
  <c r="N42" i="20"/>
  <c r="N43" i="20"/>
  <c r="I43" i="20"/>
  <c r="K43" i="20" s="1"/>
  <c r="J43" i="20"/>
  <c r="I44" i="20"/>
  <c r="J44" i="20"/>
  <c r="A43" i="20"/>
  <c r="AH41" i="20"/>
  <c r="AL41" i="20"/>
  <c r="AH42" i="20"/>
  <c r="AK42" i="20"/>
  <c r="AH43" i="20"/>
  <c r="AI43" i="20"/>
  <c r="AK43" i="20"/>
  <c r="AN43" i="20"/>
  <c r="AE41" i="20"/>
  <c r="AE42" i="20"/>
  <c r="AM42" i="20" s="1"/>
  <c r="AE43" i="20"/>
  <c r="AM43" i="20" s="1"/>
  <c r="AF43" i="20"/>
  <c r="AB41" i="20"/>
  <c r="AB42" i="20"/>
  <c r="I41" i="20"/>
  <c r="AA41" i="20" s="1"/>
  <c r="AF41" i="20" s="1"/>
  <c r="J41" i="20"/>
  <c r="L41" i="20"/>
  <c r="M41" i="20"/>
  <c r="I42" i="20"/>
  <c r="J42" i="20"/>
  <c r="L42" i="20"/>
  <c r="M42" i="20"/>
  <c r="I40" i="20"/>
  <c r="J40" i="20"/>
  <c r="AH36" i="20"/>
  <c r="AK36" i="20"/>
  <c r="AH37" i="20"/>
  <c r="AL37" i="20"/>
  <c r="AK38" i="20"/>
  <c r="AE34" i="20"/>
  <c r="AE35" i="20"/>
  <c r="AE36" i="20"/>
  <c r="AE37" i="20"/>
  <c r="AE38" i="20"/>
  <c r="AB34" i="20"/>
  <c r="AM34" i="20" s="1"/>
  <c r="AA35" i="20"/>
  <c r="AF35" i="20" s="1"/>
  <c r="AA36" i="20"/>
  <c r="AI36" i="20" s="1"/>
  <c r="I34" i="20"/>
  <c r="AA34" i="20" s="1"/>
  <c r="AI34" i="20" s="1"/>
  <c r="J34" i="20"/>
  <c r="L34" i="20"/>
  <c r="M34" i="20"/>
  <c r="N34" i="20"/>
  <c r="I35" i="20"/>
  <c r="K35" i="20" s="1"/>
  <c r="J35" i="20"/>
  <c r="L35" i="20"/>
  <c r="M35" i="20"/>
  <c r="N35" i="20"/>
  <c r="I36" i="20"/>
  <c r="J36" i="20"/>
  <c r="K36" i="20"/>
  <c r="L36" i="20"/>
  <c r="M36" i="20"/>
  <c r="N36" i="20"/>
  <c r="I37" i="20"/>
  <c r="J37" i="20"/>
  <c r="L37" i="20"/>
  <c r="M37" i="20"/>
  <c r="N37" i="20"/>
  <c r="I38" i="20"/>
  <c r="AA38" i="20" s="1"/>
  <c r="J38" i="20"/>
  <c r="L38" i="20"/>
  <c r="M38" i="20"/>
  <c r="N38" i="20"/>
  <c r="N33" i="20"/>
  <c r="I33" i="20"/>
  <c r="J33" i="20"/>
  <c r="AK32" i="20"/>
  <c r="AG32" i="20"/>
  <c r="AL32" i="20" s="1"/>
  <c r="AD32" i="20"/>
  <c r="O32" i="20"/>
  <c r="P32" i="20"/>
  <c r="Q32" i="20"/>
  <c r="R32" i="20"/>
  <c r="S32" i="20"/>
  <c r="T32" i="20"/>
  <c r="U32" i="20"/>
  <c r="V32" i="20"/>
  <c r="W32" i="20"/>
  <c r="X32" i="20"/>
  <c r="Y32" i="20"/>
  <c r="Z32" i="20"/>
  <c r="AJ32" i="20" s="1"/>
  <c r="AJ31" i="20"/>
  <c r="AK31" i="20"/>
  <c r="AM31" i="20" s="1"/>
  <c r="AL31" i="20"/>
  <c r="AN31" i="20" s="1"/>
  <c r="AG31" i="20"/>
  <c r="AD31" i="20"/>
  <c r="O31" i="20"/>
  <c r="P31" i="20"/>
  <c r="Q31" i="20"/>
  <c r="R31" i="20"/>
  <c r="S31" i="20"/>
  <c r="T31" i="20"/>
  <c r="U31" i="20"/>
  <c r="V31" i="20"/>
  <c r="W31" i="20"/>
  <c r="X31" i="20"/>
  <c r="Y31" i="20"/>
  <c r="Z31" i="20"/>
  <c r="AA31" i="20"/>
  <c r="N26" i="20"/>
  <c r="N27" i="20"/>
  <c r="N28" i="20"/>
  <c r="N29" i="20"/>
  <c r="B29" i="20"/>
  <c r="B22" i="20"/>
  <c r="B23" i="20"/>
  <c r="AG16" i="20"/>
  <c r="AG19" i="20"/>
  <c r="AH54" i="20" s="1"/>
  <c r="AG20" i="20"/>
  <c r="AL56" i="20" s="1"/>
  <c r="AD19" i="20"/>
  <c r="AD20" i="20"/>
  <c r="N19" i="20"/>
  <c r="O19" i="20"/>
  <c r="P19" i="20"/>
  <c r="Q19" i="20"/>
  <c r="R19" i="20"/>
  <c r="S19" i="20"/>
  <c r="T19" i="20"/>
  <c r="U19" i="20"/>
  <c r="V19" i="20"/>
  <c r="W19" i="20"/>
  <c r="X19" i="20"/>
  <c r="Y19" i="20"/>
  <c r="Z19" i="20"/>
  <c r="N20" i="20"/>
  <c r="O20" i="20"/>
  <c r="P20" i="20"/>
  <c r="Q20" i="20"/>
  <c r="R20" i="20"/>
  <c r="S20" i="20"/>
  <c r="T20" i="20"/>
  <c r="U20" i="20"/>
  <c r="V20" i="20"/>
  <c r="W20" i="20"/>
  <c r="X20" i="20"/>
  <c r="Y20" i="20"/>
  <c r="Z20" i="20"/>
  <c r="G19" i="20"/>
  <c r="B17" i="20"/>
  <c r="B18" i="20"/>
  <c r="B19" i="20"/>
  <c r="O16" i="20"/>
  <c r="P16" i="20"/>
  <c r="Q16" i="20"/>
  <c r="R16" i="20"/>
  <c r="S16" i="20"/>
  <c r="T16" i="20"/>
  <c r="U16" i="20"/>
  <c r="V16" i="20"/>
  <c r="W16" i="20"/>
  <c r="X16" i="20"/>
  <c r="Y16" i="20"/>
  <c r="O17" i="20"/>
  <c r="P17" i="20"/>
  <c r="Q17" i="20"/>
  <c r="R17" i="20"/>
  <c r="S17" i="20"/>
  <c r="T17" i="20"/>
  <c r="U17" i="20"/>
  <c r="V17" i="20"/>
  <c r="W17" i="20"/>
  <c r="X17" i="20"/>
  <c r="Y17" i="20"/>
  <c r="Z17" i="20"/>
  <c r="AA17" i="20" s="1"/>
  <c r="AA11" i="20" s="1"/>
  <c r="A14" i="20"/>
  <c r="AG12" i="20"/>
  <c r="AG13" i="20"/>
  <c r="AD12" i="20"/>
  <c r="AD13" i="20"/>
  <c r="B12" i="20"/>
  <c r="B13" i="20"/>
  <c r="O11" i="20"/>
  <c r="P11" i="20"/>
  <c r="Q11" i="20"/>
  <c r="R11" i="20"/>
  <c r="S11" i="20"/>
  <c r="T11" i="20"/>
  <c r="U11" i="20"/>
  <c r="V11" i="20"/>
  <c r="W11" i="20"/>
  <c r="X11" i="20"/>
  <c r="Y11" i="20"/>
  <c r="Z11" i="20"/>
  <c r="O12" i="20"/>
  <c r="P12" i="20"/>
  <c r="Q12" i="20"/>
  <c r="R12" i="20"/>
  <c r="S12" i="20"/>
  <c r="T12" i="20"/>
  <c r="U12" i="20"/>
  <c r="V12" i="20"/>
  <c r="W12" i="20"/>
  <c r="X12" i="20"/>
  <c r="Y12" i="20"/>
  <c r="Z12" i="20"/>
  <c r="AA12" i="20"/>
  <c r="O13" i="20"/>
  <c r="P13" i="20"/>
  <c r="Q13" i="20"/>
  <c r="R13" i="20"/>
  <c r="S13" i="20"/>
  <c r="T13" i="20"/>
  <c r="U13" i="20"/>
  <c r="V13" i="20"/>
  <c r="W13" i="20"/>
  <c r="X13" i="20"/>
  <c r="Y13" i="20"/>
  <c r="Z13" i="20"/>
  <c r="AA13" i="20"/>
  <c r="C10" i="20"/>
  <c r="D10" i="20"/>
  <c r="C9" i="20"/>
  <c r="C1" i="20"/>
  <c r="C2" i="20"/>
  <c r="C3" i="20"/>
  <c r="C4" i="20"/>
  <c r="C5" i="20"/>
  <c r="C6" i="20"/>
  <c r="C7" i="20"/>
  <c r="C8" i="20"/>
  <c r="E6" i="20"/>
  <c r="B58" i="20" s="1"/>
  <c r="E4" i="20"/>
  <c r="F4" i="20"/>
  <c r="B3" i="20"/>
  <c r="B111" i="19"/>
  <c r="B105" i="19"/>
  <c r="B106" i="19"/>
  <c r="B107" i="19"/>
  <c r="A102" i="19"/>
  <c r="B79" i="19"/>
  <c r="B80" i="19"/>
  <c r="B74" i="19"/>
  <c r="B75" i="19"/>
  <c r="B76" i="19"/>
  <c r="A71" i="19"/>
  <c r="AG69" i="19"/>
  <c r="AD69" i="19"/>
  <c r="O69" i="19"/>
  <c r="P69" i="19"/>
  <c r="Q69" i="19"/>
  <c r="R69" i="19"/>
  <c r="S69" i="19"/>
  <c r="T69" i="19"/>
  <c r="U69" i="19"/>
  <c r="V69" i="19"/>
  <c r="W69" i="19"/>
  <c r="X69" i="19"/>
  <c r="Y69" i="19"/>
  <c r="Z69" i="19"/>
  <c r="O70" i="19"/>
  <c r="U70" i="19"/>
  <c r="W70" i="19"/>
  <c r="N66" i="19"/>
  <c r="N69" i="19" s="1"/>
  <c r="N67" i="19"/>
  <c r="N70" i="19" s="1"/>
  <c r="AH66" i="19"/>
  <c r="AH67" i="19"/>
  <c r="AK67" i="19"/>
  <c r="AE66" i="19"/>
  <c r="AE67" i="19"/>
  <c r="AA66" i="19"/>
  <c r="AI66" i="19" s="1"/>
  <c r="I66" i="19"/>
  <c r="J66" i="19"/>
  <c r="I67" i="19"/>
  <c r="AA67" i="19" s="1"/>
  <c r="AB67" i="19" s="1"/>
  <c r="J67" i="19"/>
  <c r="N61" i="19"/>
  <c r="N62" i="19"/>
  <c r="N63" i="19"/>
  <c r="N64" i="19"/>
  <c r="I64" i="19"/>
  <c r="J64" i="19"/>
  <c r="AH62" i="19"/>
  <c r="AH63" i="19"/>
  <c r="AI63" i="19"/>
  <c r="AL63" i="19"/>
  <c r="AH64" i="19"/>
  <c r="AE62" i="19"/>
  <c r="AE63" i="19"/>
  <c r="AE64" i="19"/>
  <c r="AA62" i="19"/>
  <c r="AI62" i="19" s="1"/>
  <c r="AA64" i="19"/>
  <c r="I62" i="19"/>
  <c r="J62" i="19"/>
  <c r="L62" i="19"/>
  <c r="M62" i="19"/>
  <c r="I63" i="19"/>
  <c r="AA63" i="19" s="1"/>
  <c r="AB63" i="19" s="1"/>
  <c r="J63" i="19"/>
  <c r="K63" i="19"/>
  <c r="L63" i="19"/>
  <c r="M63" i="19"/>
  <c r="I61" i="19"/>
  <c r="J61" i="19"/>
  <c r="AH55" i="19"/>
  <c r="AH56" i="19"/>
  <c r="AH57" i="19"/>
  <c r="AH58" i="19"/>
  <c r="AH59" i="19"/>
  <c r="AE55" i="19"/>
  <c r="AE56" i="19"/>
  <c r="AE57" i="19"/>
  <c r="AE58" i="19"/>
  <c r="AE59" i="19"/>
  <c r="AA55" i="19"/>
  <c r="I55" i="19"/>
  <c r="J55" i="19"/>
  <c r="K55" i="19"/>
  <c r="L55" i="19"/>
  <c r="M55" i="19"/>
  <c r="N55" i="19"/>
  <c r="I56" i="19"/>
  <c r="J56" i="19"/>
  <c r="L56" i="19"/>
  <c r="M56" i="19"/>
  <c r="N56" i="19"/>
  <c r="I57" i="19"/>
  <c r="AA57" i="19" s="1"/>
  <c r="J57" i="19"/>
  <c r="L57" i="19"/>
  <c r="M57" i="19"/>
  <c r="N57" i="19"/>
  <c r="I58" i="19"/>
  <c r="AA58" i="19" s="1"/>
  <c r="J58" i="19"/>
  <c r="K58" i="19"/>
  <c r="L58" i="19"/>
  <c r="M58" i="19"/>
  <c r="N58" i="19"/>
  <c r="I59" i="19"/>
  <c r="K59" i="19" s="1"/>
  <c r="J59" i="19"/>
  <c r="L59" i="19"/>
  <c r="M59" i="19"/>
  <c r="N59" i="19"/>
  <c r="N53" i="19"/>
  <c r="N54" i="19"/>
  <c r="I53" i="19"/>
  <c r="J53" i="19"/>
  <c r="I54" i="19"/>
  <c r="J54" i="19"/>
  <c r="B51" i="19"/>
  <c r="B52" i="19"/>
  <c r="AD51" i="19"/>
  <c r="AG51" i="19"/>
  <c r="N51" i="19"/>
  <c r="O51" i="19"/>
  <c r="P51" i="19"/>
  <c r="Q51" i="19"/>
  <c r="Q70" i="19" s="1"/>
  <c r="R51" i="19"/>
  <c r="R70" i="19" s="1"/>
  <c r="S51" i="19"/>
  <c r="S70" i="19" s="1"/>
  <c r="T51" i="19"/>
  <c r="T70" i="19" s="1"/>
  <c r="U51" i="19"/>
  <c r="V51" i="19"/>
  <c r="V70" i="19" s="1"/>
  <c r="W51" i="19"/>
  <c r="X51" i="19"/>
  <c r="X70" i="19" s="1"/>
  <c r="Y51" i="19"/>
  <c r="Y70" i="19" s="1"/>
  <c r="Z51" i="19"/>
  <c r="Z70" i="19" s="1"/>
  <c r="N46" i="19"/>
  <c r="N47" i="19"/>
  <c r="N48" i="19"/>
  <c r="N49" i="19"/>
  <c r="N50" i="19"/>
  <c r="I50" i="19"/>
  <c r="AA50" i="19" s="1"/>
  <c r="AI50" i="19" s="1"/>
  <c r="J50" i="19"/>
  <c r="I51" i="19"/>
  <c r="J51" i="19"/>
  <c r="K51" i="19"/>
  <c r="B46" i="19"/>
  <c r="B47" i="19"/>
  <c r="B48" i="19"/>
  <c r="AH47" i="19"/>
  <c r="AL47" i="19"/>
  <c r="AN47" i="19"/>
  <c r="AH48" i="19"/>
  <c r="AH49" i="19"/>
  <c r="AH50" i="19"/>
  <c r="AK50" i="19"/>
  <c r="AE47" i="19"/>
  <c r="AE48" i="19"/>
  <c r="AE49" i="19"/>
  <c r="AE50" i="19"/>
  <c r="AB47" i="19"/>
  <c r="AM47" i="19" s="1"/>
  <c r="AB48" i="19"/>
  <c r="AM48" i="19" s="1"/>
  <c r="AB49" i="19"/>
  <c r="AB50" i="19"/>
  <c r="I47" i="19"/>
  <c r="AA47" i="19" s="1"/>
  <c r="J47" i="19"/>
  <c r="L47" i="19"/>
  <c r="M47" i="19"/>
  <c r="I48" i="19"/>
  <c r="AA48" i="19" s="1"/>
  <c r="J48" i="19"/>
  <c r="L48" i="19"/>
  <c r="M48" i="19"/>
  <c r="I49" i="19"/>
  <c r="J49" i="19"/>
  <c r="L49" i="19"/>
  <c r="M49" i="19"/>
  <c r="I46" i="19"/>
  <c r="J46" i="19"/>
  <c r="A43" i="19"/>
  <c r="AH34" i="19"/>
  <c r="AH35" i="19"/>
  <c r="AK35" i="19"/>
  <c r="AH36" i="19"/>
  <c r="AH37" i="19"/>
  <c r="AH38" i="19"/>
  <c r="AK38" i="19"/>
  <c r="AH39" i="19"/>
  <c r="AH40" i="19"/>
  <c r="AH41" i="19"/>
  <c r="AH42" i="19"/>
  <c r="AH43" i="19"/>
  <c r="AL43" i="19"/>
  <c r="AH44" i="19"/>
  <c r="AK44" i="19"/>
  <c r="AE34" i="19"/>
  <c r="AE35" i="19"/>
  <c r="AE36" i="19"/>
  <c r="AE37" i="19"/>
  <c r="AE38" i="19"/>
  <c r="AE39" i="19"/>
  <c r="AE40" i="19"/>
  <c r="AE41" i="19"/>
  <c r="AE42" i="19"/>
  <c r="AE43" i="19"/>
  <c r="AE44" i="19"/>
  <c r="AA40" i="19"/>
  <c r="AB40" i="19" s="1"/>
  <c r="I34" i="19"/>
  <c r="K34" i="19" s="1"/>
  <c r="J34" i="19"/>
  <c r="L34" i="19"/>
  <c r="M34" i="19"/>
  <c r="N34" i="19"/>
  <c r="I35" i="19"/>
  <c r="AA35" i="19" s="1"/>
  <c r="J35" i="19"/>
  <c r="K35" i="19"/>
  <c r="L35" i="19"/>
  <c r="M35" i="19"/>
  <c r="N35" i="19"/>
  <c r="I36" i="19"/>
  <c r="AA36" i="19" s="1"/>
  <c r="J36" i="19"/>
  <c r="L36" i="19"/>
  <c r="M36" i="19"/>
  <c r="N36" i="19"/>
  <c r="I37" i="19"/>
  <c r="K37" i="19" s="1"/>
  <c r="J37" i="19"/>
  <c r="L37" i="19"/>
  <c r="M37" i="19"/>
  <c r="N37" i="19"/>
  <c r="I38" i="19"/>
  <c r="K38" i="19" s="1"/>
  <c r="J38" i="19"/>
  <c r="L38" i="19"/>
  <c r="M38" i="19"/>
  <c r="N38" i="19"/>
  <c r="I39" i="19"/>
  <c r="AA39" i="19" s="1"/>
  <c r="J39" i="19"/>
  <c r="L39" i="19"/>
  <c r="M39" i="19"/>
  <c r="N39" i="19"/>
  <c r="I40" i="19"/>
  <c r="J40" i="19"/>
  <c r="K40" i="19"/>
  <c r="L40" i="19"/>
  <c r="M40" i="19"/>
  <c r="N40" i="19"/>
  <c r="I41" i="19"/>
  <c r="K41" i="19" s="1"/>
  <c r="J41" i="19"/>
  <c r="L41" i="19"/>
  <c r="M41" i="19"/>
  <c r="N41" i="19"/>
  <c r="I42" i="19"/>
  <c r="AA42" i="19" s="1"/>
  <c r="J42" i="19"/>
  <c r="L42" i="19"/>
  <c r="M42" i="19"/>
  <c r="N42" i="19"/>
  <c r="I43" i="19"/>
  <c r="AA43" i="19" s="1"/>
  <c r="J43" i="19"/>
  <c r="K43" i="19"/>
  <c r="L43" i="19"/>
  <c r="M43" i="19"/>
  <c r="N43" i="19"/>
  <c r="I44" i="19"/>
  <c r="K44" i="19" s="1"/>
  <c r="J44" i="19"/>
  <c r="L44" i="19"/>
  <c r="M44" i="19"/>
  <c r="N44" i="19"/>
  <c r="N33" i="19"/>
  <c r="I33" i="19"/>
  <c r="J33" i="19"/>
  <c r="AK32" i="19"/>
  <c r="AG32" i="19"/>
  <c r="AL32" i="19" s="1"/>
  <c r="AD32" i="19"/>
  <c r="O32" i="19"/>
  <c r="P32" i="19"/>
  <c r="Q32" i="19"/>
  <c r="R32" i="19"/>
  <c r="S32" i="19"/>
  <c r="T32" i="19"/>
  <c r="U32" i="19"/>
  <c r="V32" i="19"/>
  <c r="W32" i="19"/>
  <c r="X32" i="19"/>
  <c r="Y32" i="19"/>
  <c r="Z32" i="19"/>
  <c r="AJ32" i="19" s="1"/>
  <c r="AJ31" i="19"/>
  <c r="AK31" i="19"/>
  <c r="AM31" i="19" s="1"/>
  <c r="AL31" i="19"/>
  <c r="AN31" i="19" s="1"/>
  <c r="AG31" i="19"/>
  <c r="AD31" i="19"/>
  <c r="O31" i="19"/>
  <c r="P31" i="19"/>
  <c r="Q31" i="19"/>
  <c r="R31" i="19"/>
  <c r="S31" i="19"/>
  <c r="T31" i="19"/>
  <c r="U31" i="19"/>
  <c r="V31" i="19"/>
  <c r="W31" i="19"/>
  <c r="X31" i="19"/>
  <c r="Y31" i="19"/>
  <c r="Z31" i="19"/>
  <c r="AA31" i="19"/>
  <c r="N26" i="19"/>
  <c r="N27" i="19"/>
  <c r="N28" i="19"/>
  <c r="N29" i="19"/>
  <c r="B22" i="19"/>
  <c r="B23" i="19"/>
  <c r="AG16" i="19"/>
  <c r="AG19" i="19"/>
  <c r="AG20" i="19"/>
  <c r="AL67" i="19" s="1"/>
  <c r="AD19" i="19"/>
  <c r="AD20" i="19"/>
  <c r="N19" i="19"/>
  <c r="O19" i="19"/>
  <c r="AA19" i="19" s="1"/>
  <c r="P19" i="19"/>
  <c r="Q19" i="19"/>
  <c r="R19" i="19"/>
  <c r="S19" i="19"/>
  <c r="T19" i="19"/>
  <c r="U19" i="19"/>
  <c r="V19" i="19"/>
  <c r="W19" i="19"/>
  <c r="X19" i="19"/>
  <c r="Y19" i="19"/>
  <c r="Z19" i="19"/>
  <c r="N20" i="19"/>
  <c r="O20" i="19"/>
  <c r="P20" i="19"/>
  <c r="Q20" i="19"/>
  <c r="R20" i="19"/>
  <c r="S20" i="19"/>
  <c r="T20" i="19"/>
  <c r="U20" i="19"/>
  <c r="V20" i="19"/>
  <c r="W20" i="19"/>
  <c r="X20" i="19"/>
  <c r="Y20" i="19"/>
  <c r="Z20" i="19"/>
  <c r="G19" i="19"/>
  <c r="B17" i="19"/>
  <c r="B18" i="19"/>
  <c r="B19" i="19"/>
  <c r="O16" i="19"/>
  <c r="P16" i="19"/>
  <c r="Q16" i="19"/>
  <c r="R16" i="19"/>
  <c r="S16" i="19"/>
  <c r="T16" i="19"/>
  <c r="U16" i="19"/>
  <c r="V16" i="19"/>
  <c r="W16" i="19"/>
  <c r="X16" i="19"/>
  <c r="Y16" i="19"/>
  <c r="O17" i="19"/>
  <c r="P17" i="19"/>
  <c r="Q17" i="19"/>
  <c r="R17" i="19"/>
  <c r="S17" i="19"/>
  <c r="T17" i="19"/>
  <c r="U17" i="19"/>
  <c r="V17" i="19"/>
  <c r="W17" i="19"/>
  <c r="X17" i="19"/>
  <c r="Y17" i="19"/>
  <c r="Z17" i="19"/>
  <c r="AA17" i="19" s="1"/>
  <c r="AA11" i="19" s="1"/>
  <c r="A14" i="19"/>
  <c r="AG12" i="19"/>
  <c r="AG13" i="19"/>
  <c r="AD12" i="19"/>
  <c r="AD13" i="19"/>
  <c r="B12" i="19"/>
  <c r="B13" i="19"/>
  <c r="O11" i="19"/>
  <c r="P11" i="19"/>
  <c r="Q11" i="19"/>
  <c r="R11" i="19"/>
  <c r="S11" i="19"/>
  <c r="T11" i="19"/>
  <c r="U11" i="19"/>
  <c r="V11" i="19"/>
  <c r="W11" i="19"/>
  <c r="X11" i="19"/>
  <c r="Y11" i="19"/>
  <c r="Z11" i="19"/>
  <c r="O12" i="19"/>
  <c r="P12" i="19"/>
  <c r="Q12" i="19"/>
  <c r="R12" i="19"/>
  <c r="S12" i="19"/>
  <c r="T12" i="19"/>
  <c r="U12" i="19"/>
  <c r="V12" i="19"/>
  <c r="W12" i="19"/>
  <c r="X12" i="19"/>
  <c r="Y12" i="19"/>
  <c r="Z12" i="19"/>
  <c r="AA12" i="19"/>
  <c r="O13" i="19"/>
  <c r="P13" i="19"/>
  <c r="Q13" i="19"/>
  <c r="R13" i="19"/>
  <c r="S13" i="19"/>
  <c r="T13" i="19"/>
  <c r="U13" i="19"/>
  <c r="V13" i="19"/>
  <c r="W13" i="19"/>
  <c r="X13" i="19"/>
  <c r="Y13" i="19"/>
  <c r="Z13" i="19"/>
  <c r="AA13" i="19"/>
  <c r="C10" i="19"/>
  <c r="D10" i="19"/>
  <c r="C9" i="19"/>
  <c r="C1" i="19"/>
  <c r="C2" i="19"/>
  <c r="C3" i="19"/>
  <c r="C4" i="19"/>
  <c r="C5" i="19"/>
  <c r="C6" i="19"/>
  <c r="C7" i="19"/>
  <c r="C8" i="19"/>
  <c r="E6" i="19"/>
  <c r="B58" i="19" s="1"/>
  <c r="E4" i="19"/>
  <c r="F4" i="19"/>
  <c r="B3" i="19"/>
  <c r="B112" i="18"/>
  <c r="B106" i="18"/>
  <c r="B107" i="18"/>
  <c r="B108" i="18"/>
  <c r="A103" i="18"/>
  <c r="B80" i="18"/>
  <c r="B81" i="18"/>
  <c r="B75" i="18"/>
  <c r="B76" i="18"/>
  <c r="B77" i="18"/>
  <c r="A72" i="18"/>
  <c r="AG66" i="18"/>
  <c r="AG67" i="18"/>
  <c r="AD66" i="18"/>
  <c r="N66" i="18"/>
  <c r="O66" i="18"/>
  <c r="P66" i="18"/>
  <c r="Q66" i="18"/>
  <c r="R66" i="18"/>
  <c r="S66" i="18"/>
  <c r="T66" i="18"/>
  <c r="U66" i="18"/>
  <c r="V66" i="18"/>
  <c r="W66" i="18"/>
  <c r="X66" i="18"/>
  <c r="Y66" i="18"/>
  <c r="Z66" i="18"/>
  <c r="P67" i="18"/>
  <c r="Q67" i="18"/>
  <c r="S67" i="18"/>
  <c r="X67" i="18"/>
  <c r="N63" i="18"/>
  <c r="N64" i="18"/>
  <c r="N67" i="18" s="1"/>
  <c r="AH63" i="18"/>
  <c r="AH64" i="18"/>
  <c r="AI64" i="18"/>
  <c r="AE63" i="18"/>
  <c r="AE64" i="18"/>
  <c r="AA64" i="18"/>
  <c r="AF64" i="18" s="1"/>
  <c r="AB64" i="18"/>
  <c r="I63" i="18"/>
  <c r="AA63" i="18" s="1"/>
  <c r="J63" i="18"/>
  <c r="I64" i="18"/>
  <c r="J64" i="18"/>
  <c r="N58" i="18"/>
  <c r="N59" i="18"/>
  <c r="N60" i="18"/>
  <c r="N61" i="18"/>
  <c r="I61" i="18"/>
  <c r="AA61" i="18" s="1"/>
  <c r="J61" i="18"/>
  <c r="AH59" i="18"/>
  <c r="AH60" i="18"/>
  <c r="AH61" i="18"/>
  <c r="AE59" i="18"/>
  <c r="AE60" i="18"/>
  <c r="AE61" i="18"/>
  <c r="I59" i="18"/>
  <c r="AA59" i="18" s="1"/>
  <c r="J59" i="18"/>
  <c r="K59" i="18"/>
  <c r="L59" i="18"/>
  <c r="M59" i="18"/>
  <c r="I60" i="18"/>
  <c r="K60" i="18" s="1"/>
  <c r="J60" i="18"/>
  <c r="L60" i="18"/>
  <c r="M60" i="18"/>
  <c r="I58" i="18"/>
  <c r="J58" i="18"/>
  <c r="AH52" i="18"/>
  <c r="AH53" i="18"/>
  <c r="AH54" i="18"/>
  <c r="AH55" i="18"/>
  <c r="AH56" i="18"/>
  <c r="AE52" i="18"/>
  <c r="AE53" i="18"/>
  <c r="AE54" i="18"/>
  <c r="AE55" i="18"/>
  <c r="AE56" i="18"/>
  <c r="AB52" i="18"/>
  <c r="AB53" i="18"/>
  <c r="AA54" i="18"/>
  <c r="AI54" i="18" s="1"/>
  <c r="AB54" i="18"/>
  <c r="AB55" i="18"/>
  <c r="AB56" i="18"/>
  <c r="I52" i="18"/>
  <c r="J52" i="18"/>
  <c r="L52" i="18"/>
  <c r="M52" i="18"/>
  <c r="N52" i="18"/>
  <c r="I53" i="18"/>
  <c r="AA53" i="18" s="1"/>
  <c r="J53" i="18"/>
  <c r="K53" i="18"/>
  <c r="L53" i="18"/>
  <c r="M53" i="18"/>
  <c r="N53" i="18"/>
  <c r="I54" i="18"/>
  <c r="K54" i="18" s="1"/>
  <c r="J54" i="18"/>
  <c r="L54" i="18"/>
  <c r="M54" i="18"/>
  <c r="N54" i="18"/>
  <c r="I55" i="18"/>
  <c r="AA55" i="18" s="1"/>
  <c r="J55" i="18"/>
  <c r="L55" i="18"/>
  <c r="M55" i="18"/>
  <c r="N55" i="18"/>
  <c r="I56" i="18"/>
  <c r="J56" i="18"/>
  <c r="L56" i="18"/>
  <c r="M56" i="18"/>
  <c r="N56" i="18"/>
  <c r="B51" i="18"/>
  <c r="B52" i="18"/>
  <c r="N50" i="18"/>
  <c r="N51" i="18"/>
  <c r="I50" i="18"/>
  <c r="J50" i="18"/>
  <c r="I51" i="18"/>
  <c r="J51" i="18"/>
  <c r="AD48" i="18"/>
  <c r="AD67" i="18" s="1"/>
  <c r="AG48" i="18"/>
  <c r="AH48" i="18"/>
  <c r="N48" i="18"/>
  <c r="O48" i="18"/>
  <c r="O67" i="18" s="1"/>
  <c r="P48" i="18"/>
  <c r="Q48" i="18"/>
  <c r="R48" i="18"/>
  <c r="R67" i="18" s="1"/>
  <c r="S48" i="18"/>
  <c r="T48" i="18"/>
  <c r="T67" i="18" s="1"/>
  <c r="U48" i="18"/>
  <c r="U67" i="18" s="1"/>
  <c r="V48" i="18"/>
  <c r="V67" i="18" s="1"/>
  <c r="W48" i="18"/>
  <c r="W67" i="18" s="1"/>
  <c r="X48" i="18"/>
  <c r="Y48" i="18"/>
  <c r="Y67" i="18" s="1"/>
  <c r="Z48" i="18"/>
  <c r="Z67" i="18" s="1"/>
  <c r="B46" i="18"/>
  <c r="B47" i="18"/>
  <c r="B48" i="18"/>
  <c r="AB42" i="18"/>
  <c r="AB43" i="18"/>
  <c r="AB44" i="18"/>
  <c r="AB45" i="18"/>
  <c r="AB46" i="18"/>
  <c r="AB47" i="18"/>
  <c r="N41" i="18"/>
  <c r="N42" i="18"/>
  <c r="N43" i="18"/>
  <c r="N44" i="18"/>
  <c r="N45" i="18"/>
  <c r="N46" i="18"/>
  <c r="N47" i="18"/>
  <c r="I47" i="18"/>
  <c r="K47" i="18" s="1"/>
  <c r="J47" i="18"/>
  <c r="I48" i="18"/>
  <c r="J48" i="18"/>
  <c r="K48" i="18"/>
  <c r="AA45" i="18"/>
  <c r="AI45" i="18" s="1"/>
  <c r="A43" i="18"/>
  <c r="AH42" i="18"/>
  <c r="AH43" i="18"/>
  <c r="AH44" i="18"/>
  <c r="AH45" i="18"/>
  <c r="AH46" i="18"/>
  <c r="AH47" i="18"/>
  <c r="AI47" i="18"/>
  <c r="AE42" i="18"/>
  <c r="AE43" i="18"/>
  <c r="AE44" i="18"/>
  <c r="AE45" i="18"/>
  <c r="AF45" i="18"/>
  <c r="AE46" i="18"/>
  <c r="AE47" i="18"/>
  <c r="AF47" i="18"/>
  <c r="I42" i="18"/>
  <c r="AA42" i="18" s="1"/>
  <c r="AF42" i="18" s="1"/>
  <c r="J42" i="18"/>
  <c r="L42" i="18"/>
  <c r="M42" i="18"/>
  <c r="I43" i="18"/>
  <c r="K43" i="18" s="1"/>
  <c r="J43" i="18"/>
  <c r="L43" i="18"/>
  <c r="M43" i="18"/>
  <c r="I44" i="18"/>
  <c r="K44" i="18" s="1"/>
  <c r="J44" i="18"/>
  <c r="L44" i="18"/>
  <c r="M44" i="18"/>
  <c r="I45" i="18"/>
  <c r="J45" i="18"/>
  <c r="K45" i="18"/>
  <c r="L45" i="18"/>
  <c r="M45" i="18"/>
  <c r="I46" i="18"/>
  <c r="AA46" i="18" s="1"/>
  <c r="AF46" i="18" s="1"/>
  <c r="J46" i="18"/>
  <c r="L46" i="18"/>
  <c r="M46" i="18"/>
  <c r="I41" i="18"/>
  <c r="J41" i="18"/>
  <c r="AH34" i="18"/>
  <c r="AH35" i="18"/>
  <c r="AH36" i="18"/>
  <c r="AH37" i="18"/>
  <c r="AH38" i="18"/>
  <c r="AH39" i="18"/>
  <c r="AE34" i="18"/>
  <c r="AE35" i="18"/>
  <c r="AE36" i="18"/>
  <c r="AE37" i="18"/>
  <c r="AE38" i="18"/>
  <c r="AE39" i="18"/>
  <c r="AA34" i="18"/>
  <c r="AF34" i="18" s="1"/>
  <c r="I34" i="18"/>
  <c r="J34" i="18"/>
  <c r="K34" i="18"/>
  <c r="L34" i="18"/>
  <c r="M34" i="18"/>
  <c r="N34" i="18"/>
  <c r="I35" i="18"/>
  <c r="AA35" i="18" s="1"/>
  <c r="J35" i="18"/>
  <c r="L35" i="18"/>
  <c r="M35" i="18"/>
  <c r="N35" i="18"/>
  <c r="I36" i="18"/>
  <c r="J36" i="18"/>
  <c r="L36" i="18"/>
  <c r="M36" i="18"/>
  <c r="N36" i="18"/>
  <c r="I37" i="18"/>
  <c r="AA37" i="18" s="1"/>
  <c r="J37" i="18"/>
  <c r="K37" i="18"/>
  <c r="L37" i="18"/>
  <c r="M37" i="18"/>
  <c r="N37" i="18"/>
  <c r="I38" i="18"/>
  <c r="AA38" i="18" s="1"/>
  <c r="AF38" i="18" s="1"/>
  <c r="J38" i="18"/>
  <c r="L38" i="18"/>
  <c r="M38" i="18"/>
  <c r="N38" i="18"/>
  <c r="I39" i="18"/>
  <c r="AA39" i="18" s="1"/>
  <c r="J39" i="18"/>
  <c r="L39" i="18"/>
  <c r="M39" i="18"/>
  <c r="N39" i="18"/>
  <c r="N33" i="18"/>
  <c r="I33" i="18"/>
  <c r="J33" i="18"/>
  <c r="AG32" i="18"/>
  <c r="AD32" i="18"/>
  <c r="O32" i="18"/>
  <c r="P32" i="18"/>
  <c r="Q32" i="18"/>
  <c r="R32" i="18"/>
  <c r="S32" i="18"/>
  <c r="T32" i="18"/>
  <c r="U32" i="18"/>
  <c r="V32" i="18"/>
  <c r="W32" i="18"/>
  <c r="X32" i="18"/>
  <c r="Y32" i="18"/>
  <c r="Z32" i="18"/>
  <c r="AG31" i="18"/>
  <c r="AD31" i="18"/>
  <c r="O31" i="18"/>
  <c r="P31" i="18"/>
  <c r="Q31" i="18"/>
  <c r="R31" i="18"/>
  <c r="S31" i="18"/>
  <c r="T31" i="18"/>
  <c r="U31" i="18"/>
  <c r="V31" i="18"/>
  <c r="W31" i="18"/>
  <c r="X31" i="18"/>
  <c r="Y31" i="18"/>
  <c r="Z31" i="18"/>
  <c r="AA31" i="18"/>
  <c r="N26" i="18"/>
  <c r="N27" i="18"/>
  <c r="N28" i="18"/>
  <c r="N29" i="18"/>
  <c r="B22" i="18"/>
  <c r="B23" i="18"/>
  <c r="AG16" i="18"/>
  <c r="AG19" i="18"/>
  <c r="AD19" i="18"/>
  <c r="N19" i="18"/>
  <c r="O19" i="18"/>
  <c r="P19" i="18"/>
  <c r="Q19" i="18"/>
  <c r="R19" i="18"/>
  <c r="S19" i="18"/>
  <c r="T19" i="18"/>
  <c r="U19" i="18"/>
  <c r="V19" i="18"/>
  <c r="W19" i="18"/>
  <c r="X19" i="18"/>
  <c r="Y19" i="18"/>
  <c r="Z19" i="18"/>
  <c r="G19" i="18"/>
  <c r="B17" i="18"/>
  <c r="B18" i="18"/>
  <c r="B19" i="18"/>
  <c r="O16" i="18"/>
  <c r="P16" i="18"/>
  <c r="Q16" i="18"/>
  <c r="R16" i="18"/>
  <c r="S16" i="18"/>
  <c r="T16" i="18"/>
  <c r="U16" i="18"/>
  <c r="V16" i="18"/>
  <c r="W16" i="18"/>
  <c r="X16" i="18"/>
  <c r="Y16" i="18"/>
  <c r="O17" i="18"/>
  <c r="P17" i="18"/>
  <c r="Q17" i="18"/>
  <c r="R17" i="18"/>
  <c r="S17" i="18"/>
  <c r="T17" i="18"/>
  <c r="U17" i="18"/>
  <c r="V17" i="18"/>
  <c r="W17" i="18"/>
  <c r="X17" i="18"/>
  <c r="Y17" i="18"/>
  <c r="Z17" i="18"/>
  <c r="AA17" i="18"/>
  <c r="AA11" i="18" s="1"/>
  <c r="A14" i="18"/>
  <c r="AG12" i="18"/>
  <c r="AG13" i="18"/>
  <c r="AD12" i="18"/>
  <c r="AD13" i="18"/>
  <c r="B12" i="18"/>
  <c r="B13" i="18"/>
  <c r="O11" i="18"/>
  <c r="P11" i="18"/>
  <c r="Q11" i="18"/>
  <c r="R11" i="18"/>
  <c r="S11" i="18"/>
  <c r="T11" i="18"/>
  <c r="U11" i="18"/>
  <c r="V11" i="18"/>
  <c r="W11" i="18"/>
  <c r="X11" i="18"/>
  <c r="Y11" i="18"/>
  <c r="Z11" i="18"/>
  <c r="O12" i="18"/>
  <c r="P12" i="18"/>
  <c r="Q12" i="18"/>
  <c r="R12" i="18"/>
  <c r="S12" i="18"/>
  <c r="T12" i="18"/>
  <c r="U12" i="18"/>
  <c r="V12" i="18"/>
  <c r="W12" i="18"/>
  <c r="X12" i="18"/>
  <c r="Y12" i="18"/>
  <c r="Z12" i="18"/>
  <c r="AA12" i="18"/>
  <c r="O13" i="18"/>
  <c r="P13" i="18"/>
  <c r="Q13" i="18"/>
  <c r="R13" i="18"/>
  <c r="S13" i="18"/>
  <c r="T13" i="18"/>
  <c r="U13" i="18"/>
  <c r="V13" i="18"/>
  <c r="W13" i="18"/>
  <c r="X13" i="18"/>
  <c r="Y13" i="18"/>
  <c r="Z13" i="18"/>
  <c r="AA13" i="18"/>
  <c r="C10" i="18"/>
  <c r="D10" i="18"/>
  <c r="C9" i="18"/>
  <c r="C1" i="18"/>
  <c r="C2" i="18"/>
  <c r="C3" i="18"/>
  <c r="C4" i="18"/>
  <c r="C5" i="18"/>
  <c r="C6" i="18"/>
  <c r="C7" i="18"/>
  <c r="C8" i="18"/>
  <c r="E6" i="18"/>
  <c r="B58" i="18" s="1"/>
  <c r="E4" i="18"/>
  <c r="F4" i="18"/>
  <c r="B3" i="18"/>
  <c r="AC60" i="24"/>
  <c r="AJ60" i="24" s="1"/>
  <c r="AF60" i="24"/>
  <c r="AG60" i="24" s="1"/>
  <c r="M60" i="24"/>
  <c r="N60" i="24"/>
  <c r="O60" i="24"/>
  <c r="P60" i="24"/>
  <c r="Q60" i="24"/>
  <c r="R60" i="24"/>
  <c r="R62" i="24" s="1"/>
  <c r="S60" i="24"/>
  <c r="S62" i="24" s="1"/>
  <c r="T60" i="24"/>
  <c r="U60" i="24"/>
  <c r="V60" i="24"/>
  <c r="W60" i="24"/>
  <c r="X60" i="24"/>
  <c r="Y60" i="24"/>
  <c r="I60" i="24"/>
  <c r="J60" i="24"/>
  <c r="M51" i="24"/>
  <c r="M62" i="24" s="1"/>
  <c r="M52" i="24"/>
  <c r="M53" i="24"/>
  <c r="M54" i="24"/>
  <c r="M55" i="24"/>
  <c r="M56" i="24"/>
  <c r="M57" i="24"/>
  <c r="AC52" i="24"/>
  <c r="AF52" i="24"/>
  <c r="AG52" i="24" s="1"/>
  <c r="AC53" i="24"/>
  <c r="AD53" i="24" s="1"/>
  <c r="AF53" i="24"/>
  <c r="AG53" i="24"/>
  <c r="AC54" i="24"/>
  <c r="AF54" i="24"/>
  <c r="AC55" i="24"/>
  <c r="AF55" i="24"/>
  <c r="AG55" i="24" s="1"/>
  <c r="AC56" i="24"/>
  <c r="AD56" i="24"/>
  <c r="AF56" i="24"/>
  <c r="AC57" i="24"/>
  <c r="AF57" i="24"/>
  <c r="AG57" i="24" s="1"/>
  <c r="N52" i="24"/>
  <c r="O52" i="24"/>
  <c r="P52" i="24"/>
  <c r="Q52" i="24"/>
  <c r="R52" i="24"/>
  <c r="S52" i="24"/>
  <c r="T52" i="24"/>
  <c r="U52" i="24"/>
  <c r="V52" i="24"/>
  <c r="W52" i="24"/>
  <c r="X52" i="24"/>
  <c r="Y52" i="24"/>
  <c r="N53" i="24"/>
  <c r="O53" i="24"/>
  <c r="P53" i="24"/>
  <c r="Q53" i="24"/>
  <c r="R53" i="24"/>
  <c r="S53" i="24"/>
  <c r="T53" i="24"/>
  <c r="U53" i="24"/>
  <c r="V53" i="24"/>
  <c r="W53" i="24"/>
  <c r="X53" i="24"/>
  <c r="Y53" i="24"/>
  <c r="N54" i="24"/>
  <c r="O54" i="24"/>
  <c r="P54" i="24"/>
  <c r="Q54" i="24"/>
  <c r="R54" i="24"/>
  <c r="S54" i="24"/>
  <c r="T54" i="24"/>
  <c r="U54" i="24"/>
  <c r="V54" i="24"/>
  <c r="W54" i="24"/>
  <c r="X54" i="24"/>
  <c r="Y54" i="24"/>
  <c r="N55" i="24"/>
  <c r="O55" i="24"/>
  <c r="P55" i="24"/>
  <c r="Q55" i="24"/>
  <c r="R55" i="24"/>
  <c r="S55" i="24"/>
  <c r="T55" i="24"/>
  <c r="U55" i="24"/>
  <c r="V55" i="24"/>
  <c r="W55" i="24"/>
  <c r="X55" i="24"/>
  <c r="Y55" i="24"/>
  <c r="N56" i="24"/>
  <c r="O56" i="24"/>
  <c r="P56" i="24"/>
  <c r="Q56" i="24"/>
  <c r="R56" i="24"/>
  <c r="S56" i="24"/>
  <c r="T56" i="24"/>
  <c r="U56" i="24"/>
  <c r="V56" i="24"/>
  <c r="W56" i="24"/>
  <c r="X56" i="24"/>
  <c r="Y56" i="24"/>
  <c r="N57" i="24"/>
  <c r="O57" i="24"/>
  <c r="P57" i="24"/>
  <c r="Q57" i="24"/>
  <c r="R57" i="24"/>
  <c r="S57" i="24"/>
  <c r="T57" i="24"/>
  <c r="U57" i="24"/>
  <c r="V57" i="24"/>
  <c r="W57" i="24"/>
  <c r="X57" i="24"/>
  <c r="Y57" i="24"/>
  <c r="S58" i="24"/>
  <c r="I51" i="24"/>
  <c r="J51" i="24"/>
  <c r="I52" i="24"/>
  <c r="J52" i="24"/>
  <c r="I53" i="24"/>
  <c r="J53" i="24"/>
  <c r="I54" i="24"/>
  <c r="J54" i="24"/>
  <c r="I55" i="24"/>
  <c r="Z55" i="24" s="1"/>
  <c r="J55" i="24"/>
  <c r="I56" i="24"/>
  <c r="J56" i="24"/>
  <c r="I57" i="24"/>
  <c r="J57" i="24"/>
  <c r="AC49" i="24"/>
  <c r="AD49" i="24"/>
  <c r="AF49" i="24"/>
  <c r="AG49" i="24" s="1"/>
  <c r="N49" i="24"/>
  <c r="O49" i="24"/>
  <c r="P49" i="24"/>
  <c r="Q49" i="24"/>
  <c r="R49" i="24"/>
  <c r="S49" i="24"/>
  <c r="T49" i="24"/>
  <c r="U49" i="24"/>
  <c r="V49" i="24"/>
  <c r="W49" i="24"/>
  <c r="X49" i="24"/>
  <c r="Y49" i="24"/>
  <c r="M42" i="24"/>
  <c r="M43" i="24"/>
  <c r="M44" i="24"/>
  <c r="M45" i="24"/>
  <c r="M46" i="24"/>
  <c r="M47" i="24"/>
  <c r="M48" i="24"/>
  <c r="AG43" i="24"/>
  <c r="AG44" i="24"/>
  <c r="AJ44" i="24"/>
  <c r="AG45" i="24"/>
  <c r="AG46" i="24"/>
  <c r="AG47" i="24"/>
  <c r="AG48" i="24"/>
  <c r="AH48" i="24"/>
  <c r="AD43" i="24"/>
  <c r="AD44" i="24"/>
  <c r="AD45" i="24"/>
  <c r="AD46" i="24"/>
  <c r="AD47" i="24"/>
  <c r="AD48" i="24"/>
  <c r="Z45" i="24"/>
  <c r="I42" i="24"/>
  <c r="J42" i="24"/>
  <c r="I43" i="24"/>
  <c r="Z43" i="24" s="1"/>
  <c r="J43" i="24"/>
  <c r="I44" i="24"/>
  <c r="Z44" i="24" s="1"/>
  <c r="J44" i="24"/>
  <c r="I45" i="24"/>
  <c r="J45" i="24"/>
  <c r="I46" i="24"/>
  <c r="Z46" i="24" s="1"/>
  <c r="J46" i="24"/>
  <c r="I47" i="24"/>
  <c r="Z47" i="24" s="1"/>
  <c r="J47" i="24"/>
  <c r="I48" i="24"/>
  <c r="Z48" i="24" s="1"/>
  <c r="J48" i="24"/>
  <c r="AC40" i="24"/>
  <c r="AF40" i="24"/>
  <c r="N40" i="24"/>
  <c r="O40" i="24"/>
  <c r="P40" i="24"/>
  <c r="Q40" i="24"/>
  <c r="R40" i="24"/>
  <c r="S40" i="24"/>
  <c r="T40" i="24"/>
  <c r="U40" i="24"/>
  <c r="V40" i="24"/>
  <c r="W40" i="24"/>
  <c r="X40" i="24"/>
  <c r="Y40" i="24"/>
  <c r="M33" i="24"/>
  <c r="M34" i="24"/>
  <c r="M35" i="24"/>
  <c r="M36" i="24"/>
  <c r="M37" i="24"/>
  <c r="M38" i="24"/>
  <c r="M39" i="24"/>
  <c r="AG34" i="24"/>
  <c r="AG35" i="24"/>
  <c r="AJ35" i="24"/>
  <c r="AG37" i="24"/>
  <c r="AG38" i="24"/>
  <c r="AD34" i="24"/>
  <c r="AD35" i="24"/>
  <c r="AD36" i="24"/>
  <c r="AD37" i="24"/>
  <c r="AD38" i="24"/>
  <c r="AD39" i="24"/>
  <c r="Z36" i="24"/>
  <c r="I34" i="24"/>
  <c r="J34" i="24"/>
  <c r="I35" i="24"/>
  <c r="K35" i="24" s="1"/>
  <c r="J35" i="24"/>
  <c r="I36" i="24"/>
  <c r="J36" i="24"/>
  <c r="K36" i="24"/>
  <c r="I37" i="24"/>
  <c r="J37" i="24"/>
  <c r="I38" i="24"/>
  <c r="Z38" i="24" s="1"/>
  <c r="J38" i="24"/>
  <c r="I39" i="24"/>
  <c r="Z39" i="24" s="1"/>
  <c r="AH39" i="24" s="1"/>
  <c r="J39" i="24"/>
  <c r="I33" i="24"/>
  <c r="J33" i="24"/>
  <c r="AF32" i="24"/>
  <c r="AK32" i="24" s="1"/>
  <c r="AC32" i="24"/>
  <c r="AJ32" i="24" s="1"/>
  <c r="N32" i="24"/>
  <c r="O32" i="24"/>
  <c r="P32" i="24"/>
  <c r="Q32" i="24"/>
  <c r="R32" i="24"/>
  <c r="S32" i="24"/>
  <c r="T32" i="24"/>
  <c r="U32" i="24"/>
  <c r="V32" i="24"/>
  <c r="W32" i="24"/>
  <c r="X32" i="24"/>
  <c r="Y32" i="24"/>
  <c r="AI32" i="24" s="1"/>
  <c r="AI31" i="24"/>
  <c r="AJ31" i="24"/>
  <c r="AK31" i="24"/>
  <c r="AM31" i="24" s="1"/>
  <c r="AL31" i="24"/>
  <c r="AF31" i="24"/>
  <c r="AC31" i="24"/>
  <c r="N31" i="24"/>
  <c r="O31" i="24"/>
  <c r="P31" i="24"/>
  <c r="Q31" i="24"/>
  <c r="R31" i="24"/>
  <c r="S31" i="24"/>
  <c r="T31" i="24"/>
  <c r="U31" i="24"/>
  <c r="V31" i="24"/>
  <c r="W31" i="24"/>
  <c r="X31" i="24"/>
  <c r="Y31" i="24"/>
  <c r="Z31" i="24"/>
  <c r="M26" i="24"/>
  <c r="M27" i="24"/>
  <c r="M28" i="24"/>
  <c r="M29" i="24"/>
  <c r="B22" i="24"/>
  <c r="B23" i="24"/>
  <c r="AF16" i="24"/>
  <c r="AF19" i="24"/>
  <c r="AF20" i="24"/>
  <c r="AC19" i="24"/>
  <c r="AC20" i="24"/>
  <c r="M19" i="24"/>
  <c r="N19" i="24"/>
  <c r="O19" i="24"/>
  <c r="P19" i="24"/>
  <c r="Q19" i="24"/>
  <c r="R19" i="24"/>
  <c r="S19" i="24"/>
  <c r="T19" i="24"/>
  <c r="U19" i="24"/>
  <c r="V19" i="24"/>
  <c r="W19" i="24"/>
  <c r="X19" i="24"/>
  <c r="Y19" i="24"/>
  <c r="M20" i="24"/>
  <c r="N20" i="24"/>
  <c r="O20" i="24"/>
  <c r="P20" i="24"/>
  <c r="Q20" i="24"/>
  <c r="R20" i="24"/>
  <c r="S20" i="24"/>
  <c r="T20" i="24"/>
  <c r="U20" i="24"/>
  <c r="V20" i="24"/>
  <c r="W20" i="24"/>
  <c r="X20" i="24"/>
  <c r="Y20" i="24"/>
  <c r="G19" i="24"/>
  <c r="B17" i="24"/>
  <c r="B18" i="24"/>
  <c r="B19" i="24"/>
  <c r="N17" i="24"/>
  <c r="O17" i="24"/>
  <c r="P17" i="24"/>
  <c r="Q17" i="24"/>
  <c r="R17" i="24"/>
  <c r="S17" i="24"/>
  <c r="T17" i="24"/>
  <c r="U17" i="24"/>
  <c r="V17" i="24"/>
  <c r="W17" i="24"/>
  <c r="X17" i="24"/>
  <c r="Y17" i="24"/>
  <c r="N16" i="24"/>
  <c r="O16" i="24"/>
  <c r="P16" i="24"/>
  <c r="Q16" i="24"/>
  <c r="R16" i="24"/>
  <c r="S16" i="24"/>
  <c r="T16" i="24"/>
  <c r="U16" i="24"/>
  <c r="V16" i="24"/>
  <c r="W16" i="24"/>
  <c r="X16" i="24"/>
  <c r="A14" i="24"/>
  <c r="AF12" i="24"/>
  <c r="AF13" i="24"/>
  <c r="AC12" i="24"/>
  <c r="AC13" i="24"/>
  <c r="B12" i="24"/>
  <c r="B13" i="24"/>
  <c r="N12" i="24"/>
  <c r="O12" i="24"/>
  <c r="P12" i="24"/>
  <c r="Q12" i="24"/>
  <c r="R12" i="24"/>
  <c r="S12" i="24"/>
  <c r="T12" i="24"/>
  <c r="U12" i="24"/>
  <c r="V12" i="24"/>
  <c r="W12" i="24"/>
  <c r="X12" i="24"/>
  <c r="Y12" i="24"/>
  <c r="Z12" i="24"/>
  <c r="N13" i="24"/>
  <c r="O13" i="24"/>
  <c r="P13" i="24"/>
  <c r="Q13" i="24"/>
  <c r="R13" i="24"/>
  <c r="S13" i="24"/>
  <c r="T13" i="24"/>
  <c r="U13" i="24"/>
  <c r="V13" i="24"/>
  <c r="W13" i="24"/>
  <c r="X13" i="24"/>
  <c r="Y13" i="24"/>
  <c r="Z13" i="24"/>
  <c r="N11" i="24"/>
  <c r="O11" i="24"/>
  <c r="P11" i="24"/>
  <c r="Q11" i="24"/>
  <c r="R11" i="24"/>
  <c r="S11" i="24"/>
  <c r="T11" i="24"/>
  <c r="U11" i="24"/>
  <c r="V11" i="24"/>
  <c r="W11" i="24"/>
  <c r="X11" i="24"/>
  <c r="Y11" i="24"/>
  <c r="C10" i="24"/>
  <c r="D10" i="24"/>
  <c r="Z16" i="24" s="1"/>
  <c r="C9" i="24"/>
  <c r="C1" i="24"/>
  <c r="C2" i="24"/>
  <c r="C3" i="24"/>
  <c r="C4" i="24"/>
  <c r="C5" i="24"/>
  <c r="C6" i="24"/>
  <c r="C7" i="24"/>
  <c r="C8" i="24"/>
  <c r="E6" i="24"/>
  <c r="E4" i="24"/>
  <c r="F4" i="24"/>
  <c r="B3" i="24"/>
  <c r="B118" i="15"/>
  <c r="B112" i="15"/>
  <c r="B113" i="15"/>
  <c r="B114" i="15"/>
  <c r="A109" i="15"/>
  <c r="B86" i="15"/>
  <c r="B87" i="15"/>
  <c r="B81" i="15"/>
  <c r="B82" i="15"/>
  <c r="B83" i="15"/>
  <c r="A78" i="15"/>
  <c r="AG75" i="15"/>
  <c r="AD75" i="15"/>
  <c r="O75" i="15"/>
  <c r="P75" i="15"/>
  <c r="Q75" i="15"/>
  <c r="R75" i="15"/>
  <c r="S75" i="15"/>
  <c r="T75" i="15"/>
  <c r="U75" i="15"/>
  <c r="V75" i="15"/>
  <c r="W75" i="15"/>
  <c r="X75" i="15"/>
  <c r="Y75" i="15"/>
  <c r="Z75" i="15"/>
  <c r="O76" i="15"/>
  <c r="Q76" i="15"/>
  <c r="T76" i="15"/>
  <c r="W76" i="15"/>
  <c r="N72" i="15"/>
  <c r="N75" i="15" s="1"/>
  <c r="N73" i="15"/>
  <c r="N76" i="15" s="1"/>
  <c r="AK72" i="15"/>
  <c r="AL73" i="15"/>
  <c r="AE72" i="15"/>
  <c r="AF73" i="15"/>
  <c r="I72" i="15"/>
  <c r="AA72" i="15" s="1"/>
  <c r="AI72" i="15" s="1"/>
  <c r="J72" i="15"/>
  <c r="I73" i="15"/>
  <c r="AA73" i="15" s="1"/>
  <c r="J73" i="15"/>
  <c r="N67" i="15"/>
  <c r="N68" i="15"/>
  <c r="N69" i="15"/>
  <c r="N70" i="15"/>
  <c r="I70" i="15"/>
  <c r="AA70" i="15" s="1"/>
  <c r="J70" i="15"/>
  <c r="AH68" i="15"/>
  <c r="AK68" i="15"/>
  <c r="AH69" i="15"/>
  <c r="AH70" i="15"/>
  <c r="AE68" i="15"/>
  <c r="AE69" i="15"/>
  <c r="AE70" i="15"/>
  <c r="AA68" i="15"/>
  <c r="AI68" i="15" s="1"/>
  <c r="I68" i="15"/>
  <c r="K68" i="15" s="1"/>
  <c r="J68" i="15"/>
  <c r="L68" i="15"/>
  <c r="M68" i="15"/>
  <c r="I69" i="15"/>
  <c r="J69" i="15"/>
  <c r="L69" i="15"/>
  <c r="M69" i="15"/>
  <c r="I67" i="15"/>
  <c r="J67" i="15"/>
  <c r="AH55" i="15"/>
  <c r="AK55" i="15"/>
  <c r="AH56" i="15"/>
  <c r="AL56" i="15"/>
  <c r="AH57" i="15"/>
  <c r="AK58" i="15"/>
  <c r="AK59" i="15"/>
  <c r="AL62" i="15"/>
  <c r="AL64" i="15"/>
  <c r="AL65" i="15"/>
  <c r="AE55" i="15"/>
  <c r="AE56" i="15"/>
  <c r="AE57" i="15"/>
  <c r="AE58" i="15"/>
  <c r="AE59" i="15"/>
  <c r="AE60" i="15"/>
  <c r="AE61" i="15"/>
  <c r="AE62" i="15"/>
  <c r="AE63" i="15"/>
  <c r="AE64" i="15"/>
  <c r="AE65" i="15"/>
  <c r="AA55" i="15"/>
  <c r="AA60" i="15"/>
  <c r="AA63" i="15"/>
  <c r="AA64" i="15"/>
  <c r="I55" i="15"/>
  <c r="J55" i="15"/>
  <c r="K55" i="15" s="1"/>
  <c r="L55" i="15"/>
  <c r="M55" i="15"/>
  <c r="N55" i="15"/>
  <c r="I56" i="15"/>
  <c r="J56" i="15"/>
  <c r="L56" i="15"/>
  <c r="M56" i="15"/>
  <c r="N56" i="15"/>
  <c r="I57" i="15"/>
  <c r="J57" i="15"/>
  <c r="L57" i="15"/>
  <c r="M57" i="15"/>
  <c r="N57" i="15"/>
  <c r="I58" i="15"/>
  <c r="AA58" i="15" s="1"/>
  <c r="J58" i="15"/>
  <c r="L58" i="15"/>
  <c r="M58" i="15"/>
  <c r="N58" i="15"/>
  <c r="I59" i="15"/>
  <c r="AA59" i="15" s="1"/>
  <c r="AI59" i="15" s="1"/>
  <c r="J59" i="15"/>
  <c r="K59" i="15" s="1"/>
  <c r="L59" i="15"/>
  <c r="M59" i="15"/>
  <c r="N59" i="15"/>
  <c r="I60" i="15"/>
  <c r="J60" i="15"/>
  <c r="L60" i="15"/>
  <c r="M60" i="15"/>
  <c r="N60" i="15"/>
  <c r="I61" i="15"/>
  <c r="J61" i="15"/>
  <c r="L61" i="15"/>
  <c r="M61" i="15"/>
  <c r="N61" i="15"/>
  <c r="I62" i="15"/>
  <c r="AA62" i="15" s="1"/>
  <c r="J62" i="15"/>
  <c r="K62" i="15" s="1"/>
  <c r="L62" i="15"/>
  <c r="M62" i="15"/>
  <c r="N62" i="15"/>
  <c r="I63" i="15"/>
  <c r="J63" i="15"/>
  <c r="K63" i="15"/>
  <c r="L63" i="15"/>
  <c r="M63" i="15"/>
  <c r="N63" i="15"/>
  <c r="I64" i="15"/>
  <c r="K64" i="15" s="1"/>
  <c r="J64" i="15"/>
  <c r="L64" i="15"/>
  <c r="M64" i="15"/>
  <c r="N64" i="15"/>
  <c r="I65" i="15"/>
  <c r="J65" i="15"/>
  <c r="L65" i="15"/>
  <c r="M65" i="15"/>
  <c r="N65" i="15"/>
  <c r="B54" i="15"/>
  <c r="B55" i="15"/>
  <c r="N53" i="15"/>
  <c r="N54" i="15"/>
  <c r="I53" i="15"/>
  <c r="J53" i="15"/>
  <c r="I54" i="15"/>
  <c r="J54" i="15"/>
  <c r="AD51" i="15"/>
  <c r="AD76" i="15" s="1"/>
  <c r="AG51" i="15"/>
  <c r="AG76" i="15" s="1"/>
  <c r="AL51" i="15"/>
  <c r="N51" i="15"/>
  <c r="O51" i="15"/>
  <c r="P51" i="15"/>
  <c r="P76" i="15" s="1"/>
  <c r="Q51" i="15"/>
  <c r="R51" i="15"/>
  <c r="R76" i="15" s="1"/>
  <c r="S51" i="15"/>
  <c r="S76" i="15" s="1"/>
  <c r="T51" i="15"/>
  <c r="U51" i="15"/>
  <c r="U76" i="15" s="1"/>
  <c r="V51" i="15"/>
  <c r="V76" i="15" s="1"/>
  <c r="W51" i="15"/>
  <c r="X51" i="15"/>
  <c r="X76" i="15" s="1"/>
  <c r="Y51" i="15"/>
  <c r="Y76" i="15" s="1"/>
  <c r="Z51" i="15"/>
  <c r="Z76" i="15" s="1"/>
  <c r="B49" i="15"/>
  <c r="B50" i="15"/>
  <c r="B51" i="15"/>
  <c r="AB45" i="15"/>
  <c r="AB46" i="15"/>
  <c r="AB47" i="15"/>
  <c r="AN47" i="15" s="1"/>
  <c r="AB48" i="15"/>
  <c r="AB49" i="15"/>
  <c r="AM49" i="15" s="1"/>
  <c r="AB50" i="15"/>
  <c r="N43" i="15"/>
  <c r="N44" i="15"/>
  <c r="N45" i="15"/>
  <c r="N46" i="15"/>
  <c r="N47" i="15"/>
  <c r="N48" i="15"/>
  <c r="N49" i="15"/>
  <c r="N50" i="15"/>
  <c r="I50" i="15"/>
  <c r="J50" i="15"/>
  <c r="K50" i="15"/>
  <c r="I51" i="15"/>
  <c r="J51" i="15"/>
  <c r="K51" i="15"/>
  <c r="AA49" i="15"/>
  <c r="AF49" i="15" s="1"/>
  <c r="A46" i="15"/>
  <c r="AH45" i="15"/>
  <c r="AI45" i="15"/>
  <c r="AK45" i="15"/>
  <c r="AH46" i="15"/>
  <c r="AN46" i="15" s="1"/>
  <c r="AL46" i="15"/>
  <c r="AH47" i="15"/>
  <c r="AK47" i="15"/>
  <c r="AH48" i="15"/>
  <c r="AK48" i="15"/>
  <c r="AH49" i="15"/>
  <c r="AN49" i="15" s="1"/>
  <c r="AI49" i="15"/>
  <c r="AL49" i="15"/>
  <c r="AH50" i="15"/>
  <c r="AI50" i="15"/>
  <c r="AK50" i="15"/>
  <c r="AE45" i="15"/>
  <c r="AF45" i="15"/>
  <c r="AE46" i="15"/>
  <c r="AM46" i="15" s="1"/>
  <c r="AE47" i="15"/>
  <c r="AE48" i="15"/>
  <c r="AF48" i="15"/>
  <c r="AE49" i="15"/>
  <c r="AE50" i="15"/>
  <c r="AF50" i="15"/>
  <c r="I45" i="15"/>
  <c r="AA45" i="15" s="1"/>
  <c r="J45" i="15"/>
  <c r="K45" i="15"/>
  <c r="L45" i="15"/>
  <c r="M45" i="15"/>
  <c r="I46" i="15"/>
  <c r="K46" i="15" s="1"/>
  <c r="J46" i="15"/>
  <c r="L46" i="15"/>
  <c r="M46" i="15"/>
  <c r="I47" i="15"/>
  <c r="J47" i="15"/>
  <c r="L47" i="15"/>
  <c r="M47" i="15"/>
  <c r="I48" i="15"/>
  <c r="AA48" i="15" s="1"/>
  <c r="J48" i="15"/>
  <c r="L48" i="15"/>
  <c r="M48" i="15"/>
  <c r="I49" i="15"/>
  <c r="J49" i="15"/>
  <c r="K49" i="15"/>
  <c r="L49" i="15"/>
  <c r="M49" i="15"/>
  <c r="I43" i="15"/>
  <c r="J43" i="15"/>
  <c r="I44" i="15"/>
  <c r="J44" i="15"/>
  <c r="AK35" i="15"/>
  <c r="AK38" i="15"/>
  <c r="AL39" i="15"/>
  <c r="AH40" i="15"/>
  <c r="AL41" i="15"/>
  <c r="AE37" i="15"/>
  <c r="AE40" i="15"/>
  <c r="AE41" i="15"/>
  <c r="AA37" i="15"/>
  <c r="I35" i="15"/>
  <c r="J35" i="15"/>
  <c r="L35" i="15"/>
  <c r="M35" i="15"/>
  <c r="N35" i="15"/>
  <c r="I36" i="15"/>
  <c r="J36" i="15"/>
  <c r="L36" i="15"/>
  <c r="M36" i="15"/>
  <c r="N36" i="15"/>
  <c r="I37" i="15"/>
  <c r="J37" i="15"/>
  <c r="K37" i="15"/>
  <c r="L37" i="15"/>
  <c r="M37" i="15"/>
  <c r="N37" i="15"/>
  <c r="I38" i="15"/>
  <c r="AA38" i="15" s="1"/>
  <c r="J38" i="15"/>
  <c r="L38" i="15"/>
  <c r="M38" i="15"/>
  <c r="N38" i="15"/>
  <c r="I39" i="15"/>
  <c r="J39" i="15"/>
  <c r="L39" i="15"/>
  <c r="M39" i="15"/>
  <c r="N39" i="15"/>
  <c r="I40" i="15"/>
  <c r="AA40" i="15" s="1"/>
  <c r="J40" i="15"/>
  <c r="K40" i="15"/>
  <c r="L40" i="15"/>
  <c r="M40" i="15"/>
  <c r="N40" i="15"/>
  <c r="I41" i="15"/>
  <c r="J41" i="15"/>
  <c r="L41" i="15"/>
  <c r="M41" i="15"/>
  <c r="N41" i="15"/>
  <c r="N33" i="15"/>
  <c r="I33" i="15"/>
  <c r="J33" i="15"/>
  <c r="AG32" i="15"/>
  <c r="AL32" i="15" s="1"/>
  <c r="AD32" i="15"/>
  <c r="AK32" i="15" s="1"/>
  <c r="O32" i="15"/>
  <c r="P32" i="15"/>
  <c r="Q32" i="15"/>
  <c r="R32" i="15"/>
  <c r="S32" i="15"/>
  <c r="T32" i="15"/>
  <c r="U32" i="15"/>
  <c r="V32" i="15"/>
  <c r="W32" i="15"/>
  <c r="X32" i="15"/>
  <c r="Y32" i="15"/>
  <c r="Z32" i="15"/>
  <c r="AJ32" i="15" s="1"/>
  <c r="AJ31" i="15"/>
  <c r="AK31" i="15"/>
  <c r="AM31" i="15" s="1"/>
  <c r="AL31" i="15"/>
  <c r="AN31" i="15" s="1"/>
  <c r="AG31" i="15"/>
  <c r="AD31" i="15"/>
  <c r="O31" i="15"/>
  <c r="P31" i="15"/>
  <c r="Q31" i="15"/>
  <c r="R31" i="15"/>
  <c r="S31" i="15"/>
  <c r="T31" i="15"/>
  <c r="U31" i="15"/>
  <c r="V31" i="15"/>
  <c r="W31" i="15"/>
  <c r="X31" i="15"/>
  <c r="Y31" i="15"/>
  <c r="Z31" i="15"/>
  <c r="AA31" i="15"/>
  <c r="N26" i="15"/>
  <c r="N27" i="15"/>
  <c r="N28" i="15"/>
  <c r="N29" i="15"/>
  <c r="B22" i="15"/>
  <c r="B23" i="15"/>
  <c r="AG16" i="15"/>
  <c r="AG19" i="15"/>
  <c r="AG20" i="15"/>
  <c r="AL60" i="15" s="1"/>
  <c r="AD19" i="15"/>
  <c r="AD20" i="15"/>
  <c r="AK57" i="15" s="1"/>
  <c r="N19" i="15"/>
  <c r="O19" i="15"/>
  <c r="P19" i="15"/>
  <c r="Q19" i="15"/>
  <c r="R19" i="15"/>
  <c r="S19" i="15"/>
  <c r="T19" i="15"/>
  <c r="U19" i="15"/>
  <c r="V19" i="15"/>
  <c r="W19" i="15"/>
  <c r="X19" i="15"/>
  <c r="Y19" i="15"/>
  <c r="Z19" i="15"/>
  <c r="N20" i="15"/>
  <c r="O20" i="15"/>
  <c r="P20" i="15"/>
  <c r="Q20" i="15"/>
  <c r="R20" i="15"/>
  <c r="S20" i="15"/>
  <c r="T20" i="15"/>
  <c r="U20" i="15"/>
  <c r="V20" i="15"/>
  <c r="W20" i="15"/>
  <c r="X20" i="15"/>
  <c r="Y20" i="15"/>
  <c r="Z20" i="15"/>
  <c r="G19" i="15"/>
  <c r="B17" i="15"/>
  <c r="B18" i="15"/>
  <c r="B19" i="15"/>
  <c r="O16" i="15"/>
  <c r="P16" i="15"/>
  <c r="Q16" i="15"/>
  <c r="R16" i="15"/>
  <c r="S16" i="15"/>
  <c r="T16" i="15"/>
  <c r="U16" i="15"/>
  <c r="V16" i="15"/>
  <c r="W16" i="15"/>
  <c r="X16" i="15"/>
  <c r="Y16" i="15"/>
  <c r="O17" i="15"/>
  <c r="P17" i="15"/>
  <c r="Q17" i="15"/>
  <c r="R17" i="15"/>
  <c r="S17" i="15"/>
  <c r="T17" i="15"/>
  <c r="U17" i="15"/>
  <c r="V17" i="15"/>
  <c r="W17" i="15"/>
  <c r="X17" i="15"/>
  <c r="Y17" i="15"/>
  <c r="Z17" i="15"/>
  <c r="AA17" i="15" s="1"/>
  <c r="AA11" i="15" s="1"/>
  <c r="A14" i="15"/>
  <c r="AG12" i="15"/>
  <c r="AG13" i="15"/>
  <c r="AD12" i="15"/>
  <c r="AD13" i="15"/>
  <c r="B12" i="15"/>
  <c r="B13" i="15"/>
  <c r="O11" i="15"/>
  <c r="P11" i="15"/>
  <c r="Q11" i="15"/>
  <c r="R11" i="15"/>
  <c r="S11" i="15"/>
  <c r="T11" i="15"/>
  <c r="U11" i="15"/>
  <c r="V11" i="15"/>
  <c r="W11" i="15"/>
  <c r="X11" i="15"/>
  <c r="Y11" i="15"/>
  <c r="Z11" i="15"/>
  <c r="O12" i="15"/>
  <c r="P12" i="15"/>
  <c r="Q12" i="15"/>
  <c r="R12" i="15"/>
  <c r="S12" i="15"/>
  <c r="T12" i="15"/>
  <c r="U12" i="15"/>
  <c r="V12" i="15"/>
  <c r="W12" i="15"/>
  <c r="X12" i="15"/>
  <c r="Y12" i="15"/>
  <c r="Z12" i="15"/>
  <c r="AA12" i="15"/>
  <c r="O13" i="15"/>
  <c r="P13" i="15"/>
  <c r="Q13" i="15"/>
  <c r="R13" i="15"/>
  <c r="S13" i="15"/>
  <c r="T13" i="15"/>
  <c r="U13" i="15"/>
  <c r="V13" i="15"/>
  <c r="W13" i="15"/>
  <c r="X13" i="15"/>
  <c r="Y13" i="15"/>
  <c r="Z13" i="15"/>
  <c r="AA13" i="15"/>
  <c r="C10" i="15"/>
  <c r="D10" i="15"/>
  <c r="C9" i="15"/>
  <c r="C1" i="15"/>
  <c r="C2" i="15"/>
  <c r="C3" i="15"/>
  <c r="C4" i="15"/>
  <c r="C5" i="15"/>
  <c r="C6" i="15"/>
  <c r="C7" i="15"/>
  <c r="C8" i="15"/>
  <c r="E6" i="15"/>
  <c r="E4" i="15"/>
  <c r="F4" i="15"/>
  <c r="B3" i="15"/>
  <c r="AG116" i="70"/>
  <c r="AG117" i="70"/>
  <c r="AG118" i="70"/>
  <c r="AD116" i="70"/>
  <c r="AD117" i="70"/>
  <c r="AD118" i="70"/>
  <c r="O116" i="70"/>
  <c r="P116" i="70"/>
  <c r="Q116" i="70"/>
  <c r="R116" i="70"/>
  <c r="S116" i="70"/>
  <c r="T116" i="70"/>
  <c r="U116" i="70"/>
  <c r="V116" i="70"/>
  <c r="W116" i="70"/>
  <c r="X116" i="70"/>
  <c r="Y116" i="70"/>
  <c r="Z116" i="70"/>
  <c r="O117" i="70"/>
  <c r="P117" i="70"/>
  <c r="Q117" i="70"/>
  <c r="R117" i="70"/>
  <c r="S117" i="70"/>
  <c r="T117" i="70"/>
  <c r="U117" i="70"/>
  <c r="V117" i="70"/>
  <c r="W117" i="70"/>
  <c r="X117" i="70"/>
  <c r="Y117" i="70"/>
  <c r="Z117" i="70"/>
  <c r="O118" i="70"/>
  <c r="P118" i="70"/>
  <c r="Q118" i="70"/>
  <c r="R118" i="70"/>
  <c r="S118" i="70"/>
  <c r="T118" i="70"/>
  <c r="U118" i="70"/>
  <c r="V118" i="70"/>
  <c r="W118" i="70"/>
  <c r="X118" i="70"/>
  <c r="Y118" i="70"/>
  <c r="Z118" i="70"/>
  <c r="AG108" i="70"/>
  <c r="AH108" i="70" s="1"/>
  <c r="AG109" i="70"/>
  <c r="AH109" i="70" s="1"/>
  <c r="AG110" i="70"/>
  <c r="AH110" i="70" s="1"/>
  <c r="AG111" i="70"/>
  <c r="AH111" i="70" s="1"/>
  <c r="AD108" i="70"/>
  <c r="AD109" i="70"/>
  <c r="AE109" i="70" s="1"/>
  <c r="AD110" i="70"/>
  <c r="AD111" i="70"/>
  <c r="AE108" i="70"/>
  <c r="AE111" i="70"/>
  <c r="L108" i="70"/>
  <c r="M108" i="70"/>
  <c r="N108" i="70"/>
  <c r="O108" i="70"/>
  <c r="P108" i="70"/>
  <c r="Q108" i="70"/>
  <c r="R108" i="70"/>
  <c r="R112" i="70" s="1"/>
  <c r="R113" i="70" s="1"/>
  <c r="S108" i="70"/>
  <c r="T108" i="70"/>
  <c r="U108" i="70"/>
  <c r="V108" i="70"/>
  <c r="V112" i="70" s="1"/>
  <c r="V113" i="70" s="1"/>
  <c r="W108" i="70"/>
  <c r="X108" i="70"/>
  <c r="Y108" i="70"/>
  <c r="Z108" i="70"/>
  <c r="Z112" i="70" s="1"/>
  <c r="Z113" i="70" s="1"/>
  <c r="L109" i="70"/>
  <c r="M109" i="70"/>
  <c r="N109" i="70"/>
  <c r="O109" i="70"/>
  <c r="P109" i="70"/>
  <c r="Q109" i="70"/>
  <c r="R109" i="70"/>
  <c r="S109" i="70"/>
  <c r="T109" i="70"/>
  <c r="U109" i="70"/>
  <c r="V109" i="70"/>
  <c r="W109" i="70"/>
  <c r="X109" i="70"/>
  <c r="Y109" i="70"/>
  <c r="Z109" i="70"/>
  <c r="AA109" i="70"/>
  <c r="L110" i="70"/>
  <c r="M110" i="70"/>
  <c r="N110" i="70"/>
  <c r="O110" i="70"/>
  <c r="P110" i="70"/>
  <c r="Q110" i="70"/>
  <c r="R110" i="70"/>
  <c r="S110" i="70"/>
  <c r="T110" i="70"/>
  <c r="U110" i="70"/>
  <c r="V110" i="70"/>
  <c r="W110" i="70"/>
  <c r="X110" i="70"/>
  <c r="Y110" i="70"/>
  <c r="Z110" i="70"/>
  <c r="L111" i="70"/>
  <c r="M111" i="70"/>
  <c r="N111" i="70"/>
  <c r="O111" i="70"/>
  <c r="P111" i="70"/>
  <c r="Q111" i="70"/>
  <c r="R111" i="70"/>
  <c r="S111" i="70"/>
  <c r="T111" i="70"/>
  <c r="U111" i="70"/>
  <c r="V111" i="70"/>
  <c r="W111" i="70"/>
  <c r="X111" i="70"/>
  <c r="X112" i="70" s="1"/>
  <c r="X113" i="70" s="1"/>
  <c r="Y111" i="70"/>
  <c r="Z111" i="70"/>
  <c r="L112" i="70"/>
  <c r="M112" i="70"/>
  <c r="N112" i="70"/>
  <c r="AH102" i="70"/>
  <c r="AH103" i="70"/>
  <c r="AH104" i="70"/>
  <c r="AH105" i="70"/>
  <c r="AH106" i="70"/>
  <c r="AE102" i="70"/>
  <c r="AF102" i="70"/>
  <c r="AE103" i="70"/>
  <c r="AE105" i="70"/>
  <c r="AA102" i="70"/>
  <c r="AI102" i="70" s="1"/>
  <c r="AB102" i="70"/>
  <c r="AA103" i="70"/>
  <c r="AA104" i="70"/>
  <c r="AA105" i="70"/>
  <c r="AA106" i="70"/>
  <c r="AF106" i="70" s="1"/>
  <c r="L102" i="70"/>
  <c r="M102" i="70"/>
  <c r="N102" i="70"/>
  <c r="L103" i="70"/>
  <c r="M103" i="70"/>
  <c r="N103" i="70"/>
  <c r="L104" i="70"/>
  <c r="M104" i="70"/>
  <c r="N104" i="70"/>
  <c r="L105" i="70"/>
  <c r="M105" i="70"/>
  <c r="N105" i="70"/>
  <c r="L106" i="70"/>
  <c r="M106" i="70"/>
  <c r="N106" i="70"/>
  <c r="AH95" i="70"/>
  <c r="AH96" i="70"/>
  <c r="AI96" i="70"/>
  <c r="AH97" i="70"/>
  <c r="AH98" i="70"/>
  <c r="AI98" i="70"/>
  <c r="AH99" i="70"/>
  <c r="AE95" i="70"/>
  <c r="AE96" i="70"/>
  <c r="AE97" i="70"/>
  <c r="AE98" i="70"/>
  <c r="AF99" i="70"/>
  <c r="AA95" i="70"/>
  <c r="AF95" i="70" s="1"/>
  <c r="AA96" i="70"/>
  <c r="AA97" i="70"/>
  <c r="AA98" i="70"/>
  <c r="AF98" i="70" s="1"/>
  <c r="AB98" i="70"/>
  <c r="AA99" i="70"/>
  <c r="L95" i="70"/>
  <c r="M95" i="70"/>
  <c r="N95" i="70"/>
  <c r="L96" i="70"/>
  <c r="M96" i="70"/>
  <c r="N96" i="70"/>
  <c r="L97" i="70"/>
  <c r="M97" i="70"/>
  <c r="N97" i="70"/>
  <c r="L98" i="70"/>
  <c r="M98" i="70"/>
  <c r="N98" i="70"/>
  <c r="L99" i="70"/>
  <c r="M99" i="70"/>
  <c r="N99" i="70"/>
  <c r="AH88" i="70"/>
  <c r="AH89" i="70"/>
  <c r="AH90" i="70"/>
  <c r="AH91" i="70"/>
  <c r="AI91" i="70"/>
  <c r="AH92" i="70"/>
  <c r="AE88" i="70"/>
  <c r="AF88" i="70"/>
  <c r="AE89" i="70"/>
  <c r="AE91" i="70"/>
  <c r="AF91" i="70"/>
  <c r="AF92" i="70"/>
  <c r="AA88" i="70"/>
  <c r="AB88" i="70" s="1"/>
  <c r="AA89" i="70"/>
  <c r="AF89" i="70" s="1"/>
  <c r="AA90" i="70"/>
  <c r="AI90" i="70" s="1"/>
  <c r="AA91" i="70"/>
  <c r="AB91" i="70"/>
  <c r="AA92" i="70"/>
  <c r="AI92" i="70" s="1"/>
  <c r="L88" i="70"/>
  <c r="M88" i="70"/>
  <c r="N88" i="70"/>
  <c r="L89" i="70"/>
  <c r="M89" i="70"/>
  <c r="N89" i="70"/>
  <c r="L90" i="70"/>
  <c r="M90" i="70"/>
  <c r="N90" i="70"/>
  <c r="L91" i="70"/>
  <c r="M91" i="70"/>
  <c r="N91" i="70"/>
  <c r="L92" i="70"/>
  <c r="M92" i="70"/>
  <c r="N92" i="70"/>
  <c r="AA82" i="70"/>
  <c r="AA83" i="70"/>
  <c r="N82" i="70"/>
  <c r="N116" i="70" s="1"/>
  <c r="N83" i="70"/>
  <c r="N117" i="70" s="1"/>
  <c r="N84" i="70"/>
  <c r="N118" i="70" s="1"/>
  <c r="AE82" i="70"/>
  <c r="L82" i="70"/>
  <c r="M82" i="70"/>
  <c r="L83" i="70"/>
  <c r="M83" i="70"/>
  <c r="I82" i="70"/>
  <c r="J82" i="70"/>
  <c r="I83" i="70"/>
  <c r="J83" i="70"/>
  <c r="I84" i="70"/>
  <c r="J84" i="70"/>
  <c r="AH80" i="70"/>
  <c r="AI80" i="70"/>
  <c r="AE80" i="70"/>
  <c r="AF80" i="70"/>
  <c r="AA80" i="70"/>
  <c r="AB80" i="70"/>
  <c r="L80" i="70"/>
  <c r="M80" i="70"/>
  <c r="N80" i="70"/>
  <c r="I80" i="70"/>
  <c r="J80" i="70"/>
  <c r="AG78" i="70"/>
  <c r="AH79" i="70" s="1"/>
  <c r="AD78" i="70"/>
  <c r="AE79" i="70" s="1"/>
  <c r="O78" i="70"/>
  <c r="O79" i="70" s="1"/>
  <c r="P78" i="70"/>
  <c r="Q78" i="70"/>
  <c r="Q79" i="70" s="1"/>
  <c r="R78" i="70"/>
  <c r="R79" i="70" s="1"/>
  <c r="S78" i="70"/>
  <c r="T78" i="70"/>
  <c r="U78" i="70"/>
  <c r="V78" i="70"/>
  <c r="V79" i="70" s="1"/>
  <c r="W78" i="70"/>
  <c r="X78" i="70"/>
  <c r="Y78" i="70"/>
  <c r="Y79" i="70" s="1"/>
  <c r="Z78" i="70"/>
  <c r="Z79" i="70" s="1"/>
  <c r="P79" i="70"/>
  <c r="S79" i="70"/>
  <c r="T79" i="70"/>
  <c r="U79" i="70"/>
  <c r="W79" i="70"/>
  <c r="X79" i="70"/>
  <c r="AI74" i="70"/>
  <c r="AA35" i="70"/>
  <c r="AA36" i="70"/>
  <c r="AA37" i="70"/>
  <c r="AA38" i="70"/>
  <c r="AA39" i="70"/>
  <c r="AA43" i="70" s="1"/>
  <c r="AA40" i="70"/>
  <c r="AA41" i="70"/>
  <c r="AA45" i="70"/>
  <c r="AA46" i="70"/>
  <c r="AB46" i="70" s="1"/>
  <c r="AA47" i="70"/>
  <c r="AA48" i="70"/>
  <c r="AF48" i="70" s="1"/>
  <c r="AA49" i="70"/>
  <c r="AA50" i="70"/>
  <c r="AF50" i="70" s="1"/>
  <c r="AA51" i="70"/>
  <c r="AA55" i="70"/>
  <c r="AA56" i="70"/>
  <c r="AB56" i="70" s="1"/>
  <c r="AA57" i="70"/>
  <c r="AB57" i="70" s="1"/>
  <c r="AA58" i="70"/>
  <c r="AA59" i="70"/>
  <c r="AA60" i="70"/>
  <c r="AA61" i="70"/>
  <c r="AA65" i="70"/>
  <c r="AA66" i="70"/>
  <c r="AF66" i="70" s="1"/>
  <c r="AA67" i="70"/>
  <c r="AA68" i="70"/>
  <c r="AF68" i="70" s="1"/>
  <c r="AA69" i="70"/>
  <c r="AA70" i="70"/>
  <c r="AB70" i="70" s="1"/>
  <c r="AA74" i="70"/>
  <c r="AF74" i="70" s="1"/>
  <c r="AA75" i="70"/>
  <c r="AB75" i="70" s="1"/>
  <c r="AA76" i="70"/>
  <c r="AF76" i="70" s="1"/>
  <c r="AH76" i="70"/>
  <c r="AE74" i="70"/>
  <c r="AE75" i="70"/>
  <c r="AE76" i="70"/>
  <c r="AB74" i="70"/>
  <c r="L74" i="70"/>
  <c r="M74" i="70"/>
  <c r="N74" i="70"/>
  <c r="L75" i="70"/>
  <c r="M75" i="70"/>
  <c r="N75" i="70"/>
  <c r="L76" i="70"/>
  <c r="M76" i="70"/>
  <c r="N76" i="70"/>
  <c r="L77" i="70"/>
  <c r="M77" i="70"/>
  <c r="N77" i="70"/>
  <c r="I74" i="70"/>
  <c r="J74" i="70"/>
  <c r="I75" i="70"/>
  <c r="J75" i="70"/>
  <c r="I76" i="70"/>
  <c r="J76" i="70"/>
  <c r="I77" i="70"/>
  <c r="J77" i="70"/>
  <c r="AG72" i="70"/>
  <c r="AH73" i="70" s="1"/>
  <c r="AD72" i="70"/>
  <c r="AE73" i="70" s="1"/>
  <c r="O72" i="70"/>
  <c r="P72" i="70"/>
  <c r="P73" i="70" s="1"/>
  <c r="Q72" i="70"/>
  <c r="Q73" i="70" s="1"/>
  <c r="R72" i="70"/>
  <c r="R73" i="70" s="1"/>
  <c r="S72" i="70"/>
  <c r="S73" i="70" s="1"/>
  <c r="T72" i="70"/>
  <c r="U72" i="70"/>
  <c r="U73" i="70" s="1"/>
  <c r="V72" i="70"/>
  <c r="V73" i="70" s="1"/>
  <c r="W72" i="70"/>
  <c r="W73" i="70" s="1"/>
  <c r="X72" i="70"/>
  <c r="X73" i="70" s="1"/>
  <c r="Y72" i="70"/>
  <c r="Z72" i="70"/>
  <c r="Z73" i="70" s="1"/>
  <c r="O73" i="70"/>
  <c r="T73" i="70"/>
  <c r="Y73" i="70"/>
  <c r="AI68" i="70"/>
  <c r="AF70" i="70"/>
  <c r="AH64" i="70"/>
  <c r="AH65" i="70"/>
  <c r="AH66" i="70"/>
  <c r="AH67" i="70"/>
  <c r="AH68" i="70"/>
  <c r="AH69" i="70"/>
  <c r="AH70" i="70"/>
  <c r="AE65" i="70"/>
  <c r="AE66" i="70"/>
  <c r="AE67" i="70"/>
  <c r="AE68" i="70"/>
  <c r="AE69" i="70"/>
  <c r="AE70" i="70"/>
  <c r="AB67" i="70"/>
  <c r="AB68" i="70"/>
  <c r="L65" i="70"/>
  <c r="M65" i="70"/>
  <c r="N65" i="70"/>
  <c r="L66" i="70"/>
  <c r="M66" i="70"/>
  <c r="N66" i="70"/>
  <c r="L67" i="70"/>
  <c r="M67" i="70"/>
  <c r="N67" i="70"/>
  <c r="L68" i="70"/>
  <c r="M68" i="70"/>
  <c r="N68" i="70"/>
  <c r="L69" i="70"/>
  <c r="M69" i="70"/>
  <c r="N69" i="70"/>
  <c r="L70" i="70"/>
  <c r="M70" i="70"/>
  <c r="N70" i="70"/>
  <c r="L71" i="70"/>
  <c r="M71" i="70"/>
  <c r="N71" i="70"/>
  <c r="I65" i="70"/>
  <c r="J65" i="70"/>
  <c r="I66" i="70"/>
  <c r="J66" i="70"/>
  <c r="I67" i="70"/>
  <c r="J67" i="70"/>
  <c r="I68" i="70"/>
  <c r="J68" i="70"/>
  <c r="I69" i="70"/>
  <c r="J69" i="70"/>
  <c r="I70" i="70"/>
  <c r="J70" i="70"/>
  <c r="I71" i="70"/>
  <c r="J71" i="70"/>
  <c r="AG63" i="70"/>
  <c r="AD63" i="70"/>
  <c r="AE64" i="70" s="1"/>
  <c r="O63" i="70"/>
  <c r="O64" i="70" s="1"/>
  <c r="P63" i="70"/>
  <c r="P64" i="70" s="1"/>
  <c r="Q63" i="70"/>
  <c r="R63" i="70"/>
  <c r="R64" i="70" s="1"/>
  <c r="S63" i="70"/>
  <c r="S64" i="70" s="1"/>
  <c r="T63" i="70"/>
  <c r="T64" i="70" s="1"/>
  <c r="U63" i="70"/>
  <c r="U64" i="70" s="1"/>
  <c r="V63" i="70"/>
  <c r="V64" i="70" s="1"/>
  <c r="W63" i="70"/>
  <c r="W64" i="70" s="1"/>
  <c r="X63" i="70"/>
  <c r="X64" i="70" s="1"/>
  <c r="Y63" i="70"/>
  <c r="Z63" i="70"/>
  <c r="Z64" i="70" s="1"/>
  <c r="Q64" i="70"/>
  <c r="Y64" i="70"/>
  <c r="AI56" i="70"/>
  <c r="AI58" i="70"/>
  <c r="AI61" i="70"/>
  <c r="AF56" i="70"/>
  <c r="AF58" i="70"/>
  <c r="AF61" i="70"/>
  <c r="AH61" i="70"/>
  <c r="AE61" i="70"/>
  <c r="AH55" i="70"/>
  <c r="AH56" i="70"/>
  <c r="AH57" i="70"/>
  <c r="AH58" i="70"/>
  <c r="AH59" i="70"/>
  <c r="AE57" i="70"/>
  <c r="AE59" i="70"/>
  <c r="AB58" i="70"/>
  <c r="L55" i="70"/>
  <c r="M55" i="70"/>
  <c r="N55" i="70"/>
  <c r="L56" i="70"/>
  <c r="M56" i="70"/>
  <c r="N56" i="70"/>
  <c r="L57" i="70"/>
  <c r="M57" i="70"/>
  <c r="N57" i="70"/>
  <c r="L58" i="70"/>
  <c r="M58" i="70"/>
  <c r="N58" i="70"/>
  <c r="L59" i="70"/>
  <c r="M59" i="70"/>
  <c r="N59" i="70"/>
  <c r="L60" i="70"/>
  <c r="M60" i="70"/>
  <c r="N60" i="70"/>
  <c r="L61" i="70"/>
  <c r="M61" i="70"/>
  <c r="N61" i="70"/>
  <c r="L62" i="70"/>
  <c r="M62" i="70"/>
  <c r="N62" i="70"/>
  <c r="I55" i="70"/>
  <c r="J55" i="70"/>
  <c r="I56" i="70"/>
  <c r="J56" i="70"/>
  <c r="I57" i="70"/>
  <c r="J57" i="70"/>
  <c r="I58" i="70"/>
  <c r="J58" i="70"/>
  <c r="I59" i="70"/>
  <c r="J59" i="70"/>
  <c r="I60" i="70"/>
  <c r="J60" i="70"/>
  <c r="I61" i="70"/>
  <c r="J61" i="70"/>
  <c r="I62" i="70"/>
  <c r="J62" i="70"/>
  <c r="AG53" i="70"/>
  <c r="AH54" i="70" s="1"/>
  <c r="AD53" i="70"/>
  <c r="AE54" i="70" s="1"/>
  <c r="O53" i="70"/>
  <c r="O54" i="70" s="1"/>
  <c r="P53" i="70"/>
  <c r="P54" i="70" s="1"/>
  <c r="Q53" i="70"/>
  <c r="Q54" i="70" s="1"/>
  <c r="R53" i="70"/>
  <c r="S53" i="70"/>
  <c r="T53" i="70"/>
  <c r="T54" i="70" s="1"/>
  <c r="U53" i="70"/>
  <c r="V53" i="70"/>
  <c r="V54" i="70" s="1"/>
  <c r="W53" i="70"/>
  <c r="X53" i="70"/>
  <c r="X54" i="70" s="1"/>
  <c r="Y53" i="70"/>
  <c r="Y54" i="70" s="1"/>
  <c r="Z53" i="70"/>
  <c r="Z54" i="70" s="1"/>
  <c r="R54" i="70"/>
  <c r="S54" i="70"/>
  <c r="U54" i="70"/>
  <c r="W54" i="70"/>
  <c r="AI45" i="70"/>
  <c r="AI48" i="70"/>
  <c r="AI49" i="70"/>
  <c r="AF45" i="70"/>
  <c r="AF49" i="70"/>
  <c r="AH51" i="70"/>
  <c r="AE51" i="70"/>
  <c r="AH45" i="70"/>
  <c r="AH46" i="70"/>
  <c r="AH47" i="70"/>
  <c r="AH48" i="70"/>
  <c r="AH49" i="70"/>
  <c r="AE44" i="70"/>
  <c r="AE45" i="70"/>
  <c r="AE46" i="70"/>
  <c r="AE47" i="70"/>
  <c r="AE48" i="70"/>
  <c r="AE49" i="70"/>
  <c r="AB48" i="70"/>
  <c r="L45" i="70"/>
  <c r="M45" i="70"/>
  <c r="N45" i="70"/>
  <c r="L46" i="70"/>
  <c r="M46" i="70"/>
  <c r="N46" i="70"/>
  <c r="L47" i="70"/>
  <c r="M47" i="70"/>
  <c r="N47" i="70"/>
  <c r="L48" i="70"/>
  <c r="M48" i="70"/>
  <c r="N48" i="70"/>
  <c r="L49" i="70"/>
  <c r="M49" i="70"/>
  <c r="N49" i="70"/>
  <c r="L50" i="70"/>
  <c r="M50" i="70"/>
  <c r="N50" i="70"/>
  <c r="L51" i="70"/>
  <c r="M51" i="70"/>
  <c r="N51" i="70"/>
  <c r="L52" i="70"/>
  <c r="M52" i="70"/>
  <c r="N52" i="70"/>
  <c r="I45" i="70"/>
  <c r="J45" i="70"/>
  <c r="I46" i="70"/>
  <c r="J46" i="70"/>
  <c r="I47" i="70"/>
  <c r="J47" i="70"/>
  <c r="I48" i="70"/>
  <c r="J48" i="70"/>
  <c r="I49" i="70"/>
  <c r="J49" i="70"/>
  <c r="I50" i="70"/>
  <c r="J50" i="70"/>
  <c r="I51" i="70"/>
  <c r="J51" i="70"/>
  <c r="I52" i="70"/>
  <c r="J52" i="70"/>
  <c r="AG43" i="70"/>
  <c r="AH44" i="70" s="1"/>
  <c r="AD43" i="70"/>
  <c r="O43" i="70"/>
  <c r="O44" i="70" s="1"/>
  <c r="P43" i="70"/>
  <c r="P44" i="70" s="1"/>
  <c r="Q43" i="70"/>
  <c r="R43" i="70"/>
  <c r="R44" i="70" s="1"/>
  <c r="S43" i="70"/>
  <c r="T43" i="70"/>
  <c r="T44" i="70" s="1"/>
  <c r="U43" i="70"/>
  <c r="U44" i="70" s="1"/>
  <c r="V43" i="70"/>
  <c r="W43" i="70"/>
  <c r="W44" i="70" s="1"/>
  <c r="X43" i="70"/>
  <c r="X44" i="70" s="1"/>
  <c r="Y43" i="70"/>
  <c r="Z43" i="70"/>
  <c r="Z44" i="70" s="1"/>
  <c r="Q44" i="70"/>
  <c r="S44" i="70"/>
  <c r="V44" i="70"/>
  <c r="Y44" i="70"/>
  <c r="AI38" i="70"/>
  <c r="AI40" i="70"/>
  <c r="AI41" i="70"/>
  <c r="AF37" i="70"/>
  <c r="AF38" i="70"/>
  <c r="AF40" i="70"/>
  <c r="AF41" i="70"/>
  <c r="AH41" i="70"/>
  <c r="AE41" i="70"/>
  <c r="AB41" i="70"/>
  <c r="AH35" i="70"/>
  <c r="AH36" i="70"/>
  <c r="AH37" i="70"/>
  <c r="AH38" i="70"/>
  <c r="AH39" i="70"/>
  <c r="AE35" i="70"/>
  <c r="AE36" i="70"/>
  <c r="AE37" i="70"/>
  <c r="AE38" i="70"/>
  <c r="AE39" i="70"/>
  <c r="AB38" i="70"/>
  <c r="L35" i="70"/>
  <c r="M35" i="70"/>
  <c r="N35" i="70"/>
  <c r="L36" i="70"/>
  <c r="M36" i="70"/>
  <c r="N36" i="70"/>
  <c r="L37" i="70"/>
  <c r="M37" i="70"/>
  <c r="N37" i="70"/>
  <c r="L38" i="70"/>
  <c r="M38" i="70"/>
  <c r="N38" i="70"/>
  <c r="L39" i="70"/>
  <c r="M39" i="70"/>
  <c r="N39" i="70"/>
  <c r="L40" i="70"/>
  <c r="M40" i="70"/>
  <c r="N40" i="70"/>
  <c r="L41" i="70"/>
  <c r="M41" i="70"/>
  <c r="N41" i="70"/>
  <c r="L42" i="70"/>
  <c r="M42" i="70"/>
  <c r="N42" i="70"/>
  <c r="I35" i="70"/>
  <c r="J35" i="70"/>
  <c r="I36" i="70"/>
  <c r="J36" i="70"/>
  <c r="I37" i="70"/>
  <c r="J37" i="70"/>
  <c r="I38" i="70"/>
  <c r="J38" i="70"/>
  <c r="I39" i="70"/>
  <c r="J39" i="70"/>
  <c r="I40" i="70"/>
  <c r="J40" i="70"/>
  <c r="I41" i="70"/>
  <c r="J41" i="70"/>
  <c r="I42" i="70"/>
  <c r="J42" i="70"/>
  <c r="AG32" i="70"/>
  <c r="AD32" i="70"/>
  <c r="O32" i="70"/>
  <c r="P32" i="70"/>
  <c r="Q32" i="70"/>
  <c r="R32" i="70"/>
  <c r="S32" i="70"/>
  <c r="T32" i="70"/>
  <c r="U32" i="70"/>
  <c r="V32" i="70"/>
  <c r="W32" i="70"/>
  <c r="X32" i="70"/>
  <c r="Y32" i="70"/>
  <c r="Z32" i="70"/>
  <c r="AG31" i="70"/>
  <c r="AD31" i="70"/>
  <c r="O31" i="70"/>
  <c r="P31" i="70"/>
  <c r="Q31" i="70"/>
  <c r="R31" i="70"/>
  <c r="S31" i="70"/>
  <c r="T31" i="70"/>
  <c r="U31" i="70"/>
  <c r="V31" i="70"/>
  <c r="W31" i="70"/>
  <c r="X31" i="70"/>
  <c r="Y31" i="70"/>
  <c r="Z31" i="70"/>
  <c r="AA31" i="70"/>
  <c r="N26" i="70"/>
  <c r="N27" i="70"/>
  <c r="N28" i="70"/>
  <c r="N29" i="70"/>
  <c r="B23" i="70"/>
  <c r="AG16" i="70"/>
  <c r="AG19" i="70"/>
  <c r="AH75" i="70" s="1"/>
  <c r="AG20" i="70"/>
  <c r="AH83" i="70" s="1"/>
  <c r="AD19" i="70"/>
  <c r="AE56" i="70" s="1"/>
  <c r="AD20" i="70"/>
  <c r="AE83" i="70" s="1"/>
  <c r="G19" i="70"/>
  <c r="G20" i="70"/>
  <c r="N19" i="70"/>
  <c r="O19" i="70"/>
  <c r="P19" i="70"/>
  <c r="Q19" i="70"/>
  <c r="R19" i="70"/>
  <c r="S19" i="70"/>
  <c r="T19" i="70"/>
  <c r="U19" i="70"/>
  <c r="V19" i="70"/>
  <c r="W19" i="70"/>
  <c r="X19" i="70"/>
  <c r="Y19" i="70"/>
  <c r="Z19" i="70"/>
  <c r="N20" i="70"/>
  <c r="O20" i="70"/>
  <c r="P20" i="70"/>
  <c r="Q20" i="70"/>
  <c r="R20" i="70"/>
  <c r="S20" i="70"/>
  <c r="T20" i="70"/>
  <c r="U20" i="70"/>
  <c r="V20" i="70"/>
  <c r="W20" i="70"/>
  <c r="X20" i="70"/>
  <c r="Y20" i="70"/>
  <c r="Z20" i="70"/>
  <c r="B17" i="70"/>
  <c r="B18" i="70"/>
  <c r="B19" i="70"/>
  <c r="O16" i="70"/>
  <c r="P16" i="70"/>
  <c r="Q16" i="70"/>
  <c r="R16" i="70"/>
  <c r="S16" i="70"/>
  <c r="T16" i="70"/>
  <c r="U16" i="70"/>
  <c r="V16" i="70"/>
  <c r="W16" i="70"/>
  <c r="X16" i="70"/>
  <c r="Y16" i="70"/>
  <c r="O17" i="70"/>
  <c r="P17" i="70"/>
  <c r="Q17" i="70"/>
  <c r="R17" i="70"/>
  <c r="S17" i="70"/>
  <c r="T17" i="70"/>
  <c r="U17" i="70"/>
  <c r="V17" i="70"/>
  <c r="W17" i="70"/>
  <c r="X17" i="70"/>
  <c r="Y17" i="70"/>
  <c r="Z17" i="70"/>
  <c r="AA17" i="70" s="1"/>
  <c r="AA11" i="70" s="1"/>
  <c r="AA18" i="70" s="1"/>
  <c r="A14" i="70"/>
  <c r="AG12" i="70"/>
  <c r="AG13" i="70"/>
  <c r="AD12" i="70"/>
  <c r="AD13" i="70"/>
  <c r="B12" i="70"/>
  <c r="B13" i="70"/>
  <c r="O11" i="70"/>
  <c r="P11" i="70"/>
  <c r="Q11" i="70"/>
  <c r="R11" i="70"/>
  <c r="S11" i="70"/>
  <c r="T11" i="70"/>
  <c r="U11" i="70"/>
  <c r="V11" i="70"/>
  <c r="W11" i="70"/>
  <c r="X11" i="70"/>
  <c r="Y11" i="70"/>
  <c r="Z11" i="70"/>
  <c r="O12" i="70"/>
  <c r="P12" i="70"/>
  <c r="Q12" i="70"/>
  <c r="R12" i="70"/>
  <c r="S12" i="70"/>
  <c r="T12" i="70"/>
  <c r="U12" i="70"/>
  <c r="V12" i="70"/>
  <c r="W12" i="70"/>
  <c r="X12" i="70"/>
  <c r="Y12" i="70"/>
  <c r="Z12" i="70"/>
  <c r="AA12" i="70"/>
  <c r="O13" i="70"/>
  <c r="P13" i="70"/>
  <c r="Q13" i="70"/>
  <c r="R13" i="70"/>
  <c r="S13" i="70"/>
  <c r="T13" i="70"/>
  <c r="U13" i="70"/>
  <c r="V13" i="70"/>
  <c r="W13" i="70"/>
  <c r="X13" i="70"/>
  <c r="Y13" i="70"/>
  <c r="Z13" i="70"/>
  <c r="AA13" i="70"/>
  <c r="C10" i="70"/>
  <c r="D10" i="70"/>
  <c r="Z16" i="70" s="1"/>
  <c r="C9" i="70"/>
  <c r="C1" i="70"/>
  <c r="C2" i="70"/>
  <c r="C3" i="70"/>
  <c r="C4" i="70"/>
  <c r="C5" i="70"/>
  <c r="C6" i="70"/>
  <c r="C7" i="70"/>
  <c r="C8" i="70"/>
  <c r="E6" i="70"/>
  <c r="E4" i="70"/>
  <c r="F4" i="70"/>
  <c r="B3" i="70"/>
  <c r="B120" i="69"/>
  <c r="B114" i="69"/>
  <c r="B115" i="69"/>
  <c r="B116" i="69"/>
  <c r="B88" i="69"/>
  <c r="B89" i="69"/>
  <c r="B83" i="69"/>
  <c r="B84" i="69"/>
  <c r="B85" i="69"/>
  <c r="B55" i="69"/>
  <c r="B56" i="69"/>
  <c r="B50" i="69"/>
  <c r="B51" i="69"/>
  <c r="B52" i="69"/>
  <c r="AH35" i="69"/>
  <c r="AH36" i="69"/>
  <c r="AH37" i="69"/>
  <c r="AH39" i="69"/>
  <c r="AH41" i="69"/>
  <c r="AH42" i="69"/>
  <c r="AK42" i="69"/>
  <c r="AH43" i="69"/>
  <c r="AH44" i="69"/>
  <c r="AH45" i="69"/>
  <c r="AH46" i="69"/>
  <c r="AH47" i="69"/>
  <c r="AH49" i="69"/>
  <c r="AK50" i="69"/>
  <c r="AH53" i="69"/>
  <c r="AH54" i="69"/>
  <c r="AE35" i="69"/>
  <c r="AE36" i="69"/>
  <c r="AE38" i="69"/>
  <c r="AE39" i="69"/>
  <c r="AE40" i="69"/>
  <c r="AE41" i="69"/>
  <c r="AE42" i="69"/>
  <c r="AE43" i="69"/>
  <c r="AE44" i="69"/>
  <c r="AE45" i="69"/>
  <c r="AE47" i="69"/>
  <c r="AE49" i="69"/>
  <c r="AE53" i="69"/>
  <c r="AE54" i="69"/>
  <c r="AE56" i="69"/>
  <c r="AA51" i="69"/>
  <c r="I35" i="69"/>
  <c r="AA35" i="69" s="1"/>
  <c r="J35" i="69"/>
  <c r="K35" i="69"/>
  <c r="L35" i="69"/>
  <c r="M35" i="69"/>
  <c r="N35" i="69"/>
  <c r="I36" i="69"/>
  <c r="AA36" i="69" s="1"/>
  <c r="J36" i="69"/>
  <c r="L36" i="69"/>
  <c r="M36" i="69"/>
  <c r="N36" i="69"/>
  <c r="I37" i="69"/>
  <c r="AA37" i="69" s="1"/>
  <c r="J37" i="69"/>
  <c r="K37" i="69"/>
  <c r="L37" i="69"/>
  <c r="M37" i="69"/>
  <c r="N37" i="69"/>
  <c r="I38" i="69"/>
  <c r="AA38" i="69" s="1"/>
  <c r="J38" i="69"/>
  <c r="L38" i="69"/>
  <c r="M38" i="69"/>
  <c r="N38" i="69"/>
  <c r="I39" i="69"/>
  <c r="J39" i="69"/>
  <c r="L39" i="69"/>
  <c r="M39" i="69"/>
  <c r="N39" i="69"/>
  <c r="I40" i="69"/>
  <c r="AA40" i="69" s="1"/>
  <c r="J40" i="69"/>
  <c r="L40" i="69"/>
  <c r="M40" i="69"/>
  <c r="N40" i="69"/>
  <c r="I41" i="69"/>
  <c r="J41" i="69"/>
  <c r="L41" i="69"/>
  <c r="M41" i="69"/>
  <c r="N41" i="69"/>
  <c r="I42" i="69"/>
  <c r="AA42" i="69" s="1"/>
  <c r="J42" i="69"/>
  <c r="L42" i="69"/>
  <c r="M42" i="69"/>
  <c r="N42" i="69"/>
  <c r="I43" i="69"/>
  <c r="AA43" i="69" s="1"/>
  <c r="J43" i="69"/>
  <c r="K43" i="69"/>
  <c r="L43" i="69"/>
  <c r="M43" i="69"/>
  <c r="N43" i="69"/>
  <c r="I44" i="69"/>
  <c r="AA44" i="69" s="1"/>
  <c r="J44" i="69"/>
  <c r="L44" i="69"/>
  <c r="M44" i="69"/>
  <c r="N44" i="69"/>
  <c r="I45" i="69"/>
  <c r="J45" i="69"/>
  <c r="L45" i="69"/>
  <c r="M45" i="69"/>
  <c r="N45" i="69"/>
  <c r="I46" i="69"/>
  <c r="AA46" i="69" s="1"/>
  <c r="J46" i="69"/>
  <c r="L46" i="69"/>
  <c r="M46" i="69"/>
  <c r="N46" i="69"/>
  <c r="I47" i="69"/>
  <c r="AA47" i="69" s="1"/>
  <c r="AF47" i="69" s="1"/>
  <c r="J47" i="69"/>
  <c r="K47" i="69"/>
  <c r="L47" i="69"/>
  <c r="M47" i="69"/>
  <c r="N47" i="69"/>
  <c r="I48" i="69"/>
  <c r="AA48" i="69" s="1"/>
  <c r="J48" i="69"/>
  <c r="L48" i="69"/>
  <c r="M48" i="69"/>
  <c r="N48" i="69"/>
  <c r="I49" i="69"/>
  <c r="AA49" i="69" s="1"/>
  <c r="J49" i="69"/>
  <c r="K49" i="69"/>
  <c r="L49" i="69"/>
  <c r="M49" i="69"/>
  <c r="N49" i="69"/>
  <c r="I50" i="69"/>
  <c r="AA50" i="69" s="1"/>
  <c r="J50" i="69"/>
  <c r="L50" i="69"/>
  <c r="M50" i="69"/>
  <c r="N50" i="69"/>
  <c r="I51" i="69"/>
  <c r="J51" i="69"/>
  <c r="K51" i="69"/>
  <c r="L51" i="69"/>
  <c r="M51" i="69"/>
  <c r="N51" i="69"/>
  <c r="I52" i="69"/>
  <c r="AA52" i="69" s="1"/>
  <c r="J52" i="69"/>
  <c r="L52" i="69"/>
  <c r="M52" i="69"/>
  <c r="N52" i="69"/>
  <c r="I53" i="69"/>
  <c r="AA53" i="69" s="1"/>
  <c r="J53" i="69"/>
  <c r="K53" i="69"/>
  <c r="L53" i="69"/>
  <c r="M53" i="69"/>
  <c r="N53" i="69"/>
  <c r="I54" i="69"/>
  <c r="AA54" i="69" s="1"/>
  <c r="J54" i="69"/>
  <c r="L54" i="69"/>
  <c r="M54" i="69"/>
  <c r="N54" i="69"/>
  <c r="I55" i="69"/>
  <c r="AA55" i="69" s="1"/>
  <c r="J55" i="69"/>
  <c r="L55" i="69"/>
  <c r="M55" i="69"/>
  <c r="N55" i="69"/>
  <c r="I56" i="69"/>
  <c r="AA56" i="69" s="1"/>
  <c r="J56" i="69"/>
  <c r="L56" i="69"/>
  <c r="M56" i="69"/>
  <c r="N56" i="69"/>
  <c r="N33" i="69"/>
  <c r="N34" i="69"/>
  <c r="I33" i="69"/>
  <c r="J33" i="69"/>
  <c r="I34" i="69"/>
  <c r="J34" i="69"/>
  <c r="AG32" i="69"/>
  <c r="AL32" i="69" s="1"/>
  <c r="AD32" i="69"/>
  <c r="AK32" i="69" s="1"/>
  <c r="O32" i="69"/>
  <c r="P32" i="69"/>
  <c r="Q32" i="69"/>
  <c r="R32" i="69"/>
  <c r="S32" i="69"/>
  <c r="T32" i="69"/>
  <c r="U32" i="69"/>
  <c r="V32" i="69"/>
  <c r="W32" i="69"/>
  <c r="X32" i="69"/>
  <c r="Y32" i="69"/>
  <c r="Z32" i="69"/>
  <c r="AJ32" i="69" s="1"/>
  <c r="AJ31" i="69"/>
  <c r="AK31" i="69"/>
  <c r="AM31" i="69" s="1"/>
  <c r="AL31" i="69"/>
  <c r="AN31" i="69" s="1"/>
  <c r="AG31" i="69"/>
  <c r="AD31" i="69"/>
  <c r="O31" i="69"/>
  <c r="P31" i="69"/>
  <c r="Q31" i="69"/>
  <c r="R31" i="69"/>
  <c r="S31" i="69"/>
  <c r="T31" i="69"/>
  <c r="U31" i="69"/>
  <c r="V31" i="69"/>
  <c r="W31" i="69"/>
  <c r="X31" i="69"/>
  <c r="Y31" i="69"/>
  <c r="Z31" i="69"/>
  <c r="AA31" i="69"/>
  <c r="N26" i="69"/>
  <c r="N27" i="69"/>
  <c r="N28" i="69"/>
  <c r="N29" i="69"/>
  <c r="B22" i="69"/>
  <c r="B23" i="69"/>
  <c r="AG16" i="69"/>
  <c r="AG19" i="69"/>
  <c r="AH40" i="69" s="1"/>
  <c r="AG20" i="69"/>
  <c r="AL36" i="69" s="1"/>
  <c r="AD19" i="69"/>
  <c r="AE37" i="69" s="1"/>
  <c r="AD20" i="69"/>
  <c r="AK35" i="69" s="1"/>
  <c r="G19" i="69"/>
  <c r="G20" i="69"/>
  <c r="N19" i="69"/>
  <c r="O19" i="69"/>
  <c r="P19" i="69"/>
  <c r="Q19" i="69"/>
  <c r="R19" i="69"/>
  <c r="S19" i="69"/>
  <c r="T19" i="69"/>
  <c r="U19" i="69"/>
  <c r="V19" i="69"/>
  <c r="W19" i="69"/>
  <c r="X19" i="69"/>
  <c r="Y19" i="69"/>
  <c r="Z19" i="69"/>
  <c r="N20" i="69"/>
  <c r="O20" i="69"/>
  <c r="P20" i="69"/>
  <c r="Q20" i="69"/>
  <c r="R20" i="69"/>
  <c r="S20" i="69"/>
  <c r="T20" i="69"/>
  <c r="U20" i="69"/>
  <c r="V20" i="69"/>
  <c r="W20" i="69"/>
  <c r="X20" i="69"/>
  <c r="Y20" i="69"/>
  <c r="Z20" i="69"/>
  <c r="B17" i="69"/>
  <c r="B18" i="69"/>
  <c r="B19" i="69"/>
  <c r="O16" i="69"/>
  <c r="P16" i="69"/>
  <c r="Q16" i="69"/>
  <c r="R16" i="69"/>
  <c r="S16" i="69"/>
  <c r="T16" i="69"/>
  <c r="U16" i="69"/>
  <c r="V16" i="69"/>
  <c r="W16" i="69"/>
  <c r="X16" i="69"/>
  <c r="Y16" i="69"/>
  <c r="O17" i="69"/>
  <c r="P17" i="69"/>
  <c r="Q17" i="69"/>
  <c r="R17" i="69"/>
  <c r="S17" i="69"/>
  <c r="T17" i="69"/>
  <c r="U17" i="69"/>
  <c r="V17" i="69"/>
  <c r="W17" i="69"/>
  <c r="X17" i="69"/>
  <c r="Y17" i="69"/>
  <c r="Z17" i="69"/>
  <c r="AA17" i="69"/>
  <c r="AA11" i="69" s="1"/>
  <c r="A14" i="69"/>
  <c r="AG12" i="69"/>
  <c r="AG13" i="69"/>
  <c r="AD12" i="69"/>
  <c r="AD13" i="69"/>
  <c r="B12" i="69"/>
  <c r="B13" i="69"/>
  <c r="O11" i="69"/>
  <c r="P11" i="69"/>
  <c r="Q11" i="69"/>
  <c r="R11" i="69"/>
  <c r="S11" i="69"/>
  <c r="T11" i="69"/>
  <c r="U11" i="69"/>
  <c r="V11" i="69"/>
  <c r="W11" i="69"/>
  <c r="X11" i="69"/>
  <c r="Y11" i="69"/>
  <c r="Z11" i="69"/>
  <c r="O12" i="69"/>
  <c r="P12" i="69"/>
  <c r="Q12" i="69"/>
  <c r="R12" i="69"/>
  <c r="S12" i="69"/>
  <c r="T12" i="69"/>
  <c r="U12" i="69"/>
  <c r="V12" i="69"/>
  <c r="W12" i="69"/>
  <c r="X12" i="69"/>
  <c r="Y12" i="69"/>
  <c r="Z12" i="69"/>
  <c r="AA12" i="69"/>
  <c r="O13" i="69"/>
  <c r="P13" i="69"/>
  <c r="Q13" i="69"/>
  <c r="R13" i="69"/>
  <c r="S13" i="69"/>
  <c r="T13" i="69"/>
  <c r="U13" i="69"/>
  <c r="V13" i="69"/>
  <c r="W13" i="69"/>
  <c r="X13" i="69"/>
  <c r="Y13" i="69"/>
  <c r="Z13" i="69"/>
  <c r="AA13" i="69"/>
  <c r="C10" i="69"/>
  <c r="D10" i="69"/>
  <c r="Z16" i="69" s="1"/>
  <c r="C9" i="69"/>
  <c r="C1" i="69"/>
  <c r="C2" i="69"/>
  <c r="C3" i="69"/>
  <c r="C4" i="69"/>
  <c r="C5" i="69"/>
  <c r="C6" i="69"/>
  <c r="C7" i="69"/>
  <c r="C8" i="69"/>
  <c r="E6" i="69"/>
  <c r="B29" i="69" s="1"/>
  <c r="E4" i="69"/>
  <c r="F4" i="69"/>
  <c r="B3" i="69"/>
  <c r="AG118" i="68"/>
  <c r="AG119" i="68"/>
  <c r="AG120" i="68"/>
  <c r="AD118" i="68"/>
  <c r="AD119" i="68"/>
  <c r="AD120" i="68"/>
  <c r="O118" i="68"/>
  <c r="P118" i="68"/>
  <c r="Q118" i="68"/>
  <c r="R118" i="68"/>
  <c r="S118" i="68"/>
  <c r="T118" i="68"/>
  <c r="U118" i="68"/>
  <c r="V118" i="68"/>
  <c r="W118" i="68"/>
  <c r="X118" i="68"/>
  <c r="Y118" i="68"/>
  <c r="Z118" i="68"/>
  <c r="O119" i="68"/>
  <c r="P119" i="68"/>
  <c r="Q119" i="68"/>
  <c r="R119" i="68"/>
  <c r="S119" i="68"/>
  <c r="T119" i="68"/>
  <c r="U119" i="68"/>
  <c r="V119" i="68"/>
  <c r="W119" i="68"/>
  <c r="X119" i="68"/>
  <c r="Y119" i="68"/>
  <c r="Z119" i="68"/>
  <c r="N120" i="68"/>
  <c r="O120" i="68"/>
  <c r="P120" i="68"/>
  <c r="Q120" i="68"/>
  <c r="R120" i="68"/>
  <c r="S120" i="68"/>
  <c r="T120" i="68"/>
  <c r="U120" i="68"/>
  <c r="V120" i="68"/>
  <c r="W120" i="68"/>
  <c r="X120" i="68"/>
  <c r="Y120" i="68"/>
  <c r="Z120" i="68"/>
  <c r="AI115" i="68"/>
  <c r="AF115" i="68"/>
  <c r="L115" i="68"/>
  <c r="M115" i="68"/>
  <c r="AG108" i="68"/>
  <c r="AG112" i="68" s="1"/>
  <c r="AG109" i="68"/>
  <c r="AG110" i="68"/>
  <c r="AG111" i="68"/>
  <c r="AH111" i="68" s="1"/>
  <c r="AD108" i="68"/>
  <c r="AD109" i="68"/>
  <c r="AD110" i="68"/>
  <c r="AD111" i="68"/>
  <c r="AE111" i="68" s="1"/>
  <c r="AH109" i="68"/>
  <c r="AE108" i="68"/>
  <c r="L108" i="68"/>
  <c r="M108" i="68"/>
  <c r="N108" i="68"/>
  <c r="O108" i="68"/>
  <c r="P108" i="68"/>
  <c r="Q108" i="68"/>
  <c r="Q112" i="68" s="1"/>
  <c r="Q113" i="68" s="1"/>
  <c r="R108" i="68"/>
  <c r="S108" i="68"/>
  <c r="T108" i="68"/>
  <c r="U108" i="68"/>
  <c r="V108" i="68"/>
  <c r="V112" i="68" s="1"/>
  <c r="V113" i="68" s="1"/>
  <c r="W108" i="68"/>
  <c r="X108" i="68"/>
  <c r="Y108" i="68"/>
  <c r="Y112" i="68" s="1"/>
  <c r="Y113" i="68" s="1"/>
  <c r="Z108" i="68"/>
  <c r="L109" i="68"/>
  <c r="M109" i="68"/>
  <c r="N109" i="68"/>
  <c r="O109" i="68"/>
  <c r="P109" i="68"/>
  <c r="Q109" i="68"/>
  <c r="R109" i="68"/>
  <c r="S109" i="68"/>
  <c r="T109" i="68"/>
  <c r="U109" i="68"/>
  <c r="U112" i="68" s="1"/>
  <c r="U113" i="68" s="1"/>
  <c r="V109" i="68"/>
  <c r="W109" i="68"/>
  <c r="X109" i="68"/>
  <c r="Y109" i="68"/>
  <c r="Z109" i="68"/>
  <c r="L110" i="68"/>
  <c r="M110" i="68"/>
  <c r="N110" i="68"/>
  <c r="O110" i="68"/>
  <c r="P110" i="68"/>
  <c r="Q110" i="68"/>
  <c r="R110" i="68"/>
  <c r="S110" i="68"/>
  <c r="S112" i="68" s="1"/>
  <c r="S113" i="68" s="1"/>
  <c r="T110" i="68"/>
  <c r="U110" i="68"/>
  <c r="V110" i="68"/>
  <c r="W110" i="68"/>
  <c r="X110" i="68"/>
  <c r="Y110" i="68"/>
  <c r="Z110" i="68"/>
  <c r="L111" i="68"/>
  <c r="M111" i="68"/>
  <c r="N111" i="68"/>
  <c r="O111" i="68"/>
  <c r="P111" i="68"/>
  <c r="Q111" i="68"/>
  <c r="R111" i="68"/>
  <c r="S111" i="68"/>
  <c r="T111" i="68"/>
  <c r="U111" i="68"/>
  <c r="V111" i="68"/>
  <c r="W111" i="68"/>
  <c r="X111" i="68"/>
  <c r="Y111" i="68"/>
  <c r="Z111" i="68"/>
  <c r="L112" i="68"/>
  <c r="M112" i="68"/>
  <c r="N112" i="68"/>
  <c r="AH102" i="68"/>
  <c r="AI102" i="68"/>
  <c r="AH103" i="68"/>
  <c r="AI106" i="68"/>
  <c r="AE102" i="68"/>
  <c r="AE103" i="68"/>
  <c r="AE105" i="68"/>
  <c r="AA102" i="68"/>
  <c r="AF102" i="68" s="1"/>
  <c r="AB102" i="68"/>
  <c r="AA103" i="68"/>
  <c r="AI103" i="68" s="1"/>
  <c r="AA104" i="68"/>
  <c r="AF104" i="68" s="1"/>
  <c r="AB104" i="68"/>
  <c r="AA105" i="68"/>
  <c r="AB105" i="68"/>
  <c r="AA106" i="68"/>
  <c r="AF106" i="68" s="1"/>
  <c r="AB106" i="68"/>
  <c r="L102" i="68"/>
  <c r="M102" i="68"/>
  <c r="N102" i="68"/>
  <c r="L103" i="68"/>
  <c r="M103" i="68"/>
  <c r="N103" i="68"/>
  <c r="L104" i="68"/>
  <c r="M104" i="68"/>
  <c r="N104" i="68"/>
  <c r="L105" i="68"/>
  <c r="M105" i="68"/>
  <c r="N105" i="68"/>
  <c r="L106" i="68"/>
  <c r="M106" i="68"/>
  <c r="N106" i="68"/>
  <c r="AH95" i="68"/>
  <c r="AI96" i="68"/>
  <c r="AE95" i="68"/>
  <c r="AE96" i="68"/>
  <c r="AE98" i="68"/>
  <c r="AA95" i="68"/>
  <c r="AF95" i="68" s="1"/>
  <c r="AA96" i="68"/>
  <c r="AF96" i="68" s="1"/>
  <c r="AB96" i="68"/>
  <c r="AA97" i="68"/>
  <c r="AI97" i="68" s="1"/>
  <c r="AA98" i="68"/>
  <c r="AF98" i="68" s="1"/>
  <c r="AB98" i="68"/>
  <c r="AA99" i="68"/>
  <c r="AF99" i="68" s="1"/>
  <c r="L95" i="68"/>
  <c r="M95" i="68"/>
  <c r="N95" i="68"/>
  <c r="L96" i="68"/>
  <c r="M96" i="68"/>
  <c r="N96" i="68"/>
  <c r="L97" i="68"/>
  <c r="M97" i="68"/>
  <c r="N97" i="68"/>
  <c r="L98" i="68"/>
  <c r="M98" i="68"/>
  <c r="N98" i="68"/>
  <c r="L99" i="68"/>
  <c r="M99" i="68"/>
  <c r="N99" i="68"/>
  <c r="AI89" i="68"/>
  <c r="AE88" i="68"/>
  <c r="AE89" i="68"/>
  <c r="AF90" i="68"/>
  <c r="AE91" i="68"/>
  <c r="AF92" i="68"/>
  <c r="AA88" i="68"/>
  <c r="AA89" i="68"/>
  <c r="AF89" i="68" s="1"/>
  <c r="AA90" i="68"/>
  <c r="AI90" i="68" s="1"/>
  <c r="AA91" i="68"/>
  <c r="AB91" i="68" s="1"/>
  <c r="AA92" i="68"/>
  <c r="AI92" i="68" s="1"/>
  <c r="L88" i="68"/>
  <c r="M88" i="68"/>
  <c r="N88" i="68"/>
  <c r="L89" i="68"/>
  <c r="M89" i="68"/>
  <c r="N89" i="68"/>
  <c r="L90" i="68"/>
  <c r="M90" i="68"/>
  <c r="N90" i="68"/>
  <c r="L91" i="68"/>
  <c r="M91" i="68"/>
  <c r="N91" i="68"/>
  <c r="L92" i="68"/>
  <c r="M92" i="68"/>
  <c r="N92" i="68"/>
  <c r="AA82" i="68"/>
  <c r="AA83" i="68"/>
  <c r="AI83" i="68" s="1"/>
  <c r="N82" i="68"/>
  <c r="N118" i="68" s="1"/>
  <c r="N83" i="68"/>
  <c r="N119" i="68" s="1"/>
  <c r="N84" i="68"/>
  <c r="L82" i="68"/>
  <c r="M82" i="68"/>
  <c r="L83" i="68"/>
  <c r="M83" i="68"/>
  <c r="I82" i="68"/>
  <c r="J82" i="68"/>
  <c r="I83" i="68"/>
  <c r="J83" i="68"/>
  <c r="I84" i="68"/>
  <c r="J84" i="68"/>
  <c r="AH80" i="68"/>
  <c r="AE80" i="68"/>
  <c r="AA80" i="68"/>
  <c r="L80" i="68"/>
  <c r="M80" i="68"/>
  <c r="N80" i="68"/>
  <c r="I80" i="68"/>
  <c r="J80" i="68"/>
  <c r="AG78" i="68"/>
  <c r="AH79" i="68" s="1"/>
  <c r="AD78" i="68"/>
  <c r="AE79" i="68" s="1"/>
  <c r="O78" i="68"/>
  <c r="P78" i="68"/>
  <c r="Q78" i="68"/>
  <c r="Q79" i="68" s="1"/>
  <c r="R78" i="68"/>
  <c r="R79" i="68" s="1"/>
  <c r="S78" i="68"/>
  <c r="T78" i="68"/>
  <c r="U78" i="68"/>
  <c r="U79" i="68" s="1"/>
  <c r="V78" i="68"/>
  <c r="V79" i="68" s="1"/>
  <c r="W78" i="68"/>
  <c r="X78" i="68"/>
  <c r="Y78" i="68"/>
  <c r="Y79" i="68" s="1"/>
  <c r="Z78" i="68"/>
  <c r="Z79" i="68" s="1"/>
  <c r="O79" i="68"/>
  <c r="P79" i="68"/>
  <c r="S79" i="68"/>
  <c r="T79" i="68"/>
  <c r="W79" i="68"/>
  <c r="X79" i="68"/>
  <c r="AA35" i="68"/>
  <c r="AA36" i="68"/>
  <c r="AI36" i="68" s="1"/>
  <c r="AA37" i="68"/>
  <c r="AB37" i="68" s="1"/>
  <c r="AA38" i="68"/>
  <c r="AF38" i="68" s="1"/>
  <c r="AA39" i="68"/>
  <c r="AA40" i="68"/>
  <c r="AA41" i="68"/>
  <c r="AA45" i="68"/>
  <c r="AA46" i="68"/>
  <c r="AA47" i="68"/>
  <c r="AB47" i="68" s="1"/>
  <c r="AA48" i="68"/>
  <c r="AI48" i="68" s="1"/>
  <c r="AA49" i="68"/>
  <c r="AA53" i="68" s="1"/>
  <c r="AA50" i="68"/>
  <c r="AA51" i="68"/>
  <c r="AA55" i="68"/>
  <c r="AI55" i="68" s="1"/>
  <c r="AA56" i="68"/>
  <c r="AA57" i="68"/>
  <c r="AA58" i="68"/>
  <c r="AF58" i="68" s="1"/>
  <c r="AA59" i="68"/>
  <c r="AA62" i="68" s="1"/>
  <c r="AA60" i="68"/>
  <c r="AI60" i="68" s="1"/>
  <c r="AA61" i="68"/>
  <c r="AA65" i="68"/>
  <c r="AI65" i="68" s="1"/>
  <c r="AA66" i="68"/>
  <c r="AF66" i="68" s="1"/>
  <c r="AA67" i="68"/>
  <c r="AF67" i="68" s="1"/>
  <c r="AA68" i="68"/>
  <c r="AF68" i="68" s="1"/>
  <c r="AA69" i="68"/>
  <c r="AA70" i="68"/>
  <c r="AA72" i="68" s="1"/>
  <c r="AA74" i="68"/>
  <c r="AA75" i="68"/>
  <c r="AF75" i="68" s="1"/>
  <c r="AA76" i="68"/>
  <c r="AB76" i="68" s="1"/>
  <c r="AH74" i="68"/>
  <c r="AH76" i="68"/>
  <c r="AE74" i="68"/>
  <c r="AE75" i="68"/>
  <c r="AE76" i="68"/>
  <c r="AB74" i="68"/>
  <c r="AB75" i="68"/>
  <c r="L74" i="68"/>
  <c r="M74" i="68"/>
  <c r="N74" i="68"/>
  <c r="L75" i="68"/>
  <c r="M75" i="68"/>
  <c r="N75" i="68"/>
  <c r="L76" i="68"/>
  <c r="M76" i="68"/>
  <c r="N76" i="68"/>
  <c r="L77" i="68"/>
  <c r="M77" i="68"/>
  <c r="N77" i="68"/>
  <c r="I74" i="68"/>
  <c r="J74" i="68"/>
  <c r="I75" i="68"/>
  <c r="J75" i="68"/>
  <c r="I76" i="68"/>
  <c r="J76" i="68"/>
  <c r="I77" i="68"/>
  <c r="J77" i="68"/>
  <c r="AG72" i="68"/>
  <c r="AH73" i="68" s="1"/>
  <c r="AD72" i="68"/>
  <c r="AE73" i="68" s="1"/>
  <c r="O72" i="68"/>
  <c r="O73" i="68" s="1"/>
  <c r="P72" i="68"/>
  <c r="P73" i="68" s="1"/>
  <c r="Q72" i="68"/>
  <c r="R72" i="68"/>
  <c r="R73" i="68" s="1"/>
  <c r="S72" i="68"/>
  <c r="S73" i="68" s="1"/>
  <c r="T72" i="68"/>
  <c r="T73" i="68" s="1"/>
  <c r="U72" i="68"/>
  <c r="U73" i="68" s="1"/>
  <c r="V72" i="68"/>
  <c r="V73" i="68" s="1"/>
  <c r="W72" i="68"/>
  <c r="W73" i="68" s="1"/>
  <c r="X72" i="68"/>
  <c r="X73" i="68" s="1"/>
  <c r="Y72" i="68"/>
  <c r="Z72" i="68"/>
  <c r="Z73" i="68" s="1"/>
  <c r="Q73" i="68"/>
  <c r="Y73" i="68"/>
  <c r="AF65" i="68"/>
  <c r="AH65" i="68"/>
  <c r="AH69" i="68"/>
  <c r="AH70" i="68"/>
  <c r="AE65" i="68"/>
  <c r="AE66" i="68"/>
  <c r="AE67" i="68"/>
  <c r="AE68" i="68"/>
  <c r="AE69" i="68"/>
  <c r="AE70" i="68"/>
  <c r="AB65" i="68"/>
  <c r="AB69" i="68"/>
  <c r="L65" i="68"/>
  <c r="M65" i="68"/>
  <c r="N65" i="68"/>
  <c r="L66" i="68"/>
  <c r="M66" i="68"/>
  <c r="N66" i="68"/>
  <c r="L67" i="68"/>
  <c r="M67" i="68"/>
  <c r="N67" i="68"/>
  <c r="L68" i="68"/>
  <c r="M68" i="68"/>
  <c r="N68" i="68"/>
  <c r="L69" i="68"/>
  <c r="M69" i="68"/>
  <c r="N69" i="68"/>
  <c r="L70" i="68"/>
  <c r="M70" i="68"/>
  <c r="N70" i="68"/>
  <c r="L71" i="68"/>
  <c r="M71" i="68"/>
  <c r="N71" i="68"/>
  <c r="I65" i="68"/>
  <c r="J65" i="68"/>
  <c r="I66" i="68"/>
  <c r="J66" i="68"/>
  <c r="I67" i="68"/>
  <c r="J67" i="68"/>
  <c r="I68" i="68"/>
  <c r="J68" i="68"/>
  <c r="I69" i="68"/>
  <c r="J69" i="68"/>
  <c r="I70" i="68"/>
  <c r="J70" i="68"/>
  <c r="I71" i="68"/>
  <c r="J71" i="68"/>
  <c r="AG63" i="68"/>
  <c r="AH64" i="68" s="1"/>
  <c r="AD63" i="68"/>
  <c r="AE64" i="68" s="1"/>
  <c r="O63" i="68"/>
  <c r="O64" i="68" s="1"/>
  <c r="P63" i="68"/>
  <c r="P64" i="68" s="1"/>
  <c r="Q63" i="68"/>
  <c r="R63" i="68"/>
  <c r="S63" i="68"/>
  <c r="S64" i="68" s="1"/>
  <c r="T63" i="68"/>
  <c r="U63" i="68"/>
  <c r="U64" i="68" s="1"/>
  <c r="V63" i="68"/>
  <c r="V64" i="68" s="1"/>
  <c r="W63" i="68"/>
  <c r="X63" i="68"/>
  <c r="X64" i="68" s="1"/>
  <c r="Y63" i="68"/>
  <c r="Y64" i="68" s="1"/>
  <c r="Z63" i="68"/>
  <c r="Q64" i="68"/>
  <c r="R64" i="68"/>
  <c r="T64" i="68"/>
  <c r="W64" i="68"/>
  <c r="Z64" i="68"/>
  <c r="AI56" i="68"/>
  <c r="AI59" i="68"/>
  <c r="AI61" i="68"/>
  <c r="AF56" i="68"/>
  <c r="AF57" i="68"/>
  <c r="AF59" i="68"/>
  <c r="AF61" i="68"/>
  <c r="AH61" i="68"/>
  <c r="AE61" i="68"/>
  <c r="AB61" i="68"/>
  <c r="AH54" i="68"/>
  <c r="AH55" i="68"/>
  <c r="L55" i="68"/>
  <c r="M55" i="68"/>
  <c r="N55" i="68"/>
  <c r="L56" i="68"/>
  <c r="M56" i="68"/>
  <c r="N56" i="68"/>
  <c r="L57" i="68"/>
  <c r="M57" i="68"/>
  <c r="N57" i="68"/>
  <c r="L58" i="68"/>
  <c r="M58" i="68"/>
  <c r="N58" i="68"/>
  <c r="L59" i="68"/>
  <c r="M59" i="68"/>
  <c r="N59" i="68"/>
  <c r="L60" i="68"/>
  <c r="M60" i="68"/>
  <c r="N60" i="68"/>
  <c r="L61" i="68"/>
  <c r="M61" i="68"/>
  <c r="N61" i="68"/>
  <c r="L62" i="68"/>
  <c r="M62" i="68"/>
  <c r="N62" i="68"/>
  <c r="I55" i="68"/>
  <c r="J55" i="68"/>
  <c r="I56" i="68"/>
  <c r="J56" i="68"/>
  <c r="I57" i="68"/>
  <c r="J57" i="68"/>
  <c r="I58" i="68"/>
  <c r="J58" i="68"/>
  <c r="I59" i="68"/>
  <c r="J59" i="68"/>
  <c r="I60" i="68"/>
  <c r="J60" i="68"/>
  <c r="I61" i="68"/>
  <c r="J61" i="68"/>
  <c r="I62" i="68"/>
  <c r="J62" i="68"/>
  <c r="AG53" i="68"/>
  <c r="AD53" i="68"/>
  <c r="AE54" i="68" s="1"/>
  <c r="O53" i="68"/>
  <c r="O54" i="68" s="1"/>
  <c r="P53" i="68"/>
  <c r="P54" i="68" s="1"/>
  <c r="Q53" i="68"/>
  <c r="Q54" i="68" s="1"/>
  <c r="R53" i="68"/>
  <c r="S53" i="68"/>
  <c r="T53" i="68"/>
  <c r="T54" i="68" s="1"/>
  <c r="U53" i="68"/>
  <c r="V53" i="68"/>
  <c r="V54" i="68" s="1"/>
  <c r="W53" i="68"/>
  <c r="W54" i="68" s="1"/>
  <c r="X53" i="68"/>
  <c r="X54" i="68" s="1"/>
  <c r="Y53" i="68"/>
  <c r="Y54" i="68" s="1"/>
  <c r="Z53" i="68"/>
  <c r="R54" i="68"/>
  <c r="S54" i="68"/>
  <c r="U54" i="68"/>
  <c r="Z54" i="68"/>
  <c r="AI45" i="68"/>
  <c r="AI46" i="68"/>
  <c r="AI50" i="68"/>
  <c r="AF45" i="68"/>
  <c r="AF46" i="68"/>
  <c r="AF48" i="68"/>
  <c r="AF50" i="68"/>
  <c r="AH51" i="68"/>
  <c r="AE51" i="68"/>
  <c r="AB51" i="68"/>
  <c r="AH45" i="68"/>
  <c r="AH48" i="68"/>
  <c r="AE45" i="68"/>
  <c r="AE46" i="68"/>
  <c r="AE47" i="68"/>
  <c r="AE48" i="68"/>
  <c r="AE49" i="68"/>
  <c r="AB48" i="68"/>
  <c r="L45" i="68"/>
  <c r="M45" i="68"/>
  <c r="N45" i="68"/>
  <c r="L46" i="68"/>
  <c r="M46" i="68"/>
  <c r="N46" i="68"/>
  <c r="L47" i="68"/>
  <c r="M47" i="68"/>
  <c r="N47" i="68"/>
  <c r="L48" i="68"/>
  <c r="M48" i="68"/>
  <c r="N48" i="68"/>
  <c r="L49" i="68"/>
  <c r="M49" i="68"/>
  <c r="N49" i="68"/>
  <c r="L50" i="68"/>
  <c r="M50" i="68"/>
  <c r="N50" i="68"/>
  <c r="L51" i="68"/>
  <c r="M51" i="68"/>
  <c r="N51" i="68"/>
  <c r="L52" i="68"/>
  <c r="M52" i="68"/>
  <c r="N52" i="68"/>
  <c r="I45" i="68"/>
  <c r="J45" i="68"/>
  <c r="I46" i="68"/>
  <c r="J46" i="68"/>
  <c r="I47" i="68"/>
  <c r="J47" i="68"/>
  <c r="I48" i="68"/>
  <c r="J48" i="68"/>
  <c r="I49" i="68"/>
  <c r="J49" i="68"/>
  <c r="I50" i="68"/>
  <c r="J50" i="68"/>
  <c r="I51" i="68"/>
  <c r="J51" i="68"/>
  <c r="I52" i="68"/>
  <c r="J52" i="68"/>
  <c r="AG43" i="68"/>
  <c r="AH44" i="68" s="1"/>
  <c r="AD43" i="68"/>
  <c r="AE44" i="68" s="1"/>
  <c r="O43" i="68"/>
  <c r="O44" i="68" s="1"/>
  <c r="P43" i="68"/>
  <c r="P44" i="68" s="1"/>
  <c r="Q43" i="68"/>
  <c r="Q44" i="68" s="1"/>
  <c r="R43" i="68"/>
  <c r="R44" i="68" s="1"/>
  <c r="S43" i="68"/>
  <c r="T43" i="68"/>
  <c r="T44" i="68" s="1"/>
  <c r="U43" i="68"/>
  <c r="U44" i="68" s="1"/>
  <c r="V43" i="68"/>
  <c r="W43" i="68"/>
  <c r="W44" i="68" s="1"/>
  <c r="X43" i="68"/>
  <c r="X44" i="68" s="1"/>
  <c r="Y43" i="68"/>
  <c r="Y44" i="68" s="1"/>
  <c r="Z43" i="68"/>
  <c r="Z44" i="68" s="1"/>
  <c r="S44" i="68"/>
  <c r="V44" i="68"/>
  <c r="AI35" i="68"/>
  <c r="AI37" i="68"/>
  <c r="AI38" i="68"/>
  <c r="AI40" i="68"/>
  <c r="AI41" i="68"/>
  <c r="AF35" i="68"/>
  <c r="AF36" i="68"/>
  <c r="AF37" i="68"/>
  <c r="AF40" i="68"/>
  <c r="AF41" i="68"/>
  <c r="AH41" i="68"/>
  <c r="AE41" i="68"/>
  <c r="AB41" i="68"/>
  <c r="AH35" i="68"/>
  <c r="AH36" i="68"/>
  <c r="AH37" i="68"/>
  <c r="AH38" i="68"/>
  <c r="AE35" i="68"/>
  <c r="AE36" i="68"/>
  <c r="AE37" i="68"/>
  <c r="AE38" i="68"/>
  <c r="AE39" i="68"/>
  <c r="AB36" i="68"/>
  <c r="L35" i="68"/>
  <c r="M35" i="68"/>
  <c r="N35" i="68"/>
  <c r="L36" i="68"/>
  <c r="M36" i="68"/>
  <c r="N36" i="68"/>
  <c r="L37" i="68"/>
  <c r="M37" i="68"/>
  <c r="N37" i="68"/>
  <c r="L38" i="68"/>
  <c r="M38" i="68"/>
  <c r="N38" i="68"/>
  <c r="L39" i="68"/>
  <c r="M39" i="68"/>
  <c r="N39" i="68"/>
  <c r="L40" i="68"/>
  <c r="M40" i="68"/>
  <c r="N40" i="68"/>
  <c r="L41" i="68"/>
  <c r="M41" i="68"/>
  <c r="N41" i="68"/>
  <c r="L42" i="68"/>
  <c r="M42" i="68"/>
  <c r="N42" i="68"/>
  <c r="I35" i="68"/>
  <c r="J35" i="68"/>
  <c r="I36" i="68"/>
  <c r="J36" i="68"/>
  <c r="I37" i="68"/>
  <c r="J37" i="68"/>
  <c r="I38" i="68"/>
  <c r="J38" i="68"/>
  <c r="I39" i="68"/>
  <c r="J39" i="68"/>
  <c r="I40" i="68"/>
  <c r="J40" i="68"/>
  <c r="I41" i="68"/>
  <c r="J41" i="68"/>
  <c r="I42" i="68"/>
  <c r="J42" i="68"/>
  <c r="AG32" i="68"/>
  <c r="AD32" i="68"/>
  <c r="O32" i="68"/>
  <c r="P32" i="68"/>
  <c r="Q32" i="68"/>
  <c r="R32" i="68"/>
  <c r="S32" i="68"/>
  <c r="T32" i="68"/>
  <c r="U32" i="68"/>
  <c r="V32" i="68"/>
  <c r="W32" i="68"/>
  <c r="X32" i="68"/>
  <c r="Y32" i="68"/>
  <c r="Z32" i="68"/>
  <c r="AG31" i="68"/>
  <c r="AD31" i="68"/>
  <c r="O31" i="68"/>
  <c r="P31" i="68"/>
  <c r="Q31" i="68"/>
  <c r="R31" i="68"/>
  <c r="S31" i="68"/>
  <c r="T31" i="68"/>
  <c r="U31" i="68"/>
  <c r="V31" i="68"/>
  <c r="W31" i="68"/>
  <c r="X31" i="68"/>
  <c r="Y31" i="68"/>
  <c r="Z31" i="68"/>
  <c r="AA31" i="68"/>
  <c r="N26" i="68"/>
  <c r="N27" i="68"/>
  <c r="N28" i="68"/>
  <c r="N29" i="68"/>
  <c r="B23" i="68"/>
  <c r="AG16" i="68"/>
  <c r="AG19" i="68"/>
  <c r="AH106" i="68" s="1"/>
  <c r="AG21" i="68"/>
  <c r="AD19" i="68"/>
  <c r="AE90" i="68" s="1"/>
  <c r="AD21" i="68"/>
  <c r="G19" i="68"/>
  <c r="G20" i="68"/>
  <c r="N19" i="68"/>
  <c r="O19" i="68"/>
  <c r="P19" i="68"/>
  <c r="Q19" i="68"/>
  <c r="Q115" i="68" s="1"/>
  <c r="R19" i="68"/>
  <c r="R115" i="68" s="1"/>
  <c r="S19" i="68"/>
  <c r="T19" i="68"/>
  <c r="T115" i="68" s="1"/>
  <c r="U19" i="68"/>
  <c r="V19" i="68"/>
  <c r="W19" i="68"/>
  <c r="X19" i="68"/>
  <c r="Y19" i="68"/>
  <c r="Y115" i="68" s="1"/>
  <c r="Z19" i="68"/>
  <c r="Z115" i="68" s="1"/>
  <c r="N20" i="68"/>
  <c r="O20" i="68"/>
  <c r="P20" i="68"/>
  <c r="Q20" i="68"/>
  <c r="R20" i="68"/>
  <c r="S20" i="68"/>
  <c r="T20" i="68"/>
  <c r="U20" i="68"/>
  <c r="V20" i="68"/>
  <c r="W20" i="68"/>
  <c r="X20" i="68"/>
  <c r="Y20" i="68"/>
  <c r="Z20" i="68"/>
  <c r="N21" i="68"/>
  <c r="O21" i="68"/>
  <c r="P21" i="68"/>
  <c r="Q21" i="68"/>
  <c r="R21" i="68"/>
  <c r="S21" i="68"/>
  <c r="T21" i="68"/>
  <c r="U21" i="68"/>
  <c r="V21" i="68"/>
  <c r="W21" i="68"/>
  <c r="X21" i="68"/>
  <c r="Y21" i="68"/>
  <c r="Z21" i="68"/>
  <c r="AA21" i="68"/>
  <c r="B17" i="68"/>
  <c r="B18" i="68"/>
  <c r="B19" i="68"/>
  <c r="O16" i="68"/>
  <c r="P16" i="68"/>
  <c r="Q16" i="68"/>
  <c r="R16" i="68"/>
  <c r="S16" i="68"/>
  <c r="T16" i="68"/>
  <c r="U16" i="68"/>
  <c r="V16" i="68"/>
  <c r="W16" i="68"/>
  <c r="X16" i="68"/>
  <c r="Y16" i="68"/>
  <c r="O17" i="68"/>
  <c r="P17" i="68"/>
  <c r="Q17" i="68"/>
  <c r="R17" i="68"/>
  <c r="S17" i="68"/>
  <c r="T17" i="68"/>
  <c r="U17" i="68"/>
  <c r="V17" i="68"/>
  <c r="W17" i="68"/>
  <c r="X17" i="68"/>
  <c r="Y17" i="68"/>
  <c r="Z17" i="68"/>
  <c r="AA17" i="68" s="1"/>
  <c r="AA11" i="68" s="1"/>
  <c r="AA18" i="68" s="1"/>
  <c r="A14" i="68"/>
  <c r="AG12" i="68"/>
  <c r="AG13" i="68"/>
  <c r="AD12" i="68"/>
  <c r="AD13" i="68"/>
  <c r="B12" i="68"/>
  <c r="B13" i="68"/>
  <c r="O11" i="68"/>
  <c r="P11" i="68"/>
  <c r="Q11" i="68"/>
  <c r="R11" i="68"/>
  <c r="S11" i="68"/>
  <c r="T11" i="68"/>
  <c r="U11" i="68"/>
  <c r="V11" i="68"/>
  <c r="W11" i="68"/>
  <c r="X11" i="68"/>
  <c r="Y11" i="68"/>
  <c r="Z11" i="68"/>
  <c r="O12" i="68"/>
  <c r="P12" i="68"/>
  <c r="Q12" i="68"/>
  <c r="R12" i="68"/>
  <c r="S12" i="68"/>
  <c r="T12" i="68"/>
  <c r="U12" i="68"/>
  <c r="V12" i="68"/>
  <c r="W12" i="68"/>
  <c r="X12" i="68"/>
  <c r="Y12" i="68"/>
  <c r="Z12" i="68"/>
  <c r="AA12" i="68"/>
  <c r="O13" i="68"/>
  <c r="P13" i="68"/>
  <c r="Q13" i="68"/>
  <c r="R13" i="68"/>
  <c r="S13" i="68"/>
  <c r="T13" i="68"/>
  <c r="U13" i="68"/>
  <c r="V13" i="68"/>
  <c r="W13" i="68"/>
  <c r="X13" i="68"/>
  <c r="Y13" i="68"/>
  <c r="Z13" i="68"/>
  <c r="AA13" i="68"/>
  <c r="C10" i="68"/>
  <c r="D10" i="68"/>
  <c r="AA16" i="68" s="1"/>
  <c r="C9" i="68"/>
  <c r="C1" i="68"/>
  <c r="C2" i="68"/>
  <c r="C3" i="68"/>
  <c r="C4" i="68"/>
  <c r="C5" i="68"/>
  <c r="C6" i="68"/>
  <c r="C7" i="68"/>
  <c r="C8" i="68"/>
  <c r="E6" i="68"/>
  <c r="E4" i="68"/>
  <c r="F4" i="68"/>
  <c r="B3" i="68"/>
  <c r="B120" i="67"/>
  <c r="B114" i="67"/>
  <c r="B115" i="67"/>
  <c r="B116" i="67"/>
  <c r="B88" i="67"/>
  <c r="B89" i="67"/>
  <c r="B83" i="67"/>
  <c r="B84" i="67"/>
  <c r="B85" i="67"/>
  <c r="B55" i="67"/>
  <c r="B56" i="67"/>
  <c r="B50" i="67"/>
  <c r="B51" i="67"/>
  <c r="B52" i="67"/>
  <c r="AH41" i="67"/>
  <c r="AH47" i="67"/>
  <c r="AK47" i="67"/>
  <c r="AH49" i="67"/>
  <c r="AH54" i="67"/>
  <c r="AK55" i="67"/>
  <c r="AE35" i="67"/>
  <c r="AE36" i="67"/>
  <c r="AE37" i="67"/>
  <c r="AE38" i="67"/>
  <c r="AE39" i="67"/>
  <c r="AE40" i="67"/>
  <c r="AE41" i="67"/>
  <c r="AE42" i="67"/>
  <c r="AE43" i="67"/>
  <c r="AE44" i="67"/>
  <c r="AE45" i="67"/>
  <c r="AE47" i="67"/>
  <c r="AE48" i="67"/>
  <c r="AE49" i="67"/>
  <c r="AE52" i="67"/>
  <c r="AE53" i="67"/>
  <c r="AE54" i="67"/>
  <c r="AE56" i="67"/>
  <c r="AA39" i="67"/>
  <c r="AA47" i="67"/>
  <c r="AB47" i="67" s="1"/>
  <c r="I35" i="67"/>
  <c r="K35" i="67" s="1"/>
  <c r="J35" i="67"/>
  <c r="L35" i="67"/>
  <c r="M35" i="67"/>
  <c r="N35" i="67"/>
  <c r="I36" i="67"/>
  <c r="AA36" i="67" s="1"/>
  <c r="J36" i="67"/>
  <c r="K36" i="67"/>
  <c r="L36" i="67"/>
  <c r="M36" i="67"/>
  <c r="N36" i="67"/>
  <c r="I37" i="67"/>
  <c r="K37" i="67" s="1"/>
  <c r="J37" i="67"/>
  <c r="L37" i="67"/>
  <c r="M37" i="67"/>
  <c r="N37" i="67"/>
  <c r="I38" i="67"/>
  <c r="K38" i="67" s="1"/>
  <c r="J38" i="67"/>
  <c r="L38" i="67"/>
  <c r="M38" i="67"/>
  <c r="N38" i="67"/>
  <c r="I39" i="67"/>
  <c r="J39" i="67"/>
  <c r="K39" i="67"/>
  <c r="L39" i="67"/>
  <c r="M39" i="67"/>
  <c r="N39" i="67"/>
  <c r="I40" i="67"/>
  <c r="AA40" i="67" s="1"/>
  <c r="J40" i="67"/>
  <c r="K40" i="67"/>
  <c r="L40" i="67"/>
  <c r="M40" i="67"/>
  <c r="N40" i="67"/>
  <c r="I41" i="67"/>
  <c r="K41" i="67" s="1"/>
  <c r="J41" i="67"/>
  <c r="L41" i="67"/>
  <c r="M41" i="67"/>
  <c r="N41" i="67"/>
  <c r="I42" i="67"/>
  <c r="K42" i="67" s="1"/>
  <c r="J42" i="67"/>
  <c r="L42" i="67"/>
  <c r="M42" i="67"/>
  <c r="N42" i="67"/>
  <c r="I43" i="67"/>
  <c r="AA43" i="67" s="1"/>
  <c r="J43" i="67"/>
  <c r="K43" i="67"/>
  <c r="L43" i="67"/>
  <c r="M43" i="67"/>
  <c r="N43" i="67"/>
  <c r="I44" i="67"/>
  <c r="AA44" i="67" s="1"/>
  <c r="J44" i="67"/>
  <c r="K44" i="67"/>
  <c r="L44" i="67"/>
  <c r="M44" i="67"/>
  <c r="N44" i="67"/>
  <c r="I45" i="67"/>
  <c r="K45" i="67" s="1"/>
  <c r="J45" i="67"/>
  <c r="L45" i="67"/>
  <c r="M45" i="67"/>
  <c r="N45" i="67"/>
  <c r="I46" i="67"/>
  <c r="K46" i="67" s="1"/>
  <c r="J46" i="67"/>
  <c r="L46" i="67"/>
  <c r="M46" i="67"/>
  <c r="N46" i="67"/>
  <c r="I47" i="67"/>
  <c r="J47" i="67"/>
  <c r="K47" i="67"/>
  <c r="L47" i="67"/>
  <c r="M47" i="67"/>
  <c r="N47" i="67"/>
  <c r="I48" i="67"/>
  <c r="AA48" i="67" s="1"/>
  <c r="J48" i="67"/>
  <c r="L48" i="67"/>
  <c r="M48" i="67"/>
  <c r="N48" i="67"/>
  <c r="I49" i="67"/>
  <c r="K49" i="67" s="1"/>
  <c r="J49" i="67"/>
  <c r="L49" i="67"/>
  <c r="M49" i="67"/>
  <c r="N49" i="67"/>
  <c r="I50" i="67"/>
  <c r="K50" i="67" s="1"/>
  <c r="J50" i="67"/>
  <c r="L50" i="67"/>
  <c r="M50" i="67"/>
  <c r="N50" i="67"/>
  <c r="I51" i="67"/>
  <c r="K51" i="67" s="1"/>
  <c r="J51" i="67"/>
  <c r="L51" i="67"/>
  <c r="M51" i="67"/>
  <c r="N51" i="67"/>
  <c r="I52" i="67"/>
  <c r="AA52" i="67" s="1"/>
  <c r="J52" i="67"/>
  <c r="K52" i="67"/>
  <c r="L52" i="67"/>
  <c r="M52" i="67"/>
  <c r="N52" i="67"/>
  <c r="I53" i="67"/>
  <c r="K53" i="67" s="1"/>
  <c r="J53" i="67"/>
  <c r="L53" i="67"/>
  <c r="M53" i="67"/>
  <c r="N53" i="67"/>
  <c r="I54" i="67"/>
  <c r="K54" i="67" s="1"/>
  <c r="J54" i="67"/>
  <c r="L54" i="67"/>
  <c r="M54" i="67"/>
  <c r="N54" i="67"/>
  <c r="I55" i="67"/>
  <c r="AA55" i="67" s="1"/>
  <c r="AF55" i="67" s="1"/>
  <c r="J55" i="67"/>
  <c r="K55" i="67"/>
  <c r="L55" i="67"/>
  <c r="M55" i="67"/>
  <c r="N55" i="67"/>
  <c r="I56" i="67"/>
  <c r="AA56" i="67" s="1"/>
  <c r="J56" i="67"/>
  <c r="K56" i="67"/>
  <c r="L56" i="67"/>
  <c r="M56" i="67"/>
  <c r="N56" i="67"/>
  <c r="N33" i="67"/>
  <c r="N34" i="67"/>
  <c r="I33" i="67"/>
  <c r="J33" i="67"/>
  <c r="I34" i="67"/>
  <c r="J34" i="67"/>
  <c r="AJ32" i="67"/>
  <c r="AG32" i="67"/>
  <c r="AL32" i="67" s="1"/>
  <c r="AD32" i="67"/>
  <c r="AK32" i="67" s="1"/>
  <c r="O32" i="67"/>
  <c r="P32" i="67"/>
  <c r="Q32" i="67"/>
  <c r="R32" i="67"/>
  <c r="S32" i="67"/>
  <c r="T32" i="67"/>
  <c r="U32" i="67"/>
  <c r="V32" i="67"/>
  <c r="W32" i="67"/>
  <c r="X32" i="67"/>
  <c r="Y32" i="67"/>
  <c r="Z32" i="67"/>
  <c r="AJ31" i="67"/>
  <c r="AK31" i="67"/>
  <c r="AM31" i="67" s="1"/>
  <c r="AL31" i="67"/>
  <c r="AN31" i="67" s="1"/>
  <c r="AG31" i="67"/>
  <c r="AD31" i="67"/>
  <c r="O31" i="67"/>
  <c r="P31" i="67"/>
  <c r="Q31" i="67"/>
  <c r="R31" i="67"/>
  <c r="S31" i="67"/>
  <c r="T31" i="67"/>
  <c r="U31" i="67"/>
  <c r="V31" i="67"/>
  <c r="W31" i="67"/>
  <c r="X31" i="67"/>
  <c r="Y31" i="67"/>
  <c r="Z31" i="67"/>
  <c r="AA31" i="67"/>
  <c r="N26" i="67"/>
  <c r="N27" i="67"/>
  <c r="N28" i="67"/>
  <c r="N29" i="67"/>
  <c r="B22" i="67"/>
  <c r="B23" i="67"/>
  <c r="AG16" i="67"/>
  <c r="AG19" i="67"/>
  <c r="AH37" i="67" s="1"/>
  <c r="AG20" i="67"/>
  <c r="AL56" i="67" s="1"/>
  <c r="AD19" i="67"/>
  <c r="AE46" i="67" s="1"/>
  <c r="AD20" i="67"/>
  <c r="AK40" i="67" s="1"/>
  <c r="G19" i="67"/>
  <c r="G20" i="67"/>
  <c r="N19" i="67"/>
  <c r="O19" i="67"/>
  <c r="P19" i="67"/>
  <c r="Q19" i="67"/>
  <c r="R19" i="67"/>
  <c r="S19" i="67"/>
  <c r="T19" i="67"/>
  <c r="U19" i="67"/>
  <c r="V19" i="67"/>
  <c r="W19" i="67"/>
  <c r="X19" i="67"/>
  <c r="Y19" i="67"/>
  <c r="Z19" i="67"/>
  <c r="N20" i="67"/>
  <c r="O20" i="67"/>
  <c r="P20" i="67"/>
  <c r="Q20" i="67"/>
  <c r="R20" i="67"/>
  <c r="S20" i="67"/>
  <c r="T20" i="67"/>
  <c r="U20" i="67"/>
  <c r="V20" i="67"/>
  <c r="W20" i="67"/>
  <c r="X20" i="67"/>
  <c r="Y20" i="67"/>
  <c r="Z20" i="67"/>
  <c r="B17" i="67"/>
  <c r="B18" i="67"/>
  <c r="B19" i="67"/>
  <c r="O16" i="67"/>
  <c r="P16" i="67"/>
  <c r="Q16" i="67"/>
  <c r="R16" i="67"/>
  <c r="S16" i="67"/>
  <c r="T16" i="67"/>
  <c r="U16" i="67"/>
  <c r="V16" i="67"/>
  <c r="W16" i="67"/>
  <c r="X16" i="67"/>
  <c r="Y16" i="67"/>
  <c r="O17" i="67"/>
  <c r="P17" i="67"/>
  <c r="Q17" i="67"/>
  <c r="R17" i="67"/>
  <c r="S17" i="67"/>
  <c r="T17" i="67"/>
  <c r="U17" i="67"/>
  <c r="V17" i="67"/>
  <c r="W17" i="67"/>
  <c r="X17" i="67"/>
  <c r="Y17" i="67"/>
  <c r="Z17" i="67"/>
  <c r="AA17" i="67" s="1"/>
  <c r="AA11" i="67" s="1"/>
  <c r="A14" i="67"/>
  <c r="AG12" i="67"/>
  <c r="AG13" i="67"/>
  <c r="AD12" i="67"/>
  <c r="AD13" i="67"/>
  <c r="B12" i="67"/>
  <c r="B13" i="67"/>
  <c r="O11" i="67"/>
  <c r="P11" i="67"/>
  <c r="Q11" i="67"/>
  <c r="R11" i="67"/>
  <c r="S11" i="67"/>
  <c r="T11" i="67"/>
  <c r="U11" i="67"/>
  <c r="V11" i="67"/>
  <c r="W11" i="67"/>
  <c r="X11" i="67"/>
  <c r="Y11" i="67"/>
  <c r="Z11" i="67"/>
  <c r="O12" i="67"/>
  <c r="P12" i="67"/>
  <c r="Q12" i="67"/>
  <c r="R12" i="67"/>
  <c r="S12" i="67"/>
  <c r="T12" i="67"/>
  <c r="U12" i="67"/>
  <c r="V12" i="67"/>
  <c r="W12" i="67"/>
  <c r="X12" i="67"/>
  <c r="Y12" i="67"/>
  <c r="Z12" i="67"/>
  <c r="AA12" i="67"/>
  <c r="O13" i="67"/>
  <c r="P13" i="67"/>
  <c r="Q13" i="67"/>
  <c r="R13" i="67"/>
  <c r="S13" i="67"/>
  <c r="T13" i="67"/>
  <c r="U13" i="67"/>
  <c r="V13" i="67"/>
  <c r="W13" i="67"/>
  <c r="X13" i="67"/>
  <c r="Y13" i="67"/>
  <c r="Z13" i="67"/>
  <c r="AA13" i="67"/>
  <c r="C10" i="67"/>
  <c r="D10" i="67"/>
  <c r="C9" i="67"/>
  <c r="C1" i="67"/>
  <c r="C2" i="67"/>
  <c r="C3" i="67"/>
  <c r="C4" i="67"/>
  <c r="C5" i="67"/>
  <c r="C6" i="67"/>
  <c r="C7" i="67"/>
  <c r="C8" i="67"/>
  <c r="E6" i="67"/>
  <c r="B62" i="67" s="1"/>
  <c r="E4" i="67"/>
  <c r="F4" i="67"/>
  <c r="B3" i="67"/>
  <c r="AG139" i="66"/>
  <c r="AG140" i="66"/>
  <c r="AG141" i="66"/>
  <c r="AG142" i="66"/>
  <c r="AD139" i="66"/>
  <c r="AD140" i="66"/>
  <c r="AD141" i="66"/>
  <c r="AD142" i="66"/>
  <c r="O139" i="66"/>
  <c r="P139" i="66"/>
  <c r="Q139" i="66"/>
  <c r="R139" i="66"/>
  <c r="S139" i="66"/>
  <c r="T139" i="66"/>
  <c r="U139" i="66"/>
  <c r="V139" i="66"/>
  <c r="W139" i="66"/>
  <c r="X139" i="66"/>
  <c r="Y139" i="66"/>
  <c r="Z139" i="66"/>
  <c r="O140" i="66"/>
  <c r="P140" i="66"/>
  <c r="Q140" i="66"/>
  <c r="R140" i="66"/>
  <c r="S140" i="66"/>
  <c r="T140" i="66"/>
  <c r="U140" i="66"/>
  <c r="V140" i="66"/>
  <c r="W140" i="66"/>
  <c r="X140" i="66"/>
  <c r="Y140" i="66"/>
  <c r="Z140" i="66"/>
  <c r="O141" i="66"/>
  <c r="P141" i="66"/>
  <c r="Q141" i="66"/>
  <c r="R141" i="66"/>
  <c r="S141" i="66"/>
  <c r="T141" i="66"/>
  <c r="U141" i="66"/>
  <c r="V141" i="66"/>
  <c r="W141" i="66"/>
  <c r="X141" i="66"/>
  <c r="Y141" i="66"/>
  <c r="Z141" i="66"/>
  <c r="O142" i="66"/>
  <c r="P142" i="66"/>
  <c r="Q142" i="66"/>
  <c r="R142" i="66"/>
  <c r="S142" i="66"/>
  <c r="T142" i="66"/>
  <c r="U142" i="66"/>
  <c r="V142" i="66"/>
  <c r="W142" i="66"/>
  <c r="X142" i="66"/>
  <c r="Y142" i="66"/>
  <c r="Z142" i="66"/>
  <c r="AI127" i="66"/>
  <c r="AI129" i="66"/>
  <c r="AI131" i="66"/>
  <c r="AI133" i="66"/>
  <c r="AI135" i="66"/>
  <c r="AG137" i="66"/>
  <c r="AD137" i="66"/>
  <c r="O137" i="66"/>
  <c r="P137" i="66"/>
  <c r="Q137" i="66"/>
  <c r="R137" i="66"/>
  <c r="S137" i="66"/>
  <c r="T137" i="66"/>
  <c r="U137" i="66"/>
  <c r="V137" i="66"/>
  <c r="W137" i="66"/>
  <c r="X137" i="66"/>
  <c r="Y137" i="66"/>
  <c r="Z137" i="66"/>
  <c r="AH136" i="66"/>
  <c r="AE136" i="66"/>
  <c r="AF136" i="66"/>
  <c r="AA136" i="66"/>
  <c r="AI136" i="66" s="1"/>
  <c r="AB136" i="66"/>
  <c r="AF126" i="66"/>
  <c r="AF127" i="66"/>
  <c r="AF129" i="66"/>
  <c r="AF131" i="66"/>
  <c r="AF133" i="66"/>
  <c r="AF134" i="66"/>
  <c r="AF135" i="66"/>
  <c r="AH134" i="66"/>
  <c r="AE134" i="66"/>
  <c r="AA134" i="66"/>
  <c r="AI134" i="66" s="1"/>
  <c r="AB134" i="66"/>
  <c r="AH132" i="66"/>
  <c r="AE132" i="66"/>
  <c r="AA132" i="66"/>
  <c r="AI132" i="66" s="1"/>
  <c r="AB132" i="66"/>
  <c r="AH130" i="66"/>
  <c r="AE130" i="66"/>
  <c r="AA130" i="66"/>
  <c r="AI130" i="66" s="1"/>
  <c r="AB130" i="66"/>
  <c r="AH128" i="66"/>
  <c r="AE128" i="66"/>
  <c r="AA128" i="66"/>
  <c r="AF128" i="66" s="1"/>
  <c r="AB128" i="66"/>
  <c r="AH126" i="66"/>
  <c r="AE126" i="66"/>
  <c r="AA126" i="66"/>
  <c r="AI126" i="66" s="1"/>
  <c r="AB126" i="66"/>
  <c r="L126" i="66"/>
  <c r="M126" i="66"/>
  <c r="N126" i="66"/>
  <c r="L127" i="66"/>
  <c r="M127" i="66"/>
  <c r="N127" i="66"/>
  <c r="L128" i="66"/>
  <c r="M128" i="66"/>
  <c r="N128" i="66"/>
  <c r="L129" i="66"/>
  <c r="M129" i="66"/>
  <c r="N129" i="66"/>
  <c r="L130" i="66"/>
  <c r="M130" i="66"/>
  <c r="N130" i="66"/>
  <c r="L131" i="66"/>
  <c r="M131" i="66"/>
  <c r="N131" i="66"/>
  <c r="L132" i="66"/>
  <c r="M132" i="66"/>
  <c r="N132" i="66"/>
  <c r="L133" i="66"/>
  <c r="M133" i="66"/>
  <c r="N133" i="66"/>
  <c r="L134" i="66"/>
  <c r="M134" i="66"/>
  <c r="N134" i="66"/>
  <c r="L135" i="66"/>
  <c r="M135" i="66"/>
  <c r="N135" i="66"/>
  <c r="L136" i="66"/>
  <c r="M136" i="66"/>
  <c r="N136" i="66"/>
  <c r="N125" i="66"/>
  <c r="AG118" i="66"/>
  <c r="AG119" i="66"/>
  <c r="AG120" i="66"/>
  <c r="AG121" i="66"/>
  <c r="AD118" i="66"/>
  <c r="AD119" i="66"/>
  <c r="AD120" i="66"/>
  <c r="AD121" i="66"/>
  <c r="AE119" i="66"/>
  <c r="AE121" i="66"/>
  <c r="L118" i="66"/>
  <c r="M118" i="66"/>
  <c r="N118" i="66"/>
  <c r="O118" i="66"/>
  <c r="P118" i="66"/>
  <c r="P122" i="66" s="1"/>
  <c r="P123" i="66" s="1"/>
  <c r="Q118" i="66"/>
  <c r="Q122" i="66" s="1"/>
  <c r="Q123" i="66" s="1"/>
  <c r="R118" i="66"/>
  <c r="S118" i="66"/>
  <c r="S122" i="66" s="1"/>
  <c r="S123" i="66" s="1"/>
  <c r="T118" i="66"/>
  <c r="U118" i="66"/>
  <c r="V118" i="66"/>
  <c r="W118" i="66"/>
  <c r="X118" i="66"/>
  <c r="Y118" i="66"/>
  <c r="Z118" i="66"/>
  <c r="L119" i="66"/>
  <c r="M119" i="66"/>
  <c r="N119" i="66"/>
  <c r="O119" i="66"/>
  <c r="P119" i="66"/>
  <c r="Q119" i="66"/>
  <c r="R119" i="66"/>
  <c r="S119" i="66"/>
  <c r="T119" i="66"/>
  <c r="AA119" i="66" s="1"/>
  <c r="AF119" i="66" s="1"/>
  <c r="U119" i="66"/>
  <c r="V119" i="66"/>
  <c r="W119" i="66"/>
  <c r="W122" i="66" s="1"/>
  <c r="W123" i="66" s="1"/>
  <c r="X119" i="66"/>
  <c r="Y119" i="66"/>
  <c r="Z119" i="66"/>
  <c r="L120" i="66"/>
  <c r="M120" i="66"/>
  <c r="N120" i="66"/>
  <c r="O120" i="66"/>
  <c r="P120" i="66"/>
  <c r="Q120" i="66"/>
  <c r="R120" i="66"/>
  <c r="S120" i="66"/>
  <c r="T120" i="66"/>
  <c r="U120" i="66"/>
  <c r="V120" i="66"/>
  <c r="W120" i="66"/>
  <c r="X120" i="66"/>
  <c r="Y120" i="66"/>
  <c r="Y122" i="66" s="1"/>
  <c r="Y123" i="66" s="1"/>
  <c r="Z120" i="66"/>
  <c r="L121" i="66"/>
  <c r="M121" i="66"/>
  <c r="N121" i="66"/>
  <c r="O121" i="66"/>
  <c r="P121" i="66"/>
  <c r="Q121" i="66"/>
  <c r="R121" i="66"/>
  <c r="S121" i="66"/>
  <c r="T121" i="66"/>
  <c r="U121" i="66"/>
  <c r="V121" i="66"/>
  <c r="W121" i="66"/>
  <c r="X121" i="66"/>
  <c r="Y121" i="66"/>
  <c r="Z121" i="66"/>
  <c r="L122" i="66"/>
  <c r="M122" i="66"/>
  <c r="N122" i="66"/>
  <c r="AH112" i="66"/>
  <c r="AH113" i="66"/>
  <c r="AI113" i="66"/>
  <c r="AE112" i="66"/>
  <c r="AE113" i="66"/>
  <c r="AE115" i="66"/>
  <c r="AA112" i="66"/>
  <c r="AB112" i="66" s="1"/>
  <c r="AA113" i="66"/>
  <c r="AF113" i="66" s="1"/>
  <c r="AB113" i="66"/>
  <c r="AA114" i="66"/>
  <c r="AI114" i="66" s="1"/>
  <c r="AA115" i="66"/>
  <c r="AI115" i="66" s="1"/>
  <c r="AA116" i="66"/>
  <c r="AB116" i="66" s="1"/>
  <c r="L112" i="66"/>
  <c r="M112" i="66"/>
  <c r="N112" i="66"/>
  <c r="L113" i="66"/>
  <c r="M113" i="66"/>
  <c r="N113" i="66"/>
  <c r="L114" i="66"/>
  <c r="M114" i="66"/>
  <c r="N114" i="66"/>
  <c r="L115" i="66"/>
  <c r="M115" i="66"/>
  <c r="N115" i="66"/>
  <c r="L116" i="66"/>
  <c r="M116" i="66"/>
  <c r="N116" i="66"/>
  <c r="AH105" i="66"/>
  <c r="AI108" i="66"/>
  <c r="AE105" i="66"/>
  <c r="AE106" i="66"/>
  <c r="AE108" i="66"/>
  <c r="AF108" i="66"/>
  <c r="AA105" i="66"/>
  <c r="AF105" i="66" s="1"/>
  <c r="AA106" i="66"/>
  <c r="AI106" i="66" s="1"/>
  <c r="AA107" i="66"/>
  <c r="AI107" i="66" s="1"/>
  <c r="AA108" i="66"/>
  <c r="AB108" i="66"/>
  <c r="AA109" i="66"/>
  <c r="AF109" i="66" s="1"/>
  <c r="L105" i="66"/>
  <c r="M105" i="66"/>
  <c r="N105" i="66"/>
  <c r="L106" i="66"/>
  <c r="M106" i="66"/>
  <c r="N106" i="66"/>
  <c r="L107" i="66"/>
  <c r="M107" i="66"/>
  <c r="N107" i="66"/>
  <c r="L108" i="66"/>
  <c r="M108" i="66"/>
  <c r="N108" i="66"/>
  <c r="L109" i="66"/>
  <c r="M109" i="66"/>
  <c r="N109" i="66"/>
  <c r="AI99" i="66"/>
  <c r="AI102" i="66"/>
  <c r="AE98" i="66"/>
  <c r="AE99" i="66"/>
  <c r="AE101" i="66"/>
  <c r="AF102" i="66"/>
  <c r="AA98" i="66"/>
  <c r="AA99" i="66"/>
  <c r="AF99" i="66" s="1"/>
  <c r="AA100" i="66"/>
  <c r="AI100" i="66" s="1"/>
  <c r="AA101" i="66"/>
  <c r="AI101" i="66" s="1"/>
  <c r="AA102" i="66"/>
  <c r="L98" i="66"/>
  <c r="M98" i="66"/>
  <c r="N98" i="66"/>
  <c r="L99" i="66"/>
  <c r="M99" i="66"/>
  <c r="N99" i="66"/>
  <c r="L100" i="66"/>
  <c r="M100" i="66"/>
  <c r="N100" i="66"/>
  <c r="L101" i="66"/>
  <c r="M101" i="66"/>
  <c r="N101" i="66"/>
  <c r="L102" i="66"/>
  <c r="M102" i="66"/>
  <c r="N102" i="66"/>
  <c r="AD92" i="66"/>
  <c r="AD93" i="66"/>
  <c r="AD94" i="66"/>
  <c r="AG92" i="66"/>
  <c r="AG93" i="66"/>
  <c r="AG94" i="66"/>
  <c r="O92" i="66"/>
  <c r="P92" i="66"/>
  <c r="Q92" i="66"/>
  <c r="R92" i="66"/>
  <c r="S92" i="66"/>
  <c r="T92" i="66"/>
  <c r="U92" i="66"/>
  <c r="V92" i="66"/>
  <c r="W92" i="66"/>
  <c r="X92" i="66"/>
  <c r="Y92" i="66"/>
  <c r="Z92" i="66"/>
  <c r="O93" i="66"/>
  <c r="P93" i="66"/>
  <c r="Q93" i="66"/>
  <c r="R93" i="66"/>
  <c r="S93" i="66"/>
  <c r="T93" i="66"/>
  <c r="U93" i="66"/>
  <c r="V93" i="66"/>
  <c r="W93" i="66"/>
  <c r="X93" i="66"/>
  <c r="Y93" i="66"/>
  <c r="Z93" i="66"/>
  <c r="O94" i="66"/>
  <c r="P94" i="66"/>
  <c r="Q94" i="66"/>
  <c r="R94" i="66"/>
  <c r="S94" i="66"/>
  <c r="T94" i="66"/>
  <c r="U94" i="66"/>
  <c r="V94" i="66"/>
  <c r="W94" i="66"/>
  <c r="X94" i="66"/>
  <c r="Y94" i="66"/>
  <c r="Z94" i="66"/>
  <c r="AA94" i="66"/>
  <c r="AI94" i="66" s="1"/>
  <c r="AF89" i="66"/>
  <c r="AA89" i="66"/>
  <c r="AI89" i="66" s="1"/>
  <c r="AA90" i="66"/>
  <c r="AI90" i="66" s="1"/>
  <c r="AA91" i="66"/>
  <c r="AF91" i="66" s="1"/>
  <c r="N89" i="66"/>
  <c r="N90" i="66"/>
  <c r="N91" i="66"/>
  <c r="I89" i="66"/>
  <c r="J89" i="66"/>
  <c r="I90" i="66"/>
  <c r="J90" i="66"/>
  <c r="I91" i="66"/>
  <c r="J91" i="66"/>
  <c r="AI83" i="66"/>
  <c r="AI84" i="66"/>
  <c r="AA82" i="66"/>
  <c r="AI82" i="66" s="1"/>
  <c r="AA83" i="66"/>
  <c r="AF83" i="66" s="1"/>
  <c r="AA84" i="66"/>
  <c r="AA93" i="66" s="1"/>
  <c r="N82" i="66"/>
  <c r="N139" i="66" s="1"/>
  <c r="N83" i="66"/>
  <c r="N84" i="66"/>
  <c r="N140" i="66" s="1"/>
  <c r="N85" i="66"/>
  <c r="N86" i="66"/>
  <c r="N141" i="66" s="1"/>
  <c r="L82" i="66"/>
  <c r="M82" i="66"/>
  <c r="L83" i="66"/>
  <c r="M83" i="66"/>
  <c r="L84" i="66"/>
  <c r="M84" i="66"/>
  <c r="I82" i="66"/>
  <c r="J82" i="66"/>
  <c r="I83" i="66"/>
  <c r="J83" i="66"/>
  <c r="I84" i="66"/>
  <c r="J84" i="66"/>
  <c r="I85" i="66"/>
  <c r="J85" i="66"/>
  <c r="I86" i="66"/>
  <c r="J86" i="66"/>
  <c r="AH80" i="66"/>
  <c r="AE80" i="66"/>
  <c r="AF80" i="66"/>
  <c r="AA80" i="66"/>
  <c r="AI80" i="66" s="1"/>
  <c r="AB80" i="66"/>
  <c r="L80" i="66"/>
  <c r="M80" i="66"/>
  <c r="N80" i="66"/>
  <c r="I80" i="66"/>
  <c r="J80" i="66"/>
  <c r="AG78" i="66"/>
  <c r="AH79" i="66" s="1"/>
  <c r="AD78" i="66"/>
  <c r="AE79" i="66" s="1"/>
  <c r="O78" i="66"/>
  <c r="O79" i="66" s="1"/>
  <c r="P78" i="66"/>
  <c r="P79" i="66" s="1"/>
  <c r="Q78" i="66"/>
  <c r="R78" i="66"/>
  <c r="S78" i="66"/>
  <c r="S79" i="66" s="1"/>
  <c r="T78" i="66"/>
  <c r="T79" i="66" s="1"/>
  <c r="U78" i="66"/>
  <c r="U79" i="66" s="1"/>
  <c r="V78" i="66"/>
  <c r="V79" i="66" s="1"/>
  <c r="W78" i="66"/>
  <c r="X78" i="66"/>
  <c r="Y78" i="66"/>
  <c r="Z78" i="66"/>
  <c r="Q79" i="66"/>
  <c r="R79" i="66"/>
  <c r="W79" i="66"/>
  <c r="X79" i="66"/>
  <c r="Y79" i="66"/>
  <c r="Z79" i="66"/>
  <c r="AA35" i="66"/>
  <c r="AA36" i="66"/>
  <c r="AA37" i="66"/>
  <c r="AA38" i="66"/>
  <c r="AA39" i="66"/>
  <c r="AA40" i="66"/>
  <c r="AI40" i="66" s="1"/>
  <c r="AA41" i="66"/>
  <c r="AA45" i="66"/>
  <c r="AF45" i="66" s="1"/>
  <c r="AA46" i="66"/>
  <c r="AA47" i="66"/>
  <c r="AB47" i="66" s="1"/>
  <c r="AA48" i="66"/>
  <c r="AI48" i="66" s="1"/>
  <c r="AA49" i="66"/>
  <c r="AA50" i="66"/>
  <c r="AA51" i="66"/>
  <c r="AI51" i="66" s="1"/>
  <c r="AA55" i="66"/>
  <c r="AA56" i="66"/>
  <c r="AI56" i="66" s="1"/>
  <c r="AA57" i="66"/>
  <c r="AI57" i="66" s="1"/>
  <c r="AA58" i="66"/>
  <c r="AF58" i="66" s="1"/>
  <c r="AA59" i="66"/>
  <c r="AA60" i="66"/>
  <c r="AA61" i="66"/>
  <c r="AI61" i="66" s="1"/>
  <c r="AA65" i="66"/>
  <c r="AB65" i="66" s="1"/>
  <c r="AA66" i="66"/>
  <c r="AI66" i="66" s="1"/>
  <c r="AA67" i="66"/>
  <c r="AA68" i="66"/>
  <c r="AA69" i="66"/>
  <c r="AF69" i="66" s="1"/>
  <c r="AA70" i="66"/>
  <c r="AF70" i="66" s="1"/>
  <c r="AA74" i="66"/>
  <c r="AI74" i="66" s="1"/>
  <c r="AA75" i="66"/>
  <c r="AI75" i="66" s="1"/>
  <c r="AA76" i="66"/>
  <c r="AI76" i="66" s="1"/>
  <c r="AH75" i="66"/>
  <c r="AH76" i="66"/>
  <c r="AE74" i="66"/>
  <c r="AE75" i="66"/>
  <c r="AE76" i="66"/>
  <c r="AB74" i="66"/>
  <c r="AB75" i="66"/>
  <c r="AB76" i="66"/>
  <c r="L74" i="66"/>
  <c r="M74" i="66"/>
  <c r="N74" i="66"/>
  <c r="L75" i="66"/>
  <c r="M75" i="66"/>
  <c r="N75" i="66"/>
  <c r="L76" i="66"/>
  <c r="M76" i="66"/>
  <c r="N76" i="66"/>
  <c r="L77" i="66"/>
  <c r="M77" i="66"/>
  <c r="N77" i="66"/>
  <c r="I74" i="66"/>
  <c r="J74" i="66"/>
  <c r="I75" i="66"/>
  <c r="J75" i="66"/>
  <c r="I76" i="66"/>
  <c r="J76" i="66"/>
  <c r="I77" i="66"/>
  <c r="J77" i="66"/>
  <c r="AG72" i="66"/>
  <c r="AH73" i="66" s="1"/>
  <c r="AD72" i="66"/>
  <c r="AE73" i="66" s="1"/>
  <c r="O72" i="66"/>
  <c r="O73" i="66" s="1"/>
  <c r="P72" i="66"/>
  <c r="P73" i="66" s="1"/>
  <c r="Q72" i="66"/>
  <c r="Q73" i="66" s="1"/>
  <c r="R72" i="66"/>
  <c r="S72" i="66"/>
  <c r="S73" i="66" s="1"/>
  <c r="T72" i="66"/>
  <c r="U72" i="66"/>
  <c r="U73" i="66" s="1"/>
  <c r="V72" i="66"/>
  <c r="V73" i="66" s="1"/>
  <c r="W72" i="66"/>
  <c r="W73" i="66" s="1"/>
  <c r="X72" i="66"/>
  <c r="X73" i="66" s="1"/>
  <c r="Y72" i="66"/>
  <c r="Y73" i="66" s="1"/>
  <c r="Z72" i="66"/>
  <c r="R73" i="66"/>
  <c r="T73" i="66"/>
  <c r="Z73" i="66"/>
  <c r="AI65" i="66"/>
  <c r="AI68" i="66"/>
  <c r="AF65" i="66"/>
  <c r="AF68" i="66"/>
  <c r="AH70" i="66"/>
  <c r="AE65" i="66"/>
  <c r="AE66" i="66"/>
  <c r="AE67" i="66"/>
  <c r="AE68" i="66"/>
  <c r="AE69" i="66"/>
  <c r="AE70" i="66"/>
  <c r="AB68" i="66"/>
  <c r="AB69" i="66"/>
  <c r="L65" i="66"/>
  <c r="M65" i="66"/>
  <c r="N65" i="66"/>
  <c r="L66" i="66"/>
  <c r="M66" i="66"/>
  <c r="N66" i="66"/>
  <c r="L67" i="66"/>
  <c r="M67" i="66"/>
  <c r="N67" i="66"/>
  <c r="L68" i="66"/>
  <c r="M68" i="66"/>
  <c r="N68" i="66"/>
  <c r="L69" i="66"/>
  <c r="M69" i="66"/>
  <c r="N69" i="66"/>
  <c r="L70" i="66"/>
  <c r="M70" i="66"/>
  <c r="N70" i="66"/>
  <c r="L71" i="66"/>
  <c r="M71" i="66"/>
  <c r="N71" i="66"/>
  <c r="I65" i="66"/>
  <c r="J65" i="66"/>
  <c r="I66" i="66"/>
  <c r="J66" i="66"/>
  <c r="I67" i="66"/>
  <c r="J67" i="66"/>
  <c r="I68" i="66"/>
  <c r="J68" i="66"/>
  <c r="I69" i="66"/>
  <c r="J69" i="66"/>
  <c r="I70" i="66"/>
  <c r="J70" i="66"/>
  <c r="I71" i="66"/>
  <c r="J71" i="66"/>
  <c r="AG63" i="66"/>
  <c r="AH64" i="66" s="1"/>
  <c r="AD63" i="66"/>
  <c r="AE64" i="66" s="1"/>
  <c r="O63" i="66"/>
  <c r="O64" i="66" s="1"/>
  <c r="P63" i="66"/>
  <c r="P64" i="66" s="1"/>
  <c r="Q63" i="66"/>
  <c r="R63" i="66"/>
  <c r="S63" i="66"/>
  <c r="S64" i="66" s="1"/>
  <c r="T63" i="66"/>
  <c r="T64" i="66" s="1"/>
  <c r="U63" i="66"/>
  <c r="U64" i="66" s="1"/>
  <c r="V63" i="66"/>
  <c r="V64" i="66" s="1"/>
  <c r="W63" i="66"/>
  <c r="W64" i="66" s="1"/>
  <c r="X63" i="66"/>
  <c r="X64" i="66" s="1"/>
  <c r="Y63" i="66"/>
  <c r="Y64" i="66" s="1"/>
  <c r="Z63" i="66"/>
  <c r="Z64" i="66" s="1"/>
  <c r="Q64" i="66"/>
  <c r="R64" i="66"/>
  <c r="AI55" i="66"/>
  <c r="AI60" i="66"/>
  <c r="AF55" i="66"/>
  <c r="AF60" i="66"/>
  <c r="AF61" i="66"/>
  <c r="AH61" i="66"/>
  <c r="AE61" i="66"/>
  <c r="AB61" i="66"/>
  <c r="AB57" i="66"/>
  <c r="AB58" i="66"/>
  <c r="L55" i="66"/>
  <c r="M55" i="66"/>
  <c r="N55" i="66"/>
  <c r="L56" i="66"/>
  <c r="M56" i="66"/>
  <c r="N56" i="66"/>
  <c r="L57" i="66"/>
  <c r="M57" i="66"/>
  <c r="N57" i="66"/>
  <c r="L58" i="66"/>
  <c r="M58" i="66"/>
  <c r="N58" i="66"/>
  <c r="L59" i="66"/>
  <c r="M59" i="66"/>
  <c r="N59" i="66"/>
  <c r="L60" i="66"/>
  <c r="M60" i="66"/>
  <c r="N60" i="66"/>
  <c r="L61" i="66"/>
  <c r="M61" i="66"/>
  <c r="N61" i="66"/>
  <c r="L62" i="66"/>
  <c r="M62" i="66"/>
  <c r="N62" i="66"/>
  <c r="I55" i="66"/>
  <c r="J55" i="66"/>
  <c r="I56" i="66"/>
  <c r="J56" i="66"/>
  <c r="I57" i="66"/>
  <c r="J57" i="66"/>
  <c r="I58" i="66"/>
  <c r="J58" i="66"/>
  <c r="I59" i="66"/>
  <c r="J59" i="66"/>
  <c r="I60" i="66"/>
  <c r="J60" i="66"/>
  <c r="I61" i="66"/>
  <c r="J61" i="66"/>
  <c r="I62" i="66"/>
  <c r="J62" i="66"/>
  <c r="AG53" i="66"/>
  <c r="AH54" i="66" s="1"/>
  <c r="AD53" i="66"/>
  <c r="AE54" i="66" s="1"/>
  <c r="O53" i="66"/>
  <c r="O54" i="66" s="1"/>
  <c r="P53" i="66"/>
  <c r="P54" i="66" s="1"/>
  <c r="Q53" i="66"/>
  <c r="Q54" i="66" s="1"/>
  <c r="R53" i="66"/>
  <c r="S53" i="66"/>
  <c r="T53" i="66"/>
  <c r="T54" i="66" s="1"/>
  <c r="U53" i="66"/>
  <c r="V53" i="66"/>
  <c r="V54" i="66" s="1"/>
  <c r="W53" i="66"/>
  <c r="W54" i="66" s="1"/>
  <c r="X53" i="66"/>
  <c r="X54" i="66" s="1"/>
  <c r="Y53" i="66"/>
  <c r="Y54" i="66" s="1"/>
  <c r="Z53" i="66"/>
  <c r="R54" i="66"/>
  <c r="S54" i="66"/>
  <c r="U54" i="66"/>
  <c r="Z54" i="66"/>
  <c r="AI46" i="66"/>
  <c r="AI49" i="66"/>
  <c r="AI50" i="66"/>
  <c r="AF46" i="66"/>
  <c r="AF49" i="66"/>
  <c r="AF50" i="66"/>
  <c r="AF51" i="66"/>
  <c r="AH51" i="66"/>
  <c r="AE51" i="66"/>
  <c r="AH48" i="66"/>
  <c r="AE45" i="66"/>
  <c r="AE46" i="66"/>
  <c r="AE47" i="66"/>
  <c r="AE48" i="66"/>
  <c r="AE49" i="66"/>
  <c r="L45" i="66"/>
  <c r="M45" i="66"/>
  <c r="N45" i="66"/>
  <c r="L46" i="66"/>
  <c r="M46" i="66"/>
  <c r="N46" i="66"/>
  <c r="L47" i="66"/>
  <c r="M47" i="66"/>
  <c r="N47" i="66"/>
  <c r="L48" i="66"/>
  <c r="M48" i="66"/>
  <c r="N48" i="66"/>
  <c r="L49" i="66"/>
  <c r="M49" i="66"/>
  <c r="N49" i="66"/>
  <c r="L50" i="66"/>
  <c r="M50" i="66"/>
  <c r="N50" i="66"/>
  <c r="L51" i="66"/>
  <c r="M51" i="66"/>
  <c r="N51" i="66"/>
  <c r="L52" i="66"/>
  <c r="M52" i="66"/>
  <c r="N52" i="66"/>
  <c r="I45" i="66"/>
  <c r="J45" i="66"/>
  <c r="I46" i="66"/>
  <c r="J46" i="66"/>
  <c r="I47" i="66"/>
  <c r="J47" i="66"/>
  <c r="I48" i="66"/>
  <c r="J48" i="66"/>
  <c r="I49" i="66"/>
  <c r="J49" i="66"/>
  <c r="I50" i="66"/>
  <c r="J50" i="66"/>
  <c r="I51" i="66"/>
  <c r="J51" i="66"/>
  <c r="I52" i="66"/>
  <c r="J52" i="66"/>
  <c r="AG43" i="66"/>
  <c r="AH44" i="66" s="1"/>
  <c r="AD43" i="66"/>
  <c r="AE44" i="66" s="1"/>
  <c r="O43" i="66"/>
  <c r="O44" i="66" s="1"/>
  <c r="P43" i="66"/>
  <c r="P44" i="66" s="1"/>
  <c r="Q43" i="66"/>
  <c r="Q44" i="66" s="1"/>
  <c r="R43" i="66"/>
  <c r="R44" i="66" s="1"/>
  <c r="S43" i="66"/>
  <c r="T43" i="66"/>
  <c r="U43" i="66"/>
  <c r="V43" i="66"/>
  <c r="W43" i="66"/>
  <c r="W44" i="66" s="1"/>
  <c r="X43" i="66"/>
  <c r="X44" i="66" s="1"/>
  <c r="Y43" i="66"/>
  <c r="Y44" i="66" s="1"/>
  <c r="Z43" i="66"/>
  <c r="Z44" i="66" s="1"/>
  <c r="S44" i="66"/>
  <c r="T44" i="66"/>
  <c r="U44" i="66"/>
  <c r="V44" i="66"/>
  <c r="AI35" i="66"/>
  <c r="AI36" i="66"/>
  <c r="AI38" i="66"/>
  <c r="AI39" i="66"/>
  <c r="AI41" i="66"/>
  <c r="AF35" i="66"/>
  <c r="AF36" i="66"/>
  <c r="AF38" i="66"/>
  <c r="AF39" i="66"/>
  <c r="AF41" i="66"/>
  <c r="AH41" i="66"/>
  <c r="AE41" i="66"/>
  <c r="AH35" i="66"/>
  <c r="AH37" i="66"/>
  <c r="AH38" i="66"/>
  <c r="AE35" i="66"/>
  <c r="AE36" i="66"/>
  <c r="AE37" i="66"/>
  <c r="AE38" i="66"/>
  <c r="AE39" i="66"/>
  <c r="AB36" i="66"/>
  <c r="AB38" i="66"/>
  <c r="L35" i="66"/>
  <c r="M35" i="66"/>
  <c r="N35" i="66"/>
  <c r="L36" i="66"/>
  <c r="M36" i="66"/>
  <c r="N36" i="66"/>
  <c r="L37" i="66"/>
  <c r="M37" i="66"/>
  <c r="N37" i="66"/>
  <c r="L38" i="66"/>
  <c r="M38" i="66"/>
  <c r="N38" i="66"/>
  <c r="L39" i="66"/>
  <c r="M39" i="66"/>
  <c r="N39" i="66"/>
  <c r="L40" i="66"/>
  <c r="M40" i="66"/>
  <c r="N40" i="66"/>
  <c r="L41" i="66"/>
  <c r="M41" i="66"/>
  <c r="N41" i="66"/>
  <c r="L42" i="66"/>
  <c r="M42" i="66"/>
  <c r="N42" i="66"/>
  <c r="I35" i="66"/>
  <c r="J35" i="66"/>
  <c r="I36" i="66"/>
  <c r="J36" i="66"/>
  <c r="I37" i="66"/>
  <c r="J37" i="66"/>
  <c r="I38" i="66"/>
  <c r="J38" i="66"/>
  <c r="I39" i="66"/>
  <c r="J39" i="66"/>
  <c r="I40" i="66"/>
  <c r="J40" i="66"/>
  <c r="I41" i="66"/>
  <c r="J41" i="66"/>
  <c r="I42" i="66"/>
  <c r="J42" i="66"/>
  <c r="AG32" i="66"/>
  <c r="AD32" i="66"/>
  <c r="O32" i="66"/>
  <c r="P32" i="66"/>
  <c r="Q32" i="66"/>
  <c r="R32" i="66"/>
  <c r="S32" i="66"/>
  <c r="T32" i="66"/>
  <c r="U32" i="66"/>
  <c r="V32" i="66"/>
  <c r="W32" i="66"/>
  <c r="X32" i="66"/>
  <c r="Y32" i="66"/>
  <c r="Z32" i="66"/>
  <c r="AG31" i="66"/>
  <c r="AD31" i="66"/>
  <c r="O31" i="66"/>
  <c r="P31" i="66"/>
  <c r="Q31" i="66"/>
  <c r="R31" i="66"/>
  <c r="S31" i="66"/>
  <c r="T31" i="66"/>
  <c r="U31" i="66"/>
  <c r="V31" i="66"/>
  <c r="W31" i="66"/>
  <c r="X31" i="66"/>
  <c r="Y31" i="66"/>
  <c r="Z31" i="66"/>
  <c r="AA31" i="66"/>
  <c r="N26" i="66"/>
  <c r="N27" i="66"/>
  <c r="N28" i="66"/>
  <c r="N29" i="66"/>
  <c r="B23" i="66"/>
  <c r="AG16" i="66"/>
  <c r="AG19" i="66"/>
  <c r="AH116" i="66" s="1"/>
  <c r="AG20" i="66"/>
  <c r="AH84" i="66" s="1"/>
  <c r="AD19" i="66"/>
  <c r="AE109" i="66" s="1"/>
  <c r="AD20" i="66"/>
  <c r="AE84" i="66" s="1"/>
  <c r="G19" i="66"/>
  <c r="G20" i="66"/>
  <c r="N19" i="66"/>
  <c r="O19" i="66"/>
  <c r="P19" i="66"/>
  <c r="Q19" i="66"/>
  <c r="R19" i="66"/>
  <c r="S19" i="66"/>
  <c r="T19" i="66"/>
  <c r="U19" i="66"/>
  <c r="V19" i="66"/>
  <c r="W19" i="66"/>
  <c r="X19" i="66"/>
  <c r="Y19" i="66"/>
  <c r="Z19" i="66"/>
  <c r="N20" i="66"/>
  <c r="O20" i="66"/>
  <c r="P20" i="66"/>
  <c r="Q20" i="66"/>
  <c r="R20" i="66"/>
  <c r="S20" i="66"/>
  <c r="T20" i="66"/>
  <c r="U20" i="66"/>
  <c r="V20" i="66"/>
  <c r="W20" i="66"/>
  <c r="X20" i="66"/>
  <c r="Y20" i="66"/>
  <c r="Z20" i="66"/>
  <c r="B17" i="66"/>
  <c r="B18" i="66"/>
  <c r="B19" i="66"/>
  <c r="O16" i="66"/>
  <c r="P16" i="66"/>
  <c r="Q16" i="66"/>
  <c r="R16" i="66"/>
  <c r="S16" i="66"/>
  <c r="T16" i="66"/>
  <c r="U16" i="66"/>
  <c r="V16" i="66"/>
  <c r="W16" i="66"/>
  <c r="X16" i="66"/>
  <c r="Y16" i="66"/>
  <c r="O17" i="66"/>
  <c r="P17" i="66"/>
  <c r="Q17" i="66"/>
  <c r="R17" i="66"/>
  <c r="S17" i="66"/>
  <c r="T17" i="66"/>
  <c r="U17" i="66"/>
  <c r="V17" i="66"/>
  <c r="W17" i="66"/>
  <c r="X17" i="66"/>
  <c r="Y17" i="66"/>
  <c r="Z17" i="66"/>
  <c r="AA17" i="66" s="1"/>
  <c r="AA11" i="66" s="1"/>
  <c r="AA18" i="66" s="1"/>
  <c r="A14" i="66"/>
  <c r="AG12" i="66"/>
  <c r="AG13" i="66"/>
  <c r="AD12" i="66"/>
  <c r="AD13" i="66"/>
  <c r="B12" i="66"/>
  <c r="B13" i="66"/>
  <c r="O11" i="66"/>
  <c r="P11" i="66"/>
  <c r="Q11" i="66"/>
  <c r="R11" i="66"/>
  <c r="S11" i="66"/>
  <c r="T11" i="66"/>
  <c r="U11" i="66"/>
  <c r="V11" i="66"/>
  <c r="W11" i="66"/>
  <c r="X11" i="66"/>
  <c r="Y11" i="66"/>
  <c r="Z11" i="66"/>
  <c r="O12" i="66"/>
  <c r="P12" i="66"/>
  <c r="Q12" i="66"/>
  <c r="R12" i="66"/>
  <c r="S12" i="66"/>
  <c r="T12" i="66"/>
  <c r="U12" i="66"/>
  <c r="V12" i="66"/>
  <c r="W12" i="66"/>
  <c r="X12" i="66"/>
  <c r="Y12" i="66"/>
  <c r="Z12" i="66"/>
  <c r="AA12" i="66"/>
  <c r="O13" i="66"/>
  <c r="P13" i="66"/>
  <c r="Q13" i="66"/>
  <c r="R13" i="66"/>
  <c r="S13" i="66"/>
  <c r="T13" i="66"/>
  <c r="U13" i="66"/>
  <c r="V13" i="66"/>
  <c r="W13" i="66"/>
  <c r="X13" i="66"/>
  <c r="Y13" i="66"/>
  <c r="Z13" i="66"/>
  <c r="AA13" i="66"/>
  <c r="C10" i="66"/>
  <c r="D10" i="66"/>
  <c r="C9" i="66"/>
  <c r="C1" i="66"/>
  <c r="C2" i="66"/>
  <c r="C3" i="66"/>
  <c r="C4" i="66"/>
  <c r="C5" i="66"/>
  <c r="C6" i="66"/>
  <c r="C7" i="66"/>
  <c r="C8" i="66"/>
  <c r="E6" i="66"/>
  <c r="E4" i="66"/>
  <c r="F4" i="66"/>
  <c r="B3" i="66"/>
  <c r="B120" i="65"/>
  <c r="AG110" i="65"/>
  <c r="AG111" i="65"/>
  <c r="AG112" i="65"/>
  <c r="AG113" i="65"/>
  <c r="AG114" i="65"/>
  <c r="AG115" i="65"/>
  <c r="AG116" i="65"/>
  <c r="AG117" i="65"/>
  <c r="AG118" i="65"/>
  <c r="AD110" i="65"/>
  <c r="AD111" i="65"/>
  <c r="AD112" i="65"/>
  <c r="AD113" i="65"/>
  <c r="AD114" i="65"/>
  <c r="AD115" i="65"/>
  <c r="AD116" i="65"/>
  <c r="AD117" i="65"/>
  <c r="AD118" i="65"/>
  <c r="N116" i="65"/>
  <c r="B114" i="65"/>
  <c r="B115" i="65"/>
  <c r="B116" i="65"/>
  <c r="N113" i="65"/>
  <c r="A111" i="65"/>
  <c r="O110" i="65"/>
  <c r="P110" i="65"/>
  <c r="Q110" i="65"/>
  <c r="R110" i="65"/>
  <c r="S110" i="65"/>
  <c r="T110" i="65"/>
  <c r="U110" i="65"/>
  <c r="V110" i="65"/>
  <c r="W110" i="65"/>
  <c r="X110" i="65"/>
  <c r="Y110" i="65"/>
  <c r="Z110" i="65"/>
  <c r="AA110" i="65"/>
  <c r="O111" i="65"/>
  <c r="P111" i="65"/>
  <c r="Q111" i="65"/>
  <c r="R111" i="65"/>
  <c r="S111" i="65"/>
  <c r="T111" i="65"/>
  <c r="U111" i="65"/>
  <c r="V111" i="65"/>
  <c r="W111" i="65"/>
  <c r="X111" i="65"/>
  <c r="Y111" i="65"/>
  <c r="Z111" i="65"/>
  <c r="AA111" i="65"/>
  <c r="O112" i="65"/>
  <c r="P112" i="65"/>
  <c r="Q112" i="65"/>
  <c r="R112" i="65"/>
  <c r="S112" i="65"/>
  <c r="T112" i="65"/>
  <c r="U112" i="65"/>
  <c r="V112" i="65"/>
  <c r="W112" i="65"/>
  <c r="X112" i="65"/>
  <c r="Y112" i="65"/>
  <c r="Z112" i="65"/>
  <c r="AA112" i="65"/>
  <c r="O113" i="65"/>
  <c r="P113" i="65"/>
  <c r="Q113" i="65"/>
  <c r="R113" i="65"/>
  <c r="S113" i="65"/>
  <c r="T113" i="65"/>
  <c r="U113" i="65"/>
  <c r="V113" i="65"/>
  <c r="W113" i="65"/>
  <c r="X113" i="65"/>
  <c r="Y113" i="65"/>
  <c r="Z113" i="65"/>
  <c r="AA113" i="65"/>
  <c r="O114" i="65"/>
  <c r="P114" i="65"/>
  <c r="Q114" i="65"/>
  <c r="R114" i="65"/>
  <c r="S114" i="65"/>
  <c r="T114" i="65"/>
  <c r="U114" i="65"/>
  <c r="V114" i="65"/>
  <c r="W114" i="65"/>
  <c r="X114" i="65"/>
  <c r="Y114" i="65"/>
  <c r="Z114" i="65"/>
  <c r="AA114" i="65"/>
  <c r="O115" i="65"/>
  <c r="P115" i="65"/>
  <c r="Q115" i="65"/>
  <c r="R115" i="65"/>
  <c r="S115" i="65"/>
  <c r="T115" i="65"/>
  <c r="U115" i="65"/>
  <c r="V115" i="65"/>
  <c r="W115" i="65"/>
  <c r="X115" i="65"/>
  <c r="Y115" i="65"/>
  <c r="Z115" i="65"/>
  <c r="AA115" i="65"/>
  <c r="O116" i="65"/>
  <c r="P116" i="65"/>
  <c r="Q116" i="65"/>
  <c r="R116" i="65"/>
  <c r="S116" i="65"/>
  <c r="T116" i="65"/>
  <c r="U116" i="65"/>
  <c r="V116" i="65"/>
  <c r="W116" i="65"/>
  <c r="X116" i="65"/>
  <c r="Y116" i="65"/>
  <c r="Z116" i="65"/>
  <c r="AA116" i="65"/>
  <c r="O117" i="65"/>
  <c r="P117" i="65"/>
  <c r="Q117" i="65"/>
  <c r="R117" i="65"/>
  <c r="S117" i="65"/>
  <c r="T117" i="65"/>
  <c r="U117" i="65"/>
  <c r="V117" i="65"/>
  <c r="W117" i="65"/>
  <c r="X117" i="65"/>
  <c r="Y117" i="65"/>
  <c r="Z117" i="65"/>
  <c r="AA117" i="65"/>
  <c r="O118" i="65"/>
  <c r="P118" i="65"/>
  <c r="Q118" i="65"/>
  <c r="R118" i="65"/>
  <c r="S118" i="65"/>
  <c r="T118" i="65"/>
  <c r="U118" i="65"/>
  <c r="V118" i="65"/>
  <c r="W118" i="65"/>
  <c r="X118" i="65"/>
  <c r="Y118" i="65"/>
  <c r="Z118" i="65"/>
  <c r="AA118" i="65"/>
  <c r="N110" i="65"/>
  <c r="I110" i="65"/>
  <c r="J110" i="65"/>
  <c r="I111" i="65"/>
  <c r="J111" i="65"/>
  <c r="I112" i="65"/>
  <c r="J112" i="65"/>
  <c r="I113" i="65"/>
  <c r="J113" i="65"/>
  <c r="I114" i="65"/>
  <c r="J114" i="65"/>
  <c r="I115" i="65"/>
  <c r="J115" i="65"/>
  <c r="I116" i="65"/>
  <c r="J116" i="65"/>
  <c r="I117" i="65"/>
  <c r="J117" i="65"/>
  <c r="I118" i="65"/>
  <c r="J118" i="65"/>
  <c r="AG105" i="65"/>
  <c r="AD105" i="65"/>
  <c r="O105" i="65"/>
  <c r="P105" i="65"/>
  <c r="Q105" i="65"/>
  <c r="R105" i="65"/>
  <c r="S105" i="65"/>
  <c r="T105" i="65"/>
  <c r="U105" i="65"/>
  <c r="V105" i="65"/>
  <c r="W105" i="65"/>
  <c r="X105" i="65"/>
  <c r="Y105" i="65"/>
  <c r="Z105" i="65"/>
  <c r="N102" i="65"/>
  <c r="N105" i="65" s="1"/>
  <c r="N103" i="65"/>
  <c r="N106" i="65" s="1"/>
  <c r="I102" i="65"/>
  <c r="AA102" i="65" s="1"/>
  <c r="J102" i="65"/>
  <c r="I103" i="65"/>
  <c r="AA103" i="65" s="1"/>
  <c r="AI103" i="65" s="1"/>
  <c r="J103" i="65"/>
  <c r="N90" i="65"/>
  <c r="N91" i="65"/>
  <c r="N92" i="65"/>
  <c r="N93" i="65"/>
  <c r="N94" i="65"/>
  <c r="N95" i="65"/>
  <c r="N96" i="65"/>
  <c r="N97" i="65"/>
  <c r="N98" i="65"/>
  <c r="N99" i="65"/>
  <c r="N100" i="65"/>
  <c r="I100" i="65"/>
  <c r="J100" i="65"/>
  <c r="AH91" i="65"/>
  <c r="AI93" i="65"/>
  <c r="AH97" i="65"/>
  <c r="AH98" i="65"/>
  <c r="AE91" i="65"/>
  <c r="AE92" i="65"/>
  <c r="AE93" i="65"/>
  <c r="AE94" i="65"/>
  <c r="AE95" i="65"/>
  <c r="AE96" i="65"/>
  <c r="AE97" i="65"/>
  <c r="AE98" i="65"/>
  <c r="AA92" i="65"/>
  <c r="AI92" i="65" s="1"/>
  <c r="AA93" i="65"/>
  <c r="AA100" i="65"/>
  <c r="AI100" i="65" s="1"/>
  <c r="I91" i="65"/>
  <c r="K91" i="65" s="1"/>
  <c r="J91" i="65"/>
  <c r="L91" i="65"/>
  <c r="M91" i="65"/>
  <c r="I92" i="65"/>
  <c r="J92" i="65"/>
  <c r="K92" i="65"/>
  <c r="L92" i="65"/>
  <c r="M92" i="65"/>
  <c r="I93" i="65"/>
  <c r="J93" i="65"/>
  <c r="L93" i="65"/>
  <c r="M93" i="65"/>
  <c r="I94" i="65"/>
  <c r="J94" i="65"/>
  <c r="L94" i="65"/>
  <c r="M94" i="65"/>
  <c r="I95" i="65"/>
  <c r="AA95" i="65" s="1"/>
  <c r="J95" i="65"/>
  <c r="K95" i="65"/>
  <c r="L95" i="65"/>
  <c r="M95" i="65"/>
  <c r="I96" i="65"/>
  <c r="K96" i="65" s="1"/>
  <c r="J96" i="65"/>
  <c r="L96" i="65"/>
  <c r="M96" i="65"/>
  <c r="I97" i="65"/>
  <c r="AA97" i="65" s="1"/>
  <c r="J97" i="65"/>
  <c r="L97" i="65"/>
  <c r="M97" i="65"/>
  <c r="I98" i="65"/>
  <c r="AA98" i="65" s="1"/>
  <c r="J98" i="65"/>
  <c r="L98" i="65"/>
  <c r="M98" i="65"/>
  <c r="I99" i="65"/>
  <c r="J99" i="65"/>
  <c r="L99" i="65"/>
  <c r="M99" i="65"/>
  <c r="I90" i="65"/>
  <c r="J90" i="65"/>
  <c r="B88" i="65"/>
  <c r="B89" i="65"/>
  <c r="B83" i="65"/>
  <c r="B84" i="65"/>
  <c r="B85" i="65"/>
  <c r="A80" i="65"/>
  <c r="AH74" i="65"/>
  <c r="AH75" i="65"/>
  <c r="AH76" i="65"/>
  <c r="AI79" i="65"/>
  <c r="AE74" i="65"/>
  <c r="AE75" i="65"/>
  <c r="AE76" i="65"/>
  <c r="AE77" i="65"/>
  <c r="AE78" i="65"/>
  <c r="AE79" i="65"/>
  <c r="AE80" i="65"/>
  <c r="AE82" i="65"/>
  <c r="AE84" i="65"/>
  <c r="AE85" i="65"/>
  <c r="AE86" i="65"/>
  <c r="AE87" i="65"/>
  <c r="AA79" i="65"/>
  <c r="AF79" i="65" s="1"/>
  <c r="AB79" i="65"/>
  <c r="AA87" i="65"/>
  <c r="AI87" i="65" s="1"/>
  <c r="I74" i="65"/>
  <c r="AA74" i="65" s="1"/>
  <c r="J74" i="65"/>
  <c r="L74" i="65"/>
  <c r="M74" i="65"/>
  <c r="N74" i="65"/>
  <c r="I75" i="65"/>
  <c r="K75" i="65" s="1"/>
  <c r="J75" i="65"/>
  <c r="L75" i="65"/>
  <c r="M75" i="65"/>
  <c r="N75" i="65"/>
  <c r="I76" i="65"/>
  <c r="AA76" i="65" s="1"/>
  <c r="J76" i="65"/>
  <c r="L76" i="65"/>
  <c r="M76" i="65"/>
  <c r="N76" i="65"/>
  <c r="I77" i="65"/>
  <c r="AA77" i="65" s="1"/>
  <c r="J77" i="65"/>
  <c r="L77" i="65"/>
  <c r="M77" i="65"/>
  <c r="N77" i="65"/>
  <c r="I78" i="65"/>
  <c r="AA78" i="65" s="1"/>
  <c r="J78" i="65"/>
  <c r="L78" i="65"/>
  <c r="M78" i="65"/>
  <c r="N78" i="65"/>
  <c r="I79" i="65"/>
  <c r="K79" i="65" s="1"/>
  <c r="J79" i="65"/>
  <c r="L79" i="65"/>
  <c r="M79" i="65"/>
  <c r="N79" i="65"/>
  <c r="I80" i="65"/>
  <c r="AA80" i="65" s="1"/>
  <c r="J80" i="65"/>
  <c r="L80" i="65"/>
  <c r="M80" i="65"/>
  <c r="N80" i="65"/>
  <c r="I81" i="65"/>
  <c r="AA81" i="65" s="1"/>
  <c r="J81" i="65"/>
  <c r="K81" i="65"/>
  <c r="L81" i="65"/>
  <c r="M81" i="65"/>
  <c r="N81" i="65"/>
  <c r="I82" i="65"/>
  <c r="AA82" i="65" s="1"/>
  <c r="J82" i="65"/>
  <c r="L82" i="65"/>
  <c r="M82" i="65"/>
  <c r="N82" i="65"/>
  <c r="I83" i="65"/>
  <c r="K83" i="65" s="1"/>
  <c r="J83" i="65"/>
  <c r="L83" i="65"/>
  <c r="M83" i="65"/>
  <c r="N83" i="65"/>
  <c r="I84" i="65"/>
  <c r="AA84" i="65" s="1"/>
  <c r="J84" i="65"/>
  <c r="L84" i="65"/>
  <c r="M84" i="65"/>
  <c r="N84" i="65"/>
  <c r="I85" i="65"/>
  <c r="AA85" i="65" s="1"/>
  <c r="J85" i="65"/>
  <c r="K85" i="65"/>
  <c r="L85" i="65"/>
  <c r="M85" i="65"/>
  <c r="N85" i="65"/>
  <c r="I86" i="65"/>
  <c r="AA86" i="65" s="1"/>
  <c r="J86" i="65"/>
  <c r="L86" i="65"/>
  <c r="M86" i="65"/>
  <c r="N86" i="65"/>
  <c r="I87" i="65"/>
  <c r="K87" i="65" s="1"/>
  <c r="J87" i="65"/>
  <c r="L87" i="65"/>
  <c r="M87" i="65"/>
  <c r="N87" i="65"/>
  <c r="I88" i="65"/>
  <c r="AA88" i="65" s="1"/>
  <c r="J88" i="65"/>
  <c r="L88" i="65"/>
  <c r="M88" i="65"/>
  <c r="N88" i="65"/>
  <c r="N72" i="65"/>
  <c r="N73" i="65"/>
  <c r="I72" i="65"/>
  <c r="J72" i="65"/>
  <c r="I73" i="65"/>
  <c r="J73" i="65"/>
  <c r="AD70" i="65"/>
  <c r="AD106" i="65" s="1"/>
  <c r="AG70" i="65"/>
  <c r="AG106" i="65" s="1"/>
  <c r="N70" i="65"/>
  <c r="O70" i="65"/>
  <c r="AB70" i="65" s="1"/>
  <c r="P70" i="65"/>
  <c r="P106" i="65" s="1"/>
  <c r="Q70" i="65"/>
  <c r="Q106" i="65" s="1"/>
  <c r="R70" i="65"/>
  <c r="R106" i="65" s="1"/>
  <c r="S70" i="65"/>
  <c r="S106" i="65" s="1"/>
  <c r="T70" i="65"/>
  <c r="T106" i="65" s="1"/>
  <c r="U70" i="65"/>
  <c r="U106" i="65" s="1"/>
  <c r="V70" i="65"/>
  <c r="V106" i="65" s="1"/>
  <c r="W70" i="65"/>
  <c r="W106" i="65" s="1"/>
  <c r="X70" i="65"/>
  <c r="X106" i="65" s="1"/>
  <c r="Y70" i="65"/>
  <c r="Y106" i="65" s="1"/>
  <c r="Z70" i="65"/>
  <c r="Z106" i="65" s="1"/>
  <c r="AB60" i="65"/>
  <c r="AB61" i="65"/>
  <c r="AM61" i="65" s="1"/>
  <c r="AB62" i="65"/>
  <c r="AB63" i="65"/>
  <c r="AM63" i="65" s="1"/>
  <c r="AB64" i="65"/>
  <c r="AM64" i="65" s="1"/>
  <c r="AB65" i="65"/>
  <c r="AB66" i="65"/>
  <c r="AB67" i="65"/>
  <c r="AN67" i="65" s="1"/>
  <c r="AB68" i="65"/>
  <c r="AN68" i="65" s="1"/>
  <c r="AB69" i="65"/>
  <c r="N58" i="65"/>
  <c r="N59" i="65"/>
  <c r="N60" i="65"/>
  <c r="N61" i="65"/>
  <c r="N62" i="65"/>
  <c r="N63" i="65"/>
  <c r="N64" i="65"/>
  <c r="N65" i="65"/>
  <c r="N66" i="65"/>
  <c r="N67" i="65"/>
  <c r="N68" i="65"/>
  <c r="N69" i="65"/>
  <c r="I69" i="65"/>
  <c r="K69" i="65" s="1"/>
  <c r="J69" i="65"/>
  <c r="I70" i="65"/>
  <c r="K70" i="65" s="1"/>
  <c r="J70" i="65"/>
  <c r="AA60" i="65"/>
  <c r="AI60" i="65" s="1"/>
  <c r="AA66" i="65"/>
  <c r="AI66" i="65" s="1"/>
  <c r="AH60" i="65"/>
  <c r="AN60" i="65"/>
  <c r="AH61" i="65"/>
  <c r="AH62" i="65"/>
  <c r="AH63" i="65"/>
  <c r="AH64" i="65"/>
  <c r="AH65" i="65"/>
  <c r="AL65" i="65"/>
  <c r="AH66" i="65"/>
  <c r="AN66" i="65" s="1"/>
  <c r="AH67" i="65"/>
  <c r="AH68" i="65"/>
  <c r="AM68" i="65"/>
  <c r="AH69" i="65"/>
  <c r="AI69" i="65"/>
  <c r="AE60" i="65"/>
  <c r="AM60" i="65" s="1"/>
  <c r="AE61" i="65"/>
  <c r="AE62" i="65"/>
  <c r="AE63" i="65"/>
  <c r="AE64" i="65"/>
  <c r="AE65" i="65"/>
  <c r="AE66" i="65"/>
  <c r="AM66" i="65" s="1"/>
  <c r="AE67" i="65"/>
  <c r="AM67" i="65" s="1"/>
  <c r="AE68" i="65"/>
  <c r="AE69" i="65"/>
  <c r="AF69" i="65"/>
  <c r="I60" i="65"/>
  <c r="J60" i="65"/>
  <c r="K60" i="65"/>
  <c r="L60" i="65"/>
  <c r="M60" i="65"/>
  <c r="I61" i="65"/>
  <c r="J61" i="65"/>
  <c r="L61" i="65"/>
  <c r="M61" i="65"/>
  <c r="I62" i="65"/>
  <c r="AA62" i="65" s="1"/>
  <c r="J62" i="65"/>
  <c r="L62" i="65"/>
  <c r="M62" i="65"/>
  <c r="I63" i="65"/>
  <c r="AA63" i="65" s="1"/>
  <c r="J63" i="65"/>
  <c r="L63" i="65"/>
  <c r="M63" i="65"/>
  <c r="I64" i="65"/>
  <c r="K64" i="65" s="1"/>
  <c r="J64" i="65"/>
  <c r="L64" i="65"/>
  <c r="M64" i="65"/>
  <c r="I65" i="65"/>
  <c r="AA65" i="65" s="1"/>
  <c r="J65" i="65"/>
  <c r="L65" i="65"/>
  <c r="M65" i="65"/>
  <c r="I66" i="65"/>
  <c r="K66" i="65" s="1"/>
  <c r="J66" i="65"/>
  <c r="L66" i="65"/>
  <c r="M66" i="65"/>
  <c r="I67" i="65"/>
  <c r="J67" i="65"/>
  <c r="L67" i="65"/>
  <c r="M67" i="65"/>
  <c r="I68" i="65"/>
  <c r="AA68" i="65" s="1"/>
  <c r="J68" i="65"/>
  <c r="L68" i="65"/>
  <c r="M68" i="65"/>
  <c r="I58" i="65"/>
  <c r="J58" i="65"/>
  <c r="I59" i="65"/>
  <c r="J59" i="65"/>
  <c r="B55" i="65"/>
  <c r="B56" i="65"/>
  <c r="B50" i="65"/>
  <c r="B51" i="65"/>
  <c r="B52" i="65"/>
  <c r="A47" i="65"/>
  <c r="AH41" i="65"/>
  <c r="AH47" i="65"/>
  <c r="AH49" i="65"/>
  <c r="AL49" i="65"/>
  <c r="AH54" i="65"/>
  <c r="AI54" i="65"/>
  <c r="AE35" i="65"/>
  <c r="AE36" i="65"/>
  <c r="AE38" i="65"/>
  <c r="AE39" i="65"/>
  <c r="AE41" i="65"/>
  <c r="AE42" i="65"/>
  <c r="AE43" i="65"/>
  <c r="AE44" i="65"/>
  <c r="AE45" i="65"/>
  <c r="AE47" i="65"/>
  <c r="AE48" i="65"/>
  <c r="AE49" i="65"/>
  <c r="AE53" i="65"/>
  <c r="AE54" i="65"/>
  <c r="AE56" i="65"/>
  <c r="AA39" i="65"/>
  <c r="AA43" i="65"/>
  <c r="AA55" i="65"/>
  <c r="I35" i="65"/>
  <c r="AA35" i="65" s="1"/>
  <c r="J35" i="65"/>
  <c r="L35" i="65"/>
  <c r="M35" i="65"/>
  <c r="N35" i="65"/>
  <c r="I36" i="65"/>
  <c r="AA36" i="65" s="1"/>
  <c r="J36" i="65"/>
  <c r="L36" i="65"/>
  <c r="M36" i="65"/>
  <c r="N36" i="65"/>
  <c r="I37" i="65"/>
  <c r="J37" i="65"/>
  <c r="L37" i="65"/>
  <c r="M37" i="65"/>
  <c r="N37" i="65"/>
  <c r="I38" i="65"/>
  <c r="AA38" i="65" s="1"/>
  <c r="AI38" i="65" s="1"/>
  <c r="J38" i="65"/>
  <c r="L38" i="65"/>
  <c r="M38" i="65"/>
  <c r="N38" i="65"/>
  <c r="I39" i="65"/>
  <c r="J39" i="65"/>
  <c r="K39" i="65"/>
  <c r="L39" i="65"/>
  <c r="M39" i="65"/>
  <c r="N39" i="65"/>
  <c r="I40" i="65"/>
  <c r="AA40" i="65" s="1"/>
  <c r="J40" i="65"/>
  <c r="L40" i="65"/>
  <c r="M40" i="65"/>
  <c r="N40" i="65"/>
  <c r="I41" i="65"/>
  <c r="J41" i="65"/>
  <c r="L41" i="65"/>
  <c r="M41" i="65"/>
  <c r="N41" i="65"/>
  <c r="I42" i="65"/>
  <c r="AA42" i="65" s="1"/>
  <c r="J42" i="65"/>
  <c r="K42" i="65"/>
  <c r="L42" i="65"/>
  <c r="M42" i="65"/>
  <c r="N42" i="65"/>
  <c r="I43" i="65"/>
  <c r="K43" i="65" s="1"/>
  <c r="J43" i="65"/>
  <c r="L43" i="65"/>
  <c r="M43" i="65"/>
  <c r="N43" i="65"/>
  <c r="I44" i="65"/>
  <c r="AA44" i="65" s="1"/>
  <c r="J44" i="65"/>
  <c r="L44" i="65"/>
  <c r="M44" i="65"/>
  <c r="N44" i="65"/>
  <c r="I45" i="65"/>
  <c r="J45" i="65"/>
  <c r="L45" i="65"/>
  <c r="M45" i="65"/>
  <c r="N45" i="65"/>
  <c r="I46" i="65"/>
  <c r="J46" i="65"/>
  <c r="L46" i="65"/>
  <c r="M46" i="65"/>
  <c r="N46" i="65"/>
  <c r="I47" i="65"/>
  <c r="AA47" i="65" s="1"/>
  <c r="J47" i="65"/>
  <c r="K47" i="65"/>
  <c r="L47" i="65"/>
  <c r="M47" i="65"/>
  <c r="N47" i="65"/>
  <c r="I48" i="65"/>
  <c r="AA48" i="65" s="1"/>
  <c r="J48" i="65"/>
  <c r="L48" i="65"/>
  <c r="M48" i="65"/>
  <c r="N48" i="65"/>
  <c r="I49" i="65"/>
  <c r="J49" i="65"/>
  <c r="L49" i="65"/>
  <c r="M49" i="65"/>
  <c r="N49" i="65"/>
  <c r="I50" i="65"/>
  <c r="AA50" i="65" s="1"/>
  <c r="J50" i="65"/>
  <c r="K50" i="65"/>
  <c r="L50" i="65"/>
  <c r="M50" i="65"/>
  <c r="N50" i="65"/>
  <c r="I51" i="65"/>
  <c r="AA51" i="65" s="1"/>
  <c r="J51" i="65"/>
  <c r="L51" i="65"/>
  <c r="M51" i="65"/>
  <c r="N51" i="65"/>
  <c r="I52" i="65"/>
  <c r="AA52" i="65" s="1"/>
  <c r="J52" i="65"/>
  <c r="L52" i="65"/>
  <c r="M52" i="65"/>
  <c r="N52" i="65"/>
  <c r="I53" i="65"/>
  <c r="J53" i="65"/>
  <c r="L53" i="65"/>
  <c r="M53" i="65"/>
  <c r="N53" i="65"/>
  <c r="I54" i="65"/>
  <c r="AA54" i="65" s="1"/>
  <c r="J54" i="65"/>
  <c r="L54" i="65"/>
  <c r="M54" i="65"/>
  <c r="N54" i="65"/>
  <c r="I55" i="65"/>
  <c r="J55" i="65"/>
  <c r="K55" i="65"/>
  <c r="L55" i="65"/>
  <c r="M55" i="65"/>
  <c r="N55" i="65"/>
  <c r="I56" i="65"/>
  <c r="AA56" i="65" s="1"/>
  <c r="J56" i="65"/>
  <c r="L56" i="65"/>
  <c r="M56" i="65"/>
  <c r="N56" i="65"/>
  <c r="N33" i="65"/>
  <c r="N34" i="65"/>
  <c r="I33" i="65"/>
  <c r="J33" i="65"/>
  <c r="I34" i="65"/>
  <c r="J34" i="65"/>
  <c r="AK32" i="65"/>
  <c r="AG32" i="65"/>
  <c r="AL32" i="65" s="1"/>
  <c r="AD32" i="65"/>
  <c r="O32" i="65"/>
  <c r="P32" i="65"/>
  <c r="Q32" i="65"/>
  <c r="R32" i="65"/>
  <c r="S32" i="65"/>
  <c r="T32" i="65"/>
  <c r="U32" i="65"/>
  <c r="V32" i="65"/>
  <c r="W32" i="65"/>
  <c r="X32" i="65"/>
  <c r="Y32" i="65"/>
  <c r="Z32" i="65"/>
  <c r="AJ32" i="65" s="1"/>
  <c r="AJ31" i="65"/>
  <c r="AK31" i="65"/>
  <c r="AM31" i="65" s="1"/>
  <c r="AL31" i="65"/>
  <c r="AN31" i="65" s="1"/>
  <c r="AG31" i="65"/>
  <c r="AD31" i="65"/>
  <c r="O31" i="65"/>
  <c r="P31" i="65"/>
  <c r="Q31" i="65"/>
  <c r="R31" i="65"/>
  <c r="S31" i="65"/>
  <c r="T31" i="65"/>
  <c r="U31" i="65"/>
  <c r="V31" i="65"/>
  <c r="W31" i="65"/>
  <c r="X31" i="65"/>
  <c r="Y31" i="65"/>
  <c r="Z31" i="65"/>
  <c r="AA31" i="65"/>
  <c r="N26" i="65"/>
  <c r="N27" i="65"/>
  <c r="N28" i="65"/>
  <c r="N29" i="65"/>
  <c r="B22" i="65"/>
  <c r="B23" i="65"/>
  <c r="AG16" i="65"/>
  <c r="AG19" i="65"/>
  <c r="AH92" i="65" s="1"/>
  <c r="AG20" i="65"/>
  <c r="AL96" i="65" s="1"/>
  <c r="AD19" i="65"/>
  <c r="AE102" i="65" s="1"/>
  <c r="AD20" i="65"/>
  <c r="G19" i="65"/>
  <c r="G20" i="65"/>
  <c r="N19" i="65"/>
  <c r="O19" i="65"/>
  <c r="P19" i="65"/>
  <c r="Q19" i="65"/>
  <c r="R19" i="65"/>
  <c r="S19" i="65"/>
  <c r="T19" i="65"/>
  <c r="U19" i="65"/>
  <c r="V19" i="65"/>
  <c r="W19" i="65"/>
  <c r="X19" i="65"/>
  <c r="Y19" i="65"/>
  <c r="Z19" i="65"/>
  <c r="N20" i="65"/>
  <c r="O20" i="65"/>
  <c r="P20" i="65"/>
  <c r="Q20" i="65"/>
  <c r="R20" i="65"/>
  <c r="S20" i="65"/>
  <c r="T20" i="65"/>
  <c r="U20" i="65"/>
  <c r="V20" i="65"/>
  <c r="W20" i="65"/>
  <c r="X20" i="65"/>
  <c r="Y20" i="65"/>
  <c r="Z20" i="65"/>
  <c r="B17" i="65"/>
  <c r="B18" i="65"/>
  <c r="B19" i="65"/>
  <c r="O16" i="65"/>
  <c r="P16" i="65"/>
  <c r="Q16" i="65"/>
  <c r="R16" i="65"/>
  <c r="S16" i="65"/>
  <c r="T16" i="65"/>
  <c r="U16" i="65"/>
  <c r="V16" i="65"/>
  <c r="W16" i="65"/>
  <c r="X16" i="65"/>
  <c r="Y16" i="65"/>
  <c r="O17" i="65"/>
  <c r="P17" i="65"/>
  <c r="Q17" i="65"/>
  <c r="R17" i="65"/>
  <c r="S17" i="65"/>
  <c r="T17" i="65"/>
  <c r="U17" i="65"/>
  <c r="V17" i="65"/>
  <c r="W17" i="65"/>
  <c r="X17" i="65"/>
  <c r="Y17" i="65"/>
  <c r="Z17" i="65"/>
  <c r="AA17" i="65"/>
  <c r="AA11" i="65" s="1"/>
  <c r="A14" i="65"/>
  <c r="AG12" i="65"/>
  <c r="AG13" i="65"/>
  <c r="AD12" i="65"/>
  <c r="AD13" i="65"/>
  <c r="B12" i="65"/>
  <c r="B13" i="65"/>
  <c r="O11" i="65"/>
  <c r="P11" i="65"/>
  <c r="Q11" i="65"/>
  <c r="R11" i="65"/>
  <c r="S11" i="65"/>
  <c r="T11" i="65"/>
  <c r="U11" i="65"/>
  <c r="V11" i="65"/>
  <c r="W11" i="65"/>
  <c r="X11" i="65"/>
  <c r="Y11" i="65"/>
  <c r="Z11" i="65"/>
  <c r="O12" i="65"/>
  <c r="P12" i="65"/>
  <c r="Q12" i="65"/>
  <c r="R12" i="65"/>
  <c r="S12" i="65"/>
  <c r="T12" i="65"/>
  <c r="U12" i="65"/>
  <c r="V12" i="65"/>
  <c r="W12" i="65"/>
  <c r="X12" i="65"/>
  <c r="Y12" i="65"/>
  <c r="Z12" i="65"/>
  <c r="AA12" i="65"/>
  <c r="O13" i="65"/>
  <c r="P13" i="65"/>
  <c r="Q13" i="65"/>
  <c r="R13" i="65"/>
  <c r="S13" i="65"/>
  <c r="T13" i="65"/>
  <c r="U13" i="65"/>
  <c r="V13" i="65"/>
  <c r="W13" i="65"/>
  <c r="X13" i="65"/>
  <c r="Y13" i="65"/>
  <c r="Z13" i="65"/>
  <c r="AA13" i="65"/>
  <c r="C10" i="65"/>
  <c r="D10" i="65"/>
  <c r="C9" i="65"/>
  <c r="C1" i="65"/>
  <c r="C2" i="65"/>
  <c r="C3" i="65"/>
  <c r="C4" i="65"/>
  <c r="C5" i="65"/>
  <c r="C6" i="65"/>
  <c r="C7" i="65"/>
  <c r="C8" i="65"/>
  <c r="E6" i="65"/>
  <c r="E4" i="65"/>
  <c r="F4" i="65"/>
  <c r="B3" i="65"/>
  <c r="AG143" i="59"/>
  <c r="AG144" i="59"/>
  <c r="AG145" i="59"/>
  <c r="AG146" i="59"/>
  <c r="AD143" i="59"/>
  <c r="AD144" i="59"/>
  <c r="AD145" i="59"/>
  <c r="AD146" i="59"/>
  <c r="O143" i="59"/>
  <c r="P143" i="59"/>
  <c r="Q143" i="59"/>
  <c r="R143" i="59"/>
  <c r="S143" i="59"/>
  <c r="T143" i="59"/>
  <c r="U143" i="59"/>
  <c r="V143" i="59"/>
  <c r="W143" i="59"/>
  <c r="X143" i="59"/>
  <c r="Y143" i="59"/>
  <c r="Z143" i="59"/>
  <c r="O144" i="59"/>
  <c r="P144" i="59"/>
  <c r="Q144" i="59"/>
  <c r="R144" i="59"/>
  <c r="S144" i="59"/>
  <c r="T144" i="59"/>
  <c r="U144" i="59"/>
  <c r="V144" i="59"/>
  <c r="W144" i="59"/>
  <c r="X144" i="59"/>
  <c r="Y144" i="59"/>
  <c r="Z144" i="59"/>
  <c r="O145" i="59"/>
  <c r="P145" i="59"/>
  <c r="Q145" i="59"/>
  <c r="R145" i="59"/>
  <c r="S145" i="59"/>
  <c r="T145" i="59"/>
  <c r="U145" i="59"/>
  <c r="V145" i="59"/>
  <c r="W145" i="59"/>
  <c r="X145" i="59"/>
  <c r="Y145" i="59"/>
  <c r="Z145" i="59"/>
  <c r="O146" i="59"/>
  <c r="P146" i="59"/>
  <c r="Q146" i="59"/>
  <c r="R146" i="59"/>
  <c r="S146" i="59"/>
  <c r="T146" i="59"/>
  <c r="U146" i="59"/>
  <c r="V146" i="59"/>
  <c r="W146" i="59"/>
  <c r="X146" i="59"/>
  <c r="Y146" i="59"/>
  <c r="Z146" i="59"/>
  <c r="AI130" i="59"/>
  <c r="AI131" i="59"/>
  <c r="AI133" i="59"/>
  <c r="AI135" i="59"/>
  <c r="AI137" i="59"/>
  <c r="AI139" i="59"/>
  <c r="AG141" i="59"/>
  <c r="AD141" i="59"/>
  <c r="O141" i="59"/>
  <c r="P141" i="59"/>
  <c r="Q141" i="59"/>
  <c r="R141" i="59"/>
  <c r="S141" i="59"/>
  <c r="T141" i="59"/>
  <c r="U141" i="59"/>
  <c r="V141" i="59"/>
  <c r="W141" i="59"/>
  <c r="X141" i="59"/>
  <c r="Y141" i="59"/>
  <c r="Z141" i="59"/>
  <c r="AH140" i="59"/>
  <c r="AE140" i="59"/>
  <c r="AA140" i="59"/>
  <c r="AI140" i="59" s="1"/>
  <c r="AB140" i="59"/>
  <c r="AF130" i="59"/>
  <c r="AF131" i="59"/>
  <c r="AF133" i="59"/>
  <c r="AF135" i="59"/>
  <c r="AF137" i="59"/>
  <c r="AF139" i="59"/>
  <c r="AH138" i="59"/>
  <c r="AE138" i="59"/>
  <c r="AA138" i="59"/>
  <c r="AI138" i="59" s="1"/>
  <c r="AB138" i="59"/>
  <c r="AH136" i="59"/>
  <c r="AE136" i="59"/>
  <c r="AA136" i="59"/>
  <c r="AB136" i="59"/>
  <c r="AH134" i="59"/>
  <c r="AE134" i="59"/>
  <c r="AA134" i="59"/>
  <c r="AI134" i="59" s="1"/>
  <c r="AB134" i="59"/>
  <c r="AH132" i="59"/>
  <c r="AE132" i="59"/>
  <c r="AA132" i="59"/>
  <c r="AB132" i="59"/>
  <c r="AH130" i="59"/>
  <c r="AE130" i="59"/>
  <c r="AA130" i="59"/>
  <c r="AB130" i="59"/>
  <c r="L130" i="59"/>
  <c r="M130" i="59"/>
  <c r="N130" i="59"/>
  <c r="L131" i="59"/>
  <c r="M131" i="59"/>
  <c r="N131" i="59"/>
  <c r="L132" i="59"/>
  <c r="M132" i="59"/>
  <c r="N132" i="59"/>
  <c r="L133" i="59"/>
  <c r="M133" i="59"/>
  <c r="N133" i="59"/>
  <c r="L134" i="59"/>
  <c r="M134" i="59"/>
  <c r="N134" i="59"/>
  <c r="L135" i="59"/>
  <c r="M135" i="59"/>
  <c r="N135" i="59"/>
  <c r="L136" i="59"/>
  <c r="M136" i="59"/>
  <c r="N136" i="59"/>
  <c r="L137" i="59"/>
  <c r="M137" i="59"/>
  <c r="N137" i="59"/>
  <c r="L138" i="59"/>
  <c r="M138" i="59"/>
  <c r="N138" i="59"/>
  <c r="L139" i="59"/>
  <c r="M139" i="59"/>
  <c r="N139" i="59"/>
  <c r="L140" i="59"/>
  <c r="M140" i="59"/>
  <c r="N140" i="59"/>
  <c r="N129" i="59"/>
  <c r="AG121" i="59"/>
  <c r="AG122" i="59"/>
  <c r="AG123" i="59"/>
  <c r="AG124" i="59"/>
  <c r="AH124" i="59" s="1"/>
  <c r="AG125" i="59"/>
  <c r="AH125" i="59" s="1"/>
  <c r="AD121" i="59"/>
  <c r="AD122" i="59"/>
  <c r="AE122" i="59" s="1"/>
  <c r="AD123" i="59"/>
  <c r="AE123" i="59" s="1"/>
  <c r="AD124" i="59"/>
  <c r="AD125" i="59"/>
  <c r="AE125" i="59" s="1"/>
  <c r="AE121" i="59"/>
  <c r="AE124" i="59"/>
  <c r="L121" i="59"/>
  <c r="M121" i="59"/>
  <c r="N121" i="59"/>
  <c r="O121" i="59"/>
  <c r="P121" i="59"/>
  <c r="Q121" i="59"/>
  <c r="Q126" i="59" s="1"/>
  <c r="Q127" i="59" s="1"/>
  <c r="R121" i="59"/>
  <c r="S121" i="59"/>
  <c r="T121" i="59"/>
  <c r="U121" i="59"/>
  <c r="V121" i="59"/>
  <c r="W121" i="59"/>
  <c r="X121" i="59"/>
  <c r="Y121" i="59"/>
  <c r="Y126" i="59" s="1"/>
  <c r="Y127" i="59" s="1"/>
  <c r="Z121" i="59"/>
  <c r="Z126" i="59" s="1"/>
  <c r="Z127" i="59" s="1"/>
  <c r="L122" i="59"/>
  <c r="M122" i="59"/>
  <c r="N122" i="59"/>
  <c r="O122" i="59"/>
  <c r="P122" i="59"/>
  <c r="Q122" i="59"/>
  <c r="R122" i="59"/>
  <c r="R126" i="59" s="1"/>
  <c r="R127" i="59" s="1"/>
  <c r="S122" i="59"/>
  <c r="T122" i="59"/>
  <c r="U122" i="59"/>
  <c r="V122" i="59"/>
  <c r="W122" i="59"/>
  <c r="X122" i="59"/>
  <c r="Y122" i="59"/>
  <c r="Z122" i="59"/>
  <c r="L123" i="59"/>
  <c r="M123" i="59"/>
  <c r="N123" i="59"/>
  <c r="O123" i="59"/>
  <c r="P123" i="59"/>
  <c r="Q123" i="59"/>
  <c r="R123" i="59"/>
  <c r="S123" i="59"/>
  <c r="T123" i="59"/>
  <c r="U123" i="59"/>
  <c r="V123" i="59"/>
  <c r="W123" i="59"/>
  <c r="X123" i="59"/>
  <c r="Y123" i="59"/>
  <c r="Z123" i="59"/>
  <c r="L124" i="59"/>
  <c r="M124" i="59"/>
  <c r="N124" i="59"/>
  <c r="O124" i="59"/>
  <c r="P124" i="59"/>
  <c r="Q124" i="59"/>
  <c r="R124" i="59"/>
  <c r="S124" i="59"/>
  <c r="T124" i="59"/>
  <c r="U124" i="59"/>
  <c r="V124" i="59"/>
  <c r="W124" i="59"/>
  <c r="X124" i="59"/>
  <c r="Y124" i="59"/>
  <c r="Z124" i="59"/>
  <c r="L125" i="59"/>
  <c r="M125" i="59"/>
  <c r="N125" i="59"/>
  <c r="O125" i="59"/>
  <c r="P125" i="59"/>
  <c r="Q125" i="59"/>
  <c r="R125" i="59"/>
  <c r="S125" i="59"/>
  <c r="T125" i="59"/>
  <c r="U125" i="59"/>
  <c r="V125" i="59"/>
  <c r="W125" i="59"/>
  <c r="X125" i="59"/>
  <c r="Y125" i="59"/>
  <c r="Z125" i="59"/>
  <c r="L126" i="59"/>
  <c r="M126" i="59"/>
  <c r="N126" i="59"/>
  <c r="T126" i="59"/>
  <c r="T127" i="59" s="1"/>
  <c r="AH117" i="59"/>
  <c r="AI117" i="59"/>
  <c r="AH118" i="59"/>
  <c r="AI119" i="59"/>
  <c r="AE114" i="59"/>
  <c r="AE115" i="59"/>
  <c r="AE116" i="59"/>
  <c r="AE117" i="59"/>
  <c r="AE118" i="59"/>
  <c r="AF118" i="59"/>
  <c r="AE119" i="59"/>
  <c r="AA114" i="59"/>
  <c r="AI114" i="59" s="1"/>
  <c r="AA115" i="59"/>
  <c r="AI115" i="59" s="1"/>
  <c r="AA116" i="59"/>
  <c r="AF116" i="59" s="1"/>
  <c r="AA117" i="59"/>
  <c r="AF117" i="59" s="1"/>
  <c r="AB117" i="59"/>
  <c r="AA118" i="59"/>
  <c r="AI118" i="59" s="1"/>
  <c r="AA119" i="59"/>
  <c r="AF119" i="59" s="1"/>
  <c r="AB119" i="59"/>
  <c r="L114" i="59"/>
  <c r="M114" i="59"/>
  <c r="N114" i="59"/>
  <c r="L115" i="59"/>
  <c r="M115" i="59"/>
  <c r="N115" i="59"/>
  <c r="L116" i="59"/>
  <c r="M116" i="59"/>
  <c r="N116" i="59"/>
  <c r="L117" i="59"/>
  <c r="M117" i="59"/>
  <c r="N117" i="59"/>
  <c r="L118" i="59"/>
  <c r="M118" i="59"/>
  <c r="N118" i="59"/>
  <c r="L119" i="59"/>
  <c r="M119" i="59"/>
  <c r="N119" i="59"/>
  <c r="AH106" i="59"/>
  <c r="AI106" i="59"/>
  <c r="AI108" i="59"/>
  <c r="AH109" i="59"/>
  <c r="AH110" i="59"/>
  <c r="AE106" i="59"/>
  <c r="AE107" i="59"/>
  <c r="AE108" i="59"/>
  <c r="AE109" i="59"/>
  <c r="AE110" i="59"/>
  <c r="AE111" i="59"/>
  <c r="AF111" i="59"/>
  <c r="AA106" i="59"/>
  <c r="AF106" i="59" s="1"/>
  <c r="AB106" i="59"/>
  <c r="AA107" i="59"/>
  <c r="AA108" i="59"/>
  <c r="AF108" i="59" s="1"/>
  <c r="AB108" i="59"/>
  <c r="AA109" i="59"/>
  <c r="AF109" i="59" s="1"/>
  <c r="AA110" i="59"/>
  <c r="AF110" i="59" s="1"/>
  <c r="AA111" i="59"/>
  <c r="AI111" i="59" s="1"/>
  <c r="L106" i="59"/>
  <c r="M106" i="59"/>
  <c r="N106" i="59"/>
  <c r="L107" i="59"/>
  <c r="M107" i="59"/>
  <c r="N107" i="59"/>
  <c r="L108" i="59"/>
  <c r="M108" i="59"/>
  <c r="N108" i="59"/>
  <c r="L109" i="59"/>
  <c r="M109" i="59"/>
  <c r="N109" i="59"/>
  <c r="L110" i="59"/>
  <c r="M110" i="59"/>
  <c r="N110" i="59"/>
  <c r="L111" i="59"/>
  <c r="M111" i="59"/>
  <c r="N111" i="59"/>
  <c r="AI98" i="59"/>
  <c r="AH101" i="59"/>
  <c r="AI101" i="59"/>
  <c r="AH102" i="59"/>
  <c r="AI103" i="59"/>
  <c r="AE98" i="59"/>
  <c r="AE99" i="59"/>
  <c r="AE100" i="59"/>
  <c r="AE101" i="59"/>
  <c r="AE102" i="59"/>
  <c r="AE103" i="59"/>
  <c r="AA98" i="59"/>
  <c r="AF98" i="59" s="1"/>
  <c r="AB98" i="59"/>
  <c r="AA99" i="59"/>
  <c r="AF99" i="59" s="1"/>
  <c r="AA100" i="59"/>
  <c r="AI100" i="59" s="1"/>
  <c r="AA101" i="59"/>
  <c r="AF101" i="59" s="1"/>
  <c r="AB101" i="59"/>
  <c r="AA102" i="59"/>
  <c r="AA103" i="59"/>
  <c r="AB103" i="59"/>
  <c r="L98" i="59"/>
  <c r="M98" i="59"/>
  <c r="N98" i="59"/>
  <c r="L99" i="59"/>
  <c r="M99" i="59"/>
  <c r="N99" i="59"/>
  <c r="L100" i="59"/>
  <c r="M100" i="59"/>
  <c r="N100" i="59"/>
  <c r="L101" i="59"/>
  <c r="M101" i="59"/>
  <c r="N101" i="59"/>
  <c r="L102" i="59"/>
  <c r="M102" i="59"/>
  <c r="N102" i="59"/>
  <c r="L103" i="59"/>
  <c r="M103" i="59"/>
  <c r="N103" i="59"/>
  <c r="AD93" i="59"/>
  <c r="AD94" i="59"/>
  <c r="AG93" i="59"/>
  <c r="AG94" i="59"/>
  <c r="O93" i="59"/>
  <c r="P93" i="59"/>
  <c r="Q93" i="59"/>
  <c r="R93" i="59"/>
  <c r="S93" i="59"/>
  <c r="T93" i="59"/>
  <c r="U93" i="59"/>
  <c r="V93" i="59"/>
  <c r="W93" i="59"/>
  <c r="X93" i="59"/>
  <c r="Y93" i="59"/>
  <c r="Z93" i="59"/>
  <c r="O94" i="59"/>
  <c r="P94" i="59"/>
  <c r="Q94" i="59"/>
  <c r="R94" i="59"/>
  <c r="S94" i="59"/>
  <c r="T94" i="59"/>
  <c r="U94" i="59"/>
  <c r="V94" i="59"/>
  <c r="W94" i="59"/>
  <c r="X94" i="59"/>
  <c r="Y94" i="59"/>
  <c r="Z94" i="59"/>
  <c r="AF92" i="59"/>
  <c r="AA91" i="59"/>
  <c r="AI91" i="59" s="1"/>
  <c r="AA92" i="59"/>
  <c r="AI92" i="59" s="1"/>
  <c r="N91" i="59"/>
  <c r="N92" i="59"/>
  <c r="I91" i="59"/>
  <c r="J91" i="59"/>
  <c r="I92" i="59"/>
  <c r="J92" i="59"/>
  <c r="AF86" i="59"/>
  <c r="AA35" i="59"/>
  <c r="AA36" i="59"/>
  <c r="AA37" i="59"/>
  <c r="AF37" i="59" s="1"/>
  <c r="AA38" i="59"/>
  <c r="AA39" i="59"/>
  <c r="AA43" i="59" s="1"/>
  <c r="AA40" i="59"/>
  <c r="AI40" i="59" s="1"/>
  <c r="AA41" i="59"/>
  <c r="AF41" i="59" s="1"/>
  <c r="AA42" i="59"/>
  <c r="AA45" i="59"/>
  <c r="AA46" i="59"/>
  <c r="AA47" i="59"/>
  <c r="AB47" i="59" s="1"/>
  <c r="AA48" i="59"/>
  <c r="AF48" i="59" s="1"/>
  <c r="AA49" i="59"/>
  <c r="AA52" i="59" s="1"/>
  <c r="AA50" i="59"/>
  <c r="AA51" i="59"/>
  <c r="AB51" i="59" s="1"/>
  <c r="AA55" i="59"/>
  <c r="AA56" i="59"/>
  <c r="AA57" i="59"/>
  <c r="AA58" i="59"/>
  <c r="AB58" i="59" s="1"/>
  <c r="AA59" i="59"/>
  <c r="AA62" i="59" s="1"/>
  <c r="AA60" i="59"/>
  <c r="AI60" i="59" s="1"/>
  <c r="AA61" i="59"/>
  <c r="AA63" i="59"/>
  <c r="AA64" i="59"/>
  <c r="AA65" i="59"/>
  <c r="AA66" i="59"/>
  <c r="AI66" i="59" s="1"/>
  <c r="AA67" i="59"/>
  <c r="AI67" i="59" s="1"/>
  <c r="AA68" i="59"/>
  <c r="AB68" i="59" s="1"/>
  <c r="AA69" i="59"/>
  <c r="AB69" i="59" s="1"/>
  <c r="AA70" i="59"/>
  <c r="AA71" i="59"/>
  <c r="AB71" i="59" s="1"/>
  <c r="AA72" i="59"/>
  <c r="AI72" i="59" s="1"/>
  <c r="AA75" i="59"/>
  <c r="AB75" i="59" s="1"/>
  <c r="AA76" i="59"/>
  <c r="AA77" i="59"/>
  <c r="AF77" i="59" s="1"/>
  <c r="AA78" i="59"/>
  <c r="AA79" i="59"/>
  <c r="AF79" i="59" s="1"/>
  <c r="AA80" i="59"/>
  <c r="AA83" i="59"/>
  <c r="AB83" i="59" s="1"/>
  <c r="AA85" i="59"/>
  <c r="AA86" i="59"/>
  <c r="AI86" i="59" s="1"/>
  <c r="AA87" i="59"/>
  <c r="AE87" i="59"/>
  <c r="L85" i="59"/>
  <c r="L86" i="59"/>
  <c r="L87" i="59"/>
  <c r="AE83" i="59"/>
  <c r="AE85" i="59"/>
  <c r="M85" i="59"/>
  <c r="N85" i="59"/>
  <c r="N143" i="59" s="1"/>
  <c r="M86" i="59"/>
  <c r="N86" i="59"/>
  <c r="M87" i="59"/>
  <c r="N87" i="59"/>
  <c r="N144" i="59" s="1"/>
  <c r="M88" i="59"/>
  <c r="N88" i="59"/>
  <c r="N145" i="59" s="1"/>
  <c r="I85" i="59"/>
  <c r="J85" i="59"/>
  <c r="I86" i="59"/>
  <c r="J86" i="59"/>
  <c r="I87" i="59"/>
  <c r="J87" i="59"/>
  <c r="I88" i="59"/>
  <c r="J88" i="59"/>
  <c r="P84" i="59"/>
  <c r="Q84" i="59"/>
  <c r="X84" i="59"/>
  <c r="Y84" i="59"/>
  <c r="AI83" i="59"/>
  <c r="AF83" i="59"/>
  <c r="L83" i="59"/>
  <c r="M83" i="59"/>
  <c r="N83" i="59"/>
  <c r="I83" i="59"/>
  <c r="J83" i="59"/>
  <c r="AG82" i="59"/>
  <c r="AH84" i="59" s="1"/>
  <c r="AD82" i="59"/>
  <c r="AE84" i="59" s="1"/>
  <c r="O82" i="59"/>
  <c r="O84" i="59" s="1"/>
  <c r="P82" i="59"/>
  <c r="Q82" i="59"/>
  <c r="R82" i="59"/>
  <c r="R84" i="59" s="1"/>
  <c r="S82" i="59"/>
  <c r="S84" i="59" s="1"/>
  <c r="T82" i="59"/>
  <c r="T84" i="59" s="1"/>
  <c r="U82" i="59"/>
  <c r="U84" i="59" s="1"/>
  <c r="V82" i="59"/>
  <c r="V84" i="59" s="1"/>
  <c r="W82" i="59"/>
  <c r="W84" i="59" s="1"/>
  <c r="X82" i="59"/>
  <c r="Y82" i="59"/>
  <c r="Z82" i="59"/>
  <c r="Z84" i="59" s="1"/>
  <c r="AI75" i="59"/>
  <c r="AI76" i="59"/>
  <c r="AI78" i="59"/>
  <c r="AF75" i="59"/>
  <c r="AF76" i="59"/>
  <c r="AF78" i="59"/>
  <c r="AH75" i="59"/>
  <c r="AH76" i="59"/>
  <c r="AH77" i="59"/>
  <c r="AH78" i="59"/>
  <c r="AH79" i="59"/>
  <c r="AH80" i="59"/>
  <c r="AE75" i="59"/>
  <c r="AE76" i="59"/>
  <c r="AE77" i="59"/>
  <c r="AE78" i="59"/>
  <c r="AE79" i="59"/>
  <c r="AE80" i="59"/>
  <c r="AB76" i="59"/>
  <c r="AB78" i="59"/>
  <c r="L75" i="59"/>
  <c r="M75" i="59"/>
  <c r="N75" i="59"/>
  <c r="L76" i="59"/>
  <c r="M76" i="59"/>
  <c r="N76" i="59"/>
  <c r="L77" i="59"/>
  <c r="M77" i="59"/>
  <c r="N77" i="59"/>
  <c r="L78" i="59"/>
  <c r="M78" i="59"/>
  <c r="N78" i="59"/>
  <c r="L79" i="59"/>
  <c r="M79" i="59"/>
  <c r="N79" i="59"/>
  <c r="L80" i="59"/>
  <c r="M80" i="59"/>
  <c r="N80" i="59"/>
  <c r="L81" i="59"/>
  <c r="M81" i="59"/>
  <c r="N81" i="59"/>
  <c r="I75" i="59"/>
  <c r="J75" i="59"/>
  <c r="I76" i="59"/>
  <c r="J76" i="59"/>
  <c r="I77" i="59"/>
  <c r="J77" i="59"/>
  <c r="I78" i="59"/>
  <c r="J78" i="59"/>
  <c r="I79" i="59"/>
  <c r="J79" i="59"/>
  <c r="I80" i="59"/>
  <c r="J80" i="59"/>
  <c r="I81" i="59"/>
  <c r="J81" i="59"/>
  <c r="AG73" i="59"/>
  <c r="AH74" i="59" s="1"/>
  <c r="AD73" i="59"/>
  <c r="AE74" i="59" s="1"/>
  <c r="O73" i="59"/>
  <c r="O74" i="59" s="1"/>
  <c r="P73" i="59"/>
  <c r="P74" i="59" s="1"/>
  <c r="Q73" i="59"/>
  <c r="Q74" i="59" s="1"/>
  <c r="R73" i="59"/>
  <c r="R74" i="59" s="1"/>
  <c r="S73" i="59"/>
  <c r="T73" i="59"/>
  <c r="U73" i="59"/>
  <c r="U74" i="59" s="1"/>
  <c r="V73" i="59"/>
  <c r="V74" i="59" s="1"/>
  <c r="W73" i="59"/>
  <c r="W74" i="59" s="1"/>
  <c r="X73" i="59"/>
  <c r="X74" i="59" s="1"/>
  <c r="Y73" i="59"/>
  <c r="Y74" i="59" s="1"/>
  <c r="Z73" i="59"/>
  <c r="Z74" i="59" s="1"/>
  <c r="S74" i="59"/>
  <c r="T74" i="59"/>
  <c r="AI65" i="59"/>
  <c r="AI68" i="59"/>
  <c r="AI70" i="59"/>
  <c r="AI71" i="59"/>
  <c r="AF65" i="59"/>
  <c r="AF67" i="59"/>
  <c r="AF68" i="59"/>
  <c r="AF69" i="59"/>
  <c r="AF70" i="59"/>
  <c r="AF71" i="59"/>
  <c r="AH71" i="59"/>
  <c r="AE71" i="59"/>
  <c r="AH65" i="59"/>
  <c r="AH66" i="59"/>
  <c r="AH67" i="59"/>
  <c r="AH68" i="59"/>
  <c r="AH69" i="59"/>
  <c r="AE64" i="59"/>
  <c r="AE65" i="59"/>
  <c r="AE66" i="59"/>
  <c r="AE67" i="59"/>
  <c r="AE68" i="59"/>
  <c r="AE69" i="59"/>
  <c r="AB65" i="59"/>
  <c r="AB66" i="59"/>
  <c r="AB67" i="59"/>
  <c r="L65" i="59"/>
  <c r="M65" i="59"/>
  <c r="N65" i="59"/>
  <c r="L66" i="59"/>
  <c r="M66" i="59"/>
  <c r="N66" i="59"/>
  <c r="L67" i="59"/>
  <c r="M67" i="59"/>
  <c r="N67" i="59"/>
  <c r="L68" i="59"/>
  <c r="M68" i="59"/>
  <c r="N68" i="59"/>
  <c r="L69" i="59"/>
  <c r="M69" i="59"/>
  <c r="N69" i="59"/>
  <c r="L70" i="59"/>
  <c r="M70" i="59"/>
  <c r="N70" i="59"/>
  <c r="L71" i="59"/>
  <c r="M71" i="59"/>
  <c r="N71" i="59"/>
  <c r="L72" i="59"/>
  <c r="M72" i="59"/>
  <c r="N72" i="59"/>
  <c r="I65" i="59"/>
  <c r="J65" i="59"/>
  <c r="I66" i="59"/>
  <c r="J66" i="59"/>
  <c r="I67" i="59"/>
  <c r="J67" i="59"/>
  <c r="I68" i="59"/>
  <c r="J68" i="59"/>
  <c r="I69" i="59"/>
  <c r="J69" i="59"/>
  <c r="I70" i="59"/>
  <c r="J70" i="59"/>
  <c r="I71" i="59"/>
  <c r="J71" i="59"/>
  <c r="I72" i="59"/>
  <c r="J72" i="59"/>
  <c r="AG63" i="59"/>
  <c r="AH64" i="59" s="1"/>
  <c r="AD63" i="59"/>
  <c r="O63" i="59"/>
  <c r="O64" i="59" s="1"/>
  <c r="P63" i="59"/>
  <c r="P64" i="59" s="1"/>
  <c r="Q63" i="59"/>
  <c r="Q64" i="59" s="1"/>
  <c r="R63" i="59"/>
  <c r="R64" i="59" s="1"/>
  <c r="S63" i="59"/>
  <c r="S64" i="59" s="1"/>
  <c r="T63" i="59"/>
  <c r="T64" i="59" s="1"/>
  <c r="U63" i="59"/>
  <c r="U64" i="59" s="1"/>
  <c r="V63" i="59"/>
  <c r="W63" i="59"/>
  <c r="W64" i="59" s="1"/>
  <c r="X63" i="59"/>
  <c r="X64" i="59" s="1"/>
  <c r="Y63" i="59"/>
  <c r="Y64" i="59" s="1"/>
  <c r="Z63" i="59"/>
  <c r="Z64" i="59" s="1"/>
  <c r="V64" i="59"/>
  <c r="AI56" i="59"/>
  <c r="AI57" i="59"/>
  <c r="AI58" i="59"/>
  <c r="AI61" i="59"/>
  <c r="AI62" i="59"/>
  <c r="AF56" i="59"/>
  <c r="AF57" i="59"/>
  <c r="AF58" i="59"/>
  <c r="AF61" i="59"/>
  <c r="AF62" i="59"/>
  <c r="AH61" i="59"/>
  <c r="AE61" i="59"/>
  <c r="AB61" i="59"/>
  <c r="AH54" i="59"/>
  <c r="AE55" i="59"/>
  <c r="AE56" i="59"/>
  <c r="AE57" i="59"/>
  <c r="AE58" i="59"/>
  <c r="AE59" i="59"/>
  <c r="AB56" i="59"/>
  <c r="AB57" i="59"/>
  <c r="AB59" i="59"/>
  <c r="L55" i="59"/>
  <c r="M55" i="59"/>
  <c r="N55" i="59"/>
  <c r="L56" i="59"/>
  <c r="M56" i="59"/>
  <c r="N56" i="59"/>
  <c r="L57" i="59"/>
  <c r="M57" i="59"/>
  <c r="N57" i="59"/>
  <c r="L58" i="59"/>
  <c r="M58" i="59"/>
  <c r="N58" i="59"/>
  <c r="L59" i="59"/>
  <c r="M59" i="59"/>
  <c r="N59" i="59"/>
  <c r="L60" i="59"/>
  <c r="M60" i="59"/>
  <c r="N60" i="59"/>
  <c r="L61" i="59"/>
  <c r="M61" i="59"/>
  <c r="N61" i="59"/>
  <c r="L62" i="59"/>
  <c r="M62" i="59"/>
  <c r="N62" i="59"/>
  <c r="I55" i="59"/>
  <c r="J55" i="59"/>
  <c r="I56" i="59"/>
  <c r="J56" i="59"/>
  <c r="I57" i="59"/>
  <c r="J57" i="59"/>
  <c r="I58" i="59"/>
  <c r="J58" i="59"/>
  <c r="I59" i="59"/>
  <c r="J59" i="59"/>
  <c r="I60" i="59"/>
  <c r="J60" i="59"/>
  <c r="I61" i="59"/>
  <c r="J61" i="59"/>
  <c r="I62" i="59"/>
  <c r="J62" i="59"/>
  <c r="AG53" i="59"/>
  <c r="AD53" i="59"/>
  <c r="AE54" i="59" s="1"/>
  <c r="O53" i="59"/>
  <c r="O54" i="59" s="1"/>
  <c r="P53" i="59"/>
  <c r="Q53" i="59"/>
  <c r="Q54" i="59" s="1"/>
  <c r="R53" i="59"/>
  <c r="R54" i="59" s="1"/>
  <c r="S53" i="59"/>
  <c r="S54" i="59" s="1"/>
  <c r="T53" i="59"/>
  <c r="T54" i="59" s="1"/>
  <c r="U53" i="59"/>
  <c r="V53" i="59"/>
  <c r="W53" i="59"/>
  <c r="X53" i="59"/>
  <c r="Y53" i="59"/>
  <c r="Y54" i="59" s="1"/>
  <c r="Z53" i="59"/>
  <c r="Z54" i="59" s="1"/>
  <c r="P54" i="59"/>
  <c r="U54" i="59"/>
  <c r="V54" i="59"/>
  <c r="W54" i="59"/>
  <c r="X54" i="59"/>
  <c r="AI45" i="59"/>
  <c r="AI46" i="59"/>
  <c r="AI48" i="59"/>
  <c r="AI51" i="59"/>
  <c r="AF45" i="59"/>
  <c r="AF46" i="59"/>
  <c r="AF47" i="59"/>
  <c r="AF51" i="59"/>
  <c r="AH51" i="59"/>
  <c r="AE51" i="59"/>
  <c r="AH45" i="59"/>
  <c r="AH49" i="59"/>
  <c r="AE45" i="59"/>
  <c r="AE46" i="59"/>
  <c r="AE47" i="59"/>
  <c r="AE48" i="59"/>
  <c r="AE49" i="59"/>
  <c r="AB45" i="59"/>
  <c r="AB46" i="59"/>
  <c r="AB49" i="59"/>
  <c r="L45" i="59"/>
  <c r="M45" i="59"/>
  <c r="N45" i="59"/>
  <c r="L46" i="59"/>
  <c r="M46" i="59"/>
  <c r="N46" i="59"/>
  <c r="L47" i="59"/>
  <c r="M47" i="59"/>
  <c r="N47" i="59"/>
  <c r="L48" i="59"/>
  <c r="M48" i="59"/>
  <c r="N48" i="59"/>
  <c r="L49" i="59"/>
  <c r="M49" i="59"/>
  <c r="N49" i="59"/>
  <c r="L50" i="59"/>
  <c r="M50" i="59"/>
  <c r="N50" i="59"/>
  <c r="L51" i="59"/>
  <c r="M51" i="59"/>
  <c r="N51" i="59"/>
  <c r="L52" i="59"/>
  <c r="M52" i="59"/>
  <c r="N52" i="59"/>
  <c r="I45" i="59"/>
  <c r="J45" i="59"/>
  <c r="I46" i="59"/>
  <c r="J46" i="59"/>
  <c r="I47" i="59"/>
  <c r="J47" i="59"/>
  <c r="I48" i="59"/>
  <c r="J48" i="59"/>
  <c r="I49" i="59"/>
  <c r="J49" i="59"/>
  <c r="I50" i="59"/>
  <c r="J50" i="59"/>
  <c r="I51" i="59"/>
  <c r="J51" i="59"/>
  <c r="I52" i="59"/>
  <c r="J52" i="59"/>
  <c r="AG43" i="59"/>
  <c r="AH44" i="59" s="1"/>
  <c r="AD43" i="59"/>
  <c r="AE44" i="59" s="1"/>
  <c r="O43" i="59"/>
  <c r="O44" i="59" s="1"/>
  <c r="P43" i="59"/>
  <c r="Q43" i="59"/>
  <c r="Q44" i="59" s="1"/>
  <c r="R43" i="59"/>
  <c r="R44" i="59" s="1"/>
  <c r="S43" i="59"/>
  <c r="S44" i="59" s="1"/>
  <c r="T43" i="59"/>
  <c r="T44" i="59" s="1"/>
  <c r="U43" i="59"/>
  <c r="U44" i="59" s="1"/>
  <c r="V43" i="59"/>
  <c r="W43" i="59"/>
  <c r="X43" i="59"/>
  <c r="Y43" i="59"/>
  <c r="Y44" i="59" s="1"/>
  <c r="Z43" i="59"/>
  <c r="Z44" i="59" s="1"/>
  <c r="P44" i="59"/>
  <c r="V44" i="59"/>
  <c r="W44" i="59"/>
  <c r="X44" i="59"/>
  <c r="AI35" i="59"/>
  <c r="AI36" i="59"/>
  <c r="AI38" i="59"/>
  <c r="AI41" i="59"/>
  <c r="AF35" i="59"/>
  <c r="AF36" i="59"/>
  <c r="AF38" i="59"/>
  <c r="AF39" i="59"/>
  <c r="AH41" i="59"/>
  <c r="AE41" i="59"/>
  <c r="AB41" i="59"/>
  <c r="AH37" i="59"/>
  <c r="AE35" i="59"/>
  <c r="AE36" i="59"/>
  <c r="AE37" i="59"/>
  <c r="AE38" i="59"/>
  <c r="AE39" i="59"/>
  <c r="AB35" i="59"/>
  <c r="AB36" i="59"/>
  <c r="AB37" i="59"/>
  <c r="AB38" i="59"/>
  <c r="AB39" i="59"/>
  <c r="L35" i="59"/>
  <c r="M35" i="59"/>
  <c r="N35" i="59"/>
  <c r="L36" i="59"/>
  <c r="M36" i="59"/>
  <c r="N36" i="59"/>
  <c r="L37" i="59"/>
  <c r="M37" i="59"/>
  <c r="N37" i="59"/>
  <c r="L38" i="59"/>
  <c r="M38" i="59"/>
  <c r="N38" i="59"/>
  <c r="L39" i="59"/>
  <c r="M39" i="59"/>
  <c r="N39" i="59"/>
  <c r="L40" i="59"/>
  <c r="M40" i="59"/>
  <c r="N40" i="59"/>
  <c r="L41" i="59"/>
  <c r="M41" i="59"/>
  <c r="N41" i="59"/>
  <c r="L42" i="59"/>
  <c r="M42" i="59"/>
  <c r="N42" i="59"/>
  <c r="I35" i="59"/>
  <c r="J35" i="59"/>
  <c r="I36" i="59"/>
  <c r="J36" i="59"/>
  <c r="I37" i="59"/>
  <c r="J37" i="59"/>
  <c r="I38" i="59"/>
  <c r="J38" i="59"/>
  <c r="I39" i="59"/>
  <c r="J39" i="59"/>
  <c r="I40" i="59"/>
  <c r="J40" i="59"/>
  <c r="I41" i="59"/>
  <c r="J41" i="59"/>
  <c r="I42" i="59"/>
  <c r="J42" i="59"/>
  <c r="AG32" i="59"/>
  <c r="AD32" i="59"/>
  <c r="O32" i="59"/>
  <c r="P32" i="59"/>
  <c r="Q32" i="59"/>
  <c r="R32" i="59"/>
  <c r="S32" i="59"/>
  <c r="T32" i="59"/>
  <c r="U32" i="59"/>
  <c r="V32" i="59"/>
  <c r="W32" i="59"/>
  <c r="X32" i="59"/>
  <c r="Y32" i="59"/>
  <c r="Z32" i="59"/>
  <c r="AG31" i="59"/>
  <c r="AD31" i="59"/>
  <c r="O31" i="59"/>
  <c r="P31" i="59"/>
  <c r="Q31" i="59"/>
  <c r="R31" i="59"/>
  <c r="S31" i="59"/>
  <c r="T31" i="59"/>
  <c r="U31" i="59"/>
  <c r="V31" i="59"/>
  <c r="W31" i="59"/>
  <c r="X31" i="59"/>
  <c r="Y31" i="59"/>
  <c r="Z31" i="59"/>
  <c r="AA31" i="59"/>
  <c r="N26" i="59"/>
  <c r="N27" i="59"/>
  <c r="N28" i="59"/>
  <c r="N29" i="59"/>
  <c r="B23" i="59"/>
  <c r="AG16" i="59"/>
  <c r="AG19" i="59"/>
  <c r="AH58" i="59" s="1"/>
  <c r="AG20" i="59"/>
  <c r="AH87" i="59" s="1"/>
  <c r="AD19" i="59"/>
  <c r="AD20" i="59"/>
  <c r="G19" i="59"/>
  <c r="G20" i="59"/>
  <c r="N19" i="59"/>
  <c r="O19" i="59"/>
  <c r="P19" i="59"/>
  <c r="Q19" i="59"/>
  <c r="R19" i="59"/>
  <c r="S19" i="59"/>
  <c r="T19" i="59"/>
  <c r="U19" i="59"/>
  <c r="V19" i="59"/>
  <c r="W19" i="59"/>
  <c r="X19" i="59"/>
  <c r="Y19" i="59"/>
  <c r="Z19" i="59"/>
  <c r="N20" i="59"/>
  <c r="O20" i="59"/>
  <c r="P20" i="59"/>
  <c r="Q20" i="59"/>
  <c r="R20" i="59"/>
  <c r="S20" i="59"/>
  <c r="T20" i="59"/>
  <c r="U20" i="59"/>
  <c r="V20" i="59"/>
  <c r="W20" i="59"/>
  <c r="X20" i="59"/>
  <c r="Y20" i="59"/>
  <c r="Z20" i="59"/>
  <c r="B17" i="59"/>
  <c r="B18" i="59"/>
  <c r="B19" i="59"/>
  <c r="O16" i="59"/>
  <c r="P16" i="59"/>
  <c r="Q16" i="59"/>
  <c r="R16" i="59"/>
  <c r="S16" i="59"/>
  <c r="T16" i="59"/>
  <c r="U16" i="59"/>
  <c r="V16" i="59"/>
  <c r="W16" i="59"/>
  <c r="X16" i="59"/>
  <c r="Y16" i="59"/>
  <c r="O17" i="59"/>
  <c r="P17" i="59"/>
  <c r="Q17" i="59"/>
  <c r="R17" i="59"/>
  <c r="S17" i="59"/>
  <c r="T17" i="59"/>
  <c r="U17" i="59"/>
  <c r="V17" i="59"/>
  <c r="W17" i="59"/>
  <c r="X17" i="59"/>
  <c r="Y17" i="59"/>
  <c r="Z17" i="59"/>
  <c r="AA17" i="59" s="1"/>
  <c r="AA11" i="59" s="1"/>
  <c r="AA18" i="59" s="1"/>
  <c r="A14" i="59"/>
  <c r="AG12" i="59"/>
  <c r="AG13" i="59"/>
  <c r="AD12" i="59"/>
  <c r="AD13" i="59"/>
  <c r="B12" i="59"/>
  <c r="B13" i="59"/>
  <c r="O11" i="59"/>
  <c r="P11" i="59"/>
  <c r="Q11" i="59"/>
  <c r="R11" i="59"/>
  <c r="S11" i="59"/>
  <c r="T11" i="59"/>
  <c r="U11" i="59"/>
  <c r="V11" i="59"/>
  <c r="W11" i="59"/>
  <c r="X11" i="59"/>
  <c r="Y11" i="59"/>
  <c r="Z11" i="59"/>
  <c r="O12" i="59"/>
  <c r="P12" i="59"/>
  <c r="Q12" i="59"/>
  <c r="R12" i="59"/>
  <c r="S12" i="59"/>
  <c r="T12" i="59"/>
  <c r="U12" i="59"/>
  <c r="V12" i="59"/>
  <c r="W12" i="59"/>
  <c r="X12" i="59"/>
  <c r="Y12" i="59"/>
  <c r="Z12" i="59"/>
  <c r="AA12" i="59"/>
  <c r="O13" i="59"/>
  <c r="P13" i="59"/>
  <c r="Q13" i="59"/>
  <c r="R13" i="59"/>
  <c r="S13" i="59"/>
  <c r="T13" i="59"/>
  <c r="U13" i="59"/>
  <c r="V13" i="59"/>
  <c r="W13" i="59"/>
  <c r="X13" i="59"/>
  <c r="Y13" i="59"/>
  <c r="Z13" i="59"/>
  <c r="AA13" i="59"/>
  <c r="C10" i="59"/>
  <c r="D10" i="59"/>
  <c r="AA16" i="59" s="1"/>
  <c r="C9" i="59"/>
  <c r="C1" i="59"/>
  <c r="C2" i="59"/>
  <c r="C3" i="59"/>
  <c r="C4" i="59"/>
  <c r="C5" i="59"/>
  <c r="C6" i="59"/>
  <c r="C7" i="59"/>
  <c r="C8" i="59"/>
  <c r="E6" i="59"/>
  <c r="E4" i="59"/>
  <c r="F4" i="59"/>
  <c r="B3" i="59"/>
  <c r="B120" i="11"/>
  <c r="B114" i="11"/>
  <c r="B115" i="11"/>
  <c r="B116" i="11"/>
  <c r="A111" i="11"/>
  <c r="AG89" i="11"/>
  <c r="AD89" i="11"/>
  <c r="O89" i="11"/>
  <c r="P89" i="11"/>
  <c r="Q89" i="11"/>
  <c r="R89" i="11"/>
  <c r="S89" i="11"/>
  <c r="T89" i="11"/>
  <c r="U89" i="11"/>
  <c r="V89" i="11"/>
  <c r="W89" i="11"/>
  <c r="X89" i="11"/>
  <c r="Y89" i="11"/>
  <c r="Z89" i="11"/>
  <c r="B88" i="11"/>
  <c r="B89" i="11"/>
  <c r="N86" i="11"/>
  <c r="N89" i="11" s="1"/>
  <c r="N87" i="11"/>
  <c r="N90" i="11" s="1"/>
  <c r="AE86" i="11"/>
  <c r="AE87" i="11"/>
  <c r="AA87" i="11"/>
  <c r="I86" i="11"/>
  <c r="AA86" i="11" s="1"/>
  <c r="J86" i="11"/>
  <c r="I87" i="11"/>
  <c r="J87" i="11"/>
  <c r="B83" i="11"/>
  <c r="B84" i="11"/>
  <c r="B85" i="11"/>
  <c r="N79" i="11"/>
  <c r="N80" i="11"/>
  <c r="N81" i="11"/>
  <c r="N82" i="11"/>
  <c r="N83" i="11"/>
  <c r="N84" i="11"/>
  <c r="I84" i="11"/>
  <c r="J84" i="11"/>
  <c r="AE80" i="11"/>
  <c r="AE81" i="11"/>
  <c r="AE82" i="11"/>
  <c r="AE83" i="11"/>
  <c r="AE84" i="11"/>
  <c r="AA84" i="11"/>
  <c r="I80" i="11"/>
  <c r="K80" i="11" s="1"/>
  <c r="J80" i="11"/>
  <c r="L80" i="11"/>
  <c r="M80" i="11"/>
  <c r="I81" i="11"/>
  <c r="J81" i="11"/>
  <c r="L81" i="11"/>
  <c r="M81" i="11"/>
  <c r="I82" i="11"/>
  <c r="AA82" i="11" s="1"/>
  <c r="J82" i="11"/>
  <c r="L82" i="11"/>
  <c r="M82" i="11"/>
  <c r="I83" i="11"/>
  <c r="J83" i="11"/>
  <c r="L83" i="11"/>
  <c r="M83" i="11"/>
  <c r="A80" i="11"/>
  <c r="I79" i="11"/>
  <c r="J79" i="11"/>
  <c r="AH67" i="11"/>
  <c r="AH68" i="11"/>
  <c r="AH69" i="11"/>
  <c r="AE67" i="11"/>
  <c r="AE68" i="11"/>
  <c r="AE69" i="11"/>
  <c r="AE70" i="11"/>
  <c r="AE71" i="11"/>
  <c r="AE72" i="11"/>
  <c r="AE73" i="11"/>
  <c r="AE74" i="11"/>
  <c r="AE75" i="11"/>
  <c r="AE76" i="11"/>
  <c r="AE77" i="11"/>
  <c r="AA70" i="11"/>
  <c r="AB70" i="11" s="1"/>
  <c r="AA73" i="11"/>
  <c r="AB73" i="11" s="1"/>
  <c r="I67" i="11"/>
  <c r="AA67" i="11" s="1"/>
  <c r="J67" i="11"/>
  <c r="L67" i="11"/>
  <c r="M67" i="11"/>
  <c r="N67" i="11"/>
  <c r="I68" i="11"/>
  <c r="J68" i="11"/>
  <c r="L68" i="11"/>
  <c r="M68" i="11"/>
  <c r="N68" i="11"/>
  <c r="I69" i="11"/>
  <c r="AA69" i="11" s="1"/>
  <c r="J69" i="11"/>
  <c r="K69" i="11"/>
  <c r="L69" i="11"/>
  <c r="M69" i="11"/>
  <c r="N69" i="11"/>
  <c r="I70" i="11"/>
  <c r="K70" i="11" s="1"/>
  <c r="J70" i="11"/>
  <c r="L70" i="11"/>
  <c r="M70" i="11"/>
  <c r="N70" i="11"/>
  <c r="I71" i="11"/>
  <c r="AA71" i="11" s="1"/>
  <c r="J71" i="11"/>
  <c r="L71" i="11"/>
  <c r="M71" i="11"/>
  <c r="N71" i="11"/>
  <c r="I72" i="11"/>
  <c r="AA72" i="11" s="1"/>
  <c r="J72" i="11"/>
  <c r="K72" i="11"/>
  <c r="L72" i="11"/>
  <c r="M72" i="11"/>
  <c r="N72" i="11"/>
  <c r="I73" i="11"/>
  <c r="J73" i="11"/>
  <c r="K73" i="11"/>
  <c r="L73" i="11"/>
  <c r="M73" i="11"/>
  <c r="N73" i="11"/>
  <c r="I74" i="11"/>
  <c r="K74" i="11" s="1"/>
  <c r="J74" i="11"/>
  <c r="L74" i="11"/>
  <c r="M74" i="11"/>
  <c r="N74" i="11"/>
  <c r="I75" i="11"/>
  <c r="AA75" i="11" s="1"/>
  <c r="J75" i="11"/>
  <c r="L75" i="11"/>
  <c r="M75" i="11"/>
  <c r="N75" i="11"/>
  <c r="I76" i="11"/>
  <c r="AA76" i="11" s="1"/>
  <c r="J76" i="11"/>
  <c r="K76" i="11"/>
  <c r="L76" i="11"/>
  <c r="M76" i="11"/>
  <c r="N76" i="11"/>
  <c r="I77" i="11"/>
  <c r="AA77" i="11" s="1"/>
  <c r="J77" i="11"/>
  <c r="L77" i="11"/>
  <c r="M77" i="11"/>
  <c r="N77" i="11"/>
  <c r="N65" i="11"/>
  <c r="N66" i="11"/>
  <c r="I65" i="11"/>
  <c r="J65" i="11"/>
  <c r="I66" i="11"/>
  <c r="J66" i="11"/>
  <c r="AD63" i="11"/>
  <c r="AG63" i="11"/>
  <c r="AG90" i="11" s="1"/>
  <c r="N63" i="11"/>
  <c r="O63" i="11"/>
  <c r="O90" i="11" s="1"/>
  <c r="P63" i="11"/>
  <c r="P90" i="11" s="1"/>
  <c r="Q63" i="11"/>
  <c r="Q90" i="11" s="1"/>
  <c r="R63" i="11"/>
  <c r="R90" i="11" s="1"/>
  <c r="S63" i="11"/>
  <c r="S90" i="11" s="1"/>
  <c r="T63" i="11"/>
  <c r="T90" i="11" s="1"/>
  <c r="U63" i="11"/>
  <c r="U90" i="11" s="1"/>
  <c r="V63" i="11"/>
  <c r="V90" i="11" s="1"/>
  <c r="W63" i="11"/>
  <c r="W90" i="11" s="1"/>
  <c r="X63" i="11"/>
  <c r="X90" i="11" s="1"/>
  <c r="Y63" i="11"/>
  <c r="Y90" i="11" s="1"/>
  <c r="Z63" i="11"/>
  <c r="Z90" i="11" s="1"/>
  <c r="AB55" i="11"/>
  <c r="AM55" i="11" s="1"/>
  <c r="AB56" i="11"/>
  <c r="AN56" i="11" s="1"/>
  <c r="AB57" i="11"/>
  <c r="AN57" i="11" s="1"/>
  <c r="AB58" i="11"/>
  <c r="AB59" i="11"/>
  <c r="AM59" i="11" s="1"/>
  <c r="AB60" i="11"/>
  <c r="AB61" i="11"/>
  <c r="AB62" i="11"/>
  <c r="N53" i="11"/>
  <c r="N54" i="11"/>
  <c r="N55" i="11"/>
  <c r="N56" i="11"/>
  <c r="N57" i="11"/>
  <c r="N58" i="11"/>
  <c r="N59" i="11"/>
  <c r="N60" i="11"/>
  <c r="N61" i="11"/>
  <c r="N62" i="11"/>
  <c r="I62" i="11"/>
  <c r="J62" i="11"/>
  <c r="K62" i="11"/>
  <c r="I63" i="11"/>
  <c r="K63" i="11" s="1"/>
  <c r="J63" i="11"/>
  <c r="AA60" i="11"/>
  <c r="AF60" i="11" s="1"/>
  <c r="B55" i="11"/>
  <c r="B56" i="11"/>
  <c r="AH55" i="11"/>
  <c r="AN55" i="11"/>
  <c r="AH56" i="11"/>
  <c r="AM56" i="11"/>
  <c r="AH57" i="11"/>
  <c r="AH58" i="11"/>
  <c r="AH59" i="11"/>
  <c r="AH60" i="11"/>
  <c r="AI60" i="11"/>
  <c r="AN60" i="11"/>
  <c r="AH61" i="11"/>
  <c r="AH62" i="11"/>
  <c r="AN62" i="11" s="1"/>
  <c r="AI62" i="11"/>
  <c r="AE55" i="11"/>
  <c r="AE56" i="11"/>
  <c r="AF56" i="11"/>
  <c r="AE57" i="11"/>
  <c r="AM57" i="11" s="1"/>
  <c r="AE58" i="11"/>
  <c r="AM58" i="11" s="1"/>
  <c r="AE59" i="11"/>
  <c r="AE60" i="11"/>
  <c r="AM60" i="11" s="1"/>
  <c r="AE61" i="11"/>
  <c r="AE62" i="11"/>
  <c r="AM62" i="11" s="1"/>
  <c r="AF62" i="11"/>
  <c r="I55" i="11"/>
  <c r="J55" i="11"/>
  <c r="L55" i="11"/>
  <c r="M55" i="11"/>
  <c r="I56" i="11"/>
  <c r="AA56" i="11" s="1"/>
  <c r="AI56" i="11" s="1"/>
  <c r="J56" i="11"/>
  <c r="K56" i="11"/>
  <c r="L56" i="11"/>
  <c r="M56" i="11"/>
  <c r="I57" i="11"/>
  <c r="AA57" i="11" s="1"/>
  <c r="J57" i="11"/>
  <c r="K57" i="11"/>
  <c r="L57" i="11"/>
  <c r="M57" i="11"/>
  <c r="I58" i="11"/>
  <c r="AA58" i="11" s="1"/>
  <c r="AI58" i="11" s="1"/>
  <c r="J58" i="11"/>
  <c r="K58" i="11"/>
  <c r="L58" i="11"/>
  <c r="M58" i="11"/>
  <c r="I59" i="11"/>
  <c r="AA59" i="11" s="1"/>
  <c r="J59" i="11"/>
  <c r="L59" i="11"/>
  <c r="M59" i="11"/>
  <c r="I60" i="11"/>
  <c r="K60" i="11" s="1"/>
  <c r="J60" i="11"/>
  <c r="L60" i="11"/>
  <c r="M60" i="11"/>
  <c r="I61" i="11"/>
  <c r="AA61" i="11" s="1"/>
  <c r="J61" i="11"/>
  <c r="L61" i="11"/>
  <c r="M61" i="11"/>
  <c r="I53" i="11"/>
  <c r="J53" i="11"/>
  <c r="I54" i="11"/>
  <c r="J54" i="11"/>
  <c r="B50" i="11"/>
  <c r="B51" i="11"/>
  <c r="B52" i="11"/>
  <c r="A47" i="11"/>
  <c r="AH39" i="11"/>
  <c r="AH46" i="11"/>
  <c r="AI46" i="11"/>
  <c r="AK47" i="11"/>
  <c r="AH48" i="11"/>
  <c r="AK48" i="11"/>
  <c r="AH49" i="11"/>
  <c r="AH50" i="11"/>
  <c r="AE35" i="11"/>
  <c r="AE36" i="11"/>
  <c r="AE37" i="11"/>
  <c r="AE38" i="11"/>
  <c r="AE39" i="11"/>
  <c r="AE40" i="11"/>
  <c r="AE41" i="11"/>
  <c r="AE42" i="11"/>
  <c r="AF42" i="11"/>
  <c r="AE43" i="11"/>
  <c r="AE44" i="11"/>
  <c r="AE45" i="11"/>
  <c r="AE46" i="11"/>
  <c r="AE47" i="11"/>
  <c r="AE48" i="11"/>
  <c r="AE49" i="11"/>
  <c r="AE50" i="11"/>
  <c r="AE51" i="11"/>
  <c r="AA35" i="11"/>
  <c r="AF35" i="11" s="1"/>
  <c r="AA39" i="11"/>
  <c r="AF39" i="11" s="1"/>
  <c r="AA42" i="11"/>
  <c r="AB42" i="11" s="1"/>
  <c r="AA43" i="11"/>
  <c r="AF43" i="11" s="1"/>
  <c r="AA47" i="11"/>
  <c r="AF47" i="11" s="1"/>
  <c r="I35" i="11"/>
  <c r="K35" i="11" s="1"/>
  <c r="J35" i="11"/>
  <c r="L35" i="11"/>
  <c r="M35" i="11"/>
  <c r="N35" i="11"/>
  <c r="I36" i="11"/>
  <c r="AA36" i="11" s="1"/>
  <c r="J36" i="11"/>
  <c r="L36" i="11"/>
  <c r="M36" i="11"/>
  <c r="N36" i="11"/>
  <c r="I37" i="11"/>
  <c r="AA37" i="11" s="1"/>
  <c r="J37" i="11"/>
  <c r="K37" i="11"/>
  <c r="L37" i="11"/>
  <c r="M37" i="11"/>
  <c r="N37" i="11"/>
  <c r="I38" i="11"/>
  <c r="K38" i="11" s="1"/>
  <c r="J38" i="11"/>
  <c r="L38" i="11"/>
  <c r="M38" i="11"/>
  <c r="N38" i="11"/>
  <c r="I39" i="11"/>
  <c r="K39" i="11" s="1"/>
  <c r="J39" i="11"/>
  <c r="L39" i="11"/>
  <c r="M39" i="11"/>
  <c r="N39" i="11"/>
  <c r="I40" i="11"/>
  <c r="AA40" i="11" s="1"/>
  <c r="J40" i="11"/>
  <c r="L40" i="11"/>
  <c r="M40" i="11"/>
  <c r="N40" i="11"/>
  <c r="I41" i="11"/>
  <c r="J41" i="11"/>
  <c r="L41" i="11"/>
  <c r="M41" i="11"/>
  <c r="N41" i="11"/>
  <c r="I42" i="11"/>
  <c r="J42" i="11"/>
  <c r="K42" i="11"/>
  <c r="L42" i="11"/>
  <c r="M42" i="11"/>
  <c r="N42" i="11"/>
  <c r="I43" i="11"/>
  <c r="K43" i="11" s="1"/>
  <c r="J43" i="11"/>
  <c r="L43" i="11"/>
  <c r="M43" i="11"/>
  <c r="N43" i="11"/>
  <c r="I44" i="11"/>
  <c r="AA44" i="11" s="1"/>
  <c r="J44" i="11"/>
  <c r="L44" i="11"/>
  <c r="M44" i="11"/>
  <c r="N44" i="11"/>
  <c r="I45" i="11"/>
  <c r="AA45" i="11" s="1"/>
  <c r="J45" i="11"/>
  <c r="K45" i="11"/>
  <c r="L45" i="11"/>
  <c r="M45" i="11"/>
  <c r="N45" i="11"/>
  <c r="I46" i="11"/>
  <c r="AA46" i="11" s="1"/>
  <c r="AF46" i="11" s="1"/>
  <c r="J46" i="11"/>
  <c r="L46" i="11"/>
  <c r="M46" i="11"/>
  <c r="N46" i="11"/>
  <c r="I47" i="11"/>
  <c r="K47" i="11" s="1"/>
  <c r="J47" i="11"/>
  <c r="L47" i="11"/>
  <c r="M47" i="11"/>
  <c r="N47" i="11"/>
  <c r="I48" i="11"/>
  <c r="AA48" i="11" s="1"/>
  <c r="J48" i="11"/>
  <c r="L48" i="11"/>
  <c r="M48" i="11"/>
  <c r="N48" i="11"/>
  <c r="I49" i="11"/>
  <c r="AA49" i="11" s="1"/>
  <c r="J49" i="11"/>
  <c r="L49" i="11"/>
  <c r="M49" i="11"/>
  <c r="N49" i="11"/>
  <c r="I50" i="11"/>
  <c r="AA50" i="11" s="1"/>
  <c r="AB50" i="11" s="1"/>
  <c r="J50" i="11"/>
  <c r="K50" i="11"/>
  <c r="L50" i="11"/>
  <c r="M50" i="11"/>
  <c r="N50" i="11"/>
  <c r="I51" i="11"/>
  <c r="K51" i="11" s="1"/>
  <c r="J51" i="11"/>
  <c r="L51" i="11"/>
  <c r="M51" i="11"/>
  <c r="N51" i="11"/>
  <c r="N33" i="11"/>
  <c r="N34" i="11"/>
  <c r="I33" i="11"/>
  <c r="J33" i="11"/>
  <c r="I34" i="11"/>
  <c r="J34" i="11"/>
  <c r="AL32" i="11"/>
  <c r="AG32" i="11"/>
  <c r="AD32" i="11"/>
  <c r="AK32" i="11" s="1"/>
  <c r="O32" i="11"/>
  <c r="P32" i="11"/>
  <c r="Q32" i="11"/>
  <c r="R32" i="11"/>
  <c r="S32" i="11"/>
  <c r="T32" i="11"/>
  <c r="U32" i="11"/>
  <c r="V32" i="11"/>
  <c r="W32" i="11"/>
  <c r="X32" i="11"/>
  <c r="Y32" i="11"/>
  <c r="Z32" i="11"/>
  <c r="AJ32" i="11" s="1"/>
  <c r="AJ31" i="11"/>
  <c r="AK31" i="11"/>
  <c r="AM31" i="11" s="1"/>
  <c r="AL31" i="11"/>
  <c r="AN31" i="11"/>
  <c r="AG31" i="11"/>
  <c r="AD31" i="11"/>
  <c r="O31" i="11"/>
  <c r="P31" i="11"/>
  <c r="Q31" i="11"/>
  <c r="R31" i="11"/>
  <c r="S31" i="11"/>
  <c r="T31" i="11"/>
  <c r="U31" i="11"/>
  <c r="V31" i="11"/>
  <c r="W31" i="11"/>
  <c r="X31" i="11"/>
  <c r="Y31" i="11"/>
  <c r="Z31" i="11"/>
  <c r="AA31" i="11"/>
  <c r="N26" i="11"/>
  <c r="N27" i="11"/>
  <c r="N28" i="11"/>
  <c r="N29" i="11"/>
  <c r="B22" i="11"/>
  <c r="B23" i="11"/>
  <c r="AG16" i="11"/>
  <c r="AG19" i="11"/>
  <c r="AH82" i="11" s="1"/>
  <c r="AG20" i="11"/>
  <c r="AD19" i="11"/>
  <c r="AD20" i="11"/>
  <c r="AK51" i="11" s="1"/>
  <c r="G19" i="11"/>
  <c r="G20" i="11"/>
  <c r="N19" i="11"/>
  <c r="O19" i="11"/>
  <c r="P19" i="11"/>
  <c r="Q19" i="11"/>
  <c r="R19" i="11"/>
  <c r="S19" i="11"/>
  <c r="T19" i="11"/>
  <c r="U19" i="11"/>
  <c r="V19" i="11"/>
  <c r="W19" i="11"/>
  <c r="X19" i="11"/>
  <c r="Y19" i="11"/>
  <c r="Z19" i="11"/>
  <c r="N20" i="11"/>
  <c r="O20" i="11"/>
  <c r="P20" i="11"/>
  <c r="Q20" i="11"/>
  <c r="R20" i="11"/>
  <c r="S20" i="11"/>
  <c r="T20" i="11"/>
  <c r="U20" i="11"/>
  <c r="V20" i="11"/>
  <c r="W20" i="11"/>
  <c r="X20" i="11"/>
  <c r="Y20" i="11"/>
  <c r="Z20" i="11"/>
  <c r="B17" i="11"/>
  <c r="B18" i="11"/>
  <c r="B19" i="11"/>
  <c r="O16" i="11"/>
  <c r="P16" i="11"/>
  <c r="Q16" i="11"/>
  <c r="R16" i="11"/>
  <c r="S16" i="11"/>
  <c r="T16" i="11"/>
  <c r="U16" i="11"/>
  <c r="V16" i="11"/>
  <c r="W16" i="11"/>
  <c r="X16" i="11"/>
  <c r="Y16" i="11"/>
  <c r="O17" i="11"/>
  <c r="P17" i="11"/>
  <c r="Q17" i="11"/>
  <c r="R17" i="11"/>
  <c r="S17" i="11"/>
  <c r="T17" i="11"/>
  <c r="U17" i="11"/>
  <c r="V17" i="11"/>
  <c r="W17" i="11"/>
  <c r="X17" i="11"/>
  <c r="Y17" i="11"/>
  <c r="Z17" i="11"/>
  <c r="AA17" i="11" s="1"/>
  <c r="AA11" i="11" s="1"/>
  <c r="A14" i="11"/>
  <c r="AG12" i="11"/>
  <c r="AG13" i="11"/>
  <c r="AD12" i="11"/>
  <c r="AD13" i="11"/>
  <c r="B12" i="11"/>
  <c r="B13" i="11"/>
  <c r="O11" i="11"/>
  <c r="P11" i="11"/>
  <c r="Q11" i="11"/>
  <c r="R11" i="11"/>
  <c r="S11" i="11"/>
  <c r="T11" i="11"/>
  <c r="U11" i="11"/>
  <c r="V11" i="11"/>
  <c r="W11" i="11"/>
  <c r="X11" i="11"/>
  <c r="Y11" i="11"/>
  <c r="Z11" i="11"/>
  <c r="O12" i="11"/>
  <c r="P12" i="11"/>
  <c r="Q12" i="11"/>
  <c r="R12" i="11"/>
  <c r="S12" i="11"/>
  <c r="T12" i="11"/>
  <c r="U12" i="11"/>
  <c r="V12" i="11"/>
  <c r="W12" i="11"/>
  <c r="X12" i="11"/>
  <c r="Y12" i="11"/>
  <c r="Z12" i="11"/>
  <c r="AA12" i="11"/>
  <c r="O13" i="11"/>
  <c r="P13" i="11"/>
  <c r="Q13" i="11"/>
  <c r="R13" i="11"/>
  <c r="S13" i="11"/>
  <c r="T13" i="11"/>
  <c r="U13" i="11"/>
  <c r="V13" i="11"/>
  <c r="W13" i="11"/>
  <c r="X13" i="11"/>
  <c r="Y13" i="11"/>
  <c r="Z13" i="11"/>
  <c r="AA13" i="11"/>
  <c r="C10" i="11"/>
  <c r="D10" i="11"/>
  <c r="C9" i="11"/>
  <c r="C1" i="11"/>
  <c r="C2" i="11"/>
  <c r="C3" i="11"/>
  <c r="C4" i="11"/>
  <c r="C5" i="11"/>
  <c r="C6" i="11"/>
  <c r="C7" i="11"/>
  <c r="C8" i="11"/>
  <c r="E6" i="11"/>
  <c r="B29" i="11" s="1"/>
  <c r="E4" i="11"/>
  <c r="F4" i="11"/>
  <c r="B3" i="11"/>
  <c r="AG143" i="58"/>
  <c r="AG144" i="58"/>
  <c r="AG145" i="58"/>
  <c r="AG146" i="58"/>
  <c r="AD143" i="58"/>
  <c r="AD144" i="58"/>
  <c r="AD145" i="58"/>
  <c r="AD146" i="58"/>
  <c r="O143" i="58"/>
  <c r="P143" i="58"/>
  <c r="Q143" i="58"/>
  <c r="R143" i="58"/>
  <c r="S143" i="58"/>
  <c r="T143" i="58"/>
  <c r="U143" i="58"/>
  <c r="V143" i="58"/>
  <c r="W143" i="58"/>
  <c r="X143" i="58"/>
  <c r="Y143" i="58"/>
  <c r="Z143" i="58"/>
  <c r="O144" i="58"/>
  <c r="P144" i="58"/>
  <c r="Q144" i="58"/>
  <c r="R144" i="58"/>
  <c r="S144" i="58"/>
  <c r="T144" i="58"/>
  <c r="U144" i="58"/>
  <c r="V144" i="58"/>
  <c r="W144" i="58"/>
  <c r="X144" i="58"/>
  <c r="Y144" i="58"/>
  <c r="Z144" i="58"/>
  <c r="O145" i="58"/>
  <c r="P145" i="58"/>
  <c r="Q145" i="58"/>
  <c r="R145" i="58"/>
  <c r="S145" i="58"/>
  <c r="T145" i="58"/>
  <c r="U145" i="58"/>
  <c r="V145" i="58"/>
  <c r="W145" i="58"/>
  <c r="X145" i="58"/>
  <c r="Y145" i="58"/>
  <c r="Z145" i="58"/>
  <c r="O146" i="58"/>
  <c r="P146" i="58"/>
  <c r="Q146" i="58"/>
  <c r="R146" i="58"/>
  <c r="S146" i="58"/>
  <c r="T146" i="58"/>
  <c r="U146" i="58"/>
  <c r="V146" i="58"/>
  <c r="W146" i="58"/>
  <c r="X146" i="58"/>
  <c r="Y146" i="58"/>
  <c r="Z146" i="58"/>
  <c r="AI131" i="58"/>
  <c r="AI133" i="58"/>
  <c r="AI135" i="58"/>
  <c r="AI137" i="58"/>
  <c r="AI139" i="58"/>
  <c r="AG141" i="58"/>
  <c r="AD141" i="58"/>
  <c r="O141" i="58"/>
  <c r="P141" i="58"/>
  <c r="Q141" i="58"/>
  <c r="R141" i="58"/>
  <c r="S141" i="58"/>
  <c r="T141" i="58"/>
  <c r="U141" i="58"/>
  <c r="V141" i="58"/>
  <c r="W141" i="58"/>
  <c r="X141" i="58"/>
  <c r="Y141" i="58"/>
  <c r="Z141" i="58"/>
  <c r="AH140" i="58"/>
  <c r="AE140" i="58"/>
  <c r="AF140" i="58"/>
  <c r="AA140" i="58"/>
  <c r="AI140" i="58" s="1"/>
  <c r="AB140" i="58"/>
  <c r="AF130" i="58"/>
  <c r="AF131" i="58"/>
  <c r="AF133" i="58"/>
  <c r="AF135" i="58"/>
  <c r="AF137" i="58"/>
  <c r="AF138" i="58"/>
  <c r="AF139" i="58"/>
  <c r="AH138" i="58"/>
  <c r="AE138" i="58"/>
  <c r="AA138" i="58"/>
  <c r="AI138" i="58" s="1"/>
  <c r="AB138" i="58"/>
  <c r="AH136" i="58"/>
  <c r="AE136" i="58"/>
  <c r="AA136" i="58"/>
  <c r="AI136" i="58" s="1"/>
  <c r="AB136" i="58"/>
  <c r="AH134" i="58"/>
  <c r="AE134" i="58"/>
  <c r="AA134" i="58"/>
  <c r="AI134" i="58" s="1"/>
  <c r="AB134" i="58"/>
  <c r="AH132" i="58"/>
  <c r="AE132" i="58"/>
  <c r="AA132" i="58"/>
  <c r="AI132" i="58" s="1"/>
  <c r="AB132" i="58"/>
  <c r="AH130" i="58"/>
  <c r="AE130" i="58"/>
  <c r="AA130" i="58"/>
  <c r="AI130" i="58" s="1"/>
  <c r="AB130" i="58"/>
  <c r="L130" i="58"/>
  <c r="M130" i="58"/>
  <c r="N130" i="58"/>
  <c r="L131" i="58"/>
  <c r="M131" i="58"/>
  <c r="N131" i="58"/>
  <c r="L132" i="58"/>
  <c r="M132" i="58"/>
  <c r="N132" i="58"/>
  <c r="L133" i="58"/>
  <c r="M133" i="58"/>
  <c r="N133" i="58"/>
  <c r="L134" i="58"/>
  <c r="M134" i="58"/>
  <c r="N134" i="58"/>
  <c r="L135" i="58"/>
  <c r="M135" i="58"/>
  <c r="N135" i="58"/>
  <c r="L136" i="58"/>
  <c r="M136" i="58"/>
  <c r="N136" i="58"/>
  <c r="L137" i="58"/>
  <c r="M137" i="58"/>
  <c r="N137" i="58"/>
  <c r="L138" i="58"/>
  <c r="M138" i="58"/>
  <c r="N138" i="58"/>
  <c r="L139" i="58"/>
  <c r="M139" i="58"/>
  <c r="N139" i="58"/>
  <c r="L140" i="58"/>
  <c r="M140" i="58"/>
  <c r="N140" i="58"/>
  <c r="N129" i="58"/>
  <c r="AG121" i="58"/>
  <c r="AG122" i="58"/>
  <c r="AG123" i="58"/>
  <c r="AG124" i="58"/>
  <c r="AG125" i="58"/>
  <c r="AD121" i="58"/>
  <c r="AD122" i="58"/>
  <c r="AE122" i="58" s="1"/>
  <c r="AD123" i="58"/>
  <c r="AD124" i="58"/>
  <c r="AD125" i="58"/>
  <c r="AE123" i="58"/>
  <c r="AE125" i="58"/>
  <c r="L121" i="58"/>
  <c r="M121" i="58"/>
  <c r="N121" i="58"/>
  <c r="O121" i="58"/>
  <c r="P121" i="58"/>
  <c r="Q121" i="58"/>
  <c r="R121" i="58"/>
  <c r="S121" i="58"/>
  <c r="S126" i="58" s="1"/>
  <c r="S127" i="58" s="1"/>
  <c r="T121" i="58"/>
  <c r="U121" i="58"/>
  <c r="V121" i="58"/>
  <c r="V126" i="58" s="1"/>
  <c r="V127" i="58" s="1"/>
  <c r="W121" i="58"/>
  <c r="X121" i="58"/>
  <c r="Y121" i="58"/>
  <c r="Z121" i="58"/>
  <c r="L122" i="58"/>
  <c r="M122" i="58"/>
  <c r="N122" i="58"/>
  <c r="O122" i="58"/>
  <c r="P122" i="58"/>
  <c r="Q122" i="58"/>
  <c r="R122" i="58"/>
  <c r="S122" i="58"/>
  <c r="T122" i="58"/>
  <c r="T126" i="58" s="1"/>
  <c r="T127" i="58" s="1"/>
  <c r="U122" i="58"/>
  <c r="V122" i="58"/>
  <c r="W122" i="58"/>
  <c r="X122" i="58"/>
  <c r="Y122" i="58"/>
  <c r="Z122" i="58"/>
  <c r="L123" i="58"/>
  <c r="M123" i="58"/>
  <c r="N123" i="58"/>
  <c r="O123" i="58"/>
  <c r="P123" i="58"/>
  <c r="Q123" i="58"/>
  <c r="R123" i="58"/>
  <c r="S123" i="58"/>
  <c r="T123" i="58"/>
  <c r="U123" i="58"/>
  <c r="V123" i="58"/>
  <c r="W123" i="58"/>
  <c r="X123" i="58"/>
  <c r="Y123" i="58"/>
  <c r="Z123" i="58"/>
  <c r="L124" i="58"/>
  <c r="M124" i="58"/>
  <c r="N124" i="58"/>
  <c r="O124" i="58"/>
  <c r="P124" i="58"/>
  <c r="Q124" i="58"/>
  <c r="R124" i="58"/>
  <c r="S124" i="58"/>
  <c r="T124" i="58"/>
  <c r="U124" i="58"/>
  <c r="V124" i="58"/>
  <c r="W124" i="58"/>
  <c r="X124" i="58"/>
  <c r="Y124" i="58"/>
  <c r="Z124" i="58"/>
  <c r="L125" i="58"/>
  <c r="M125" i="58"/>
  <c r="N125" i="58"/>
  <c r="O125" i="58"/>
  <c r="P125" i="58"/>
  <c r="Q125" i="58"/>
  <c r="R125" i="58"/>
  <c r="S125" i="58"/>
  <c r="T125" i="58"/>
  <c r="U125" i="58"/>
  <c r="V125" i="58"/>
  <c r="W125" i="58"/>
  <c r="X125" i="58"/>
  <c r="Y125" i="58"/>
  <c r="Z125" i="58"/>
  <c r="Z126" i="58" s="1"/>
  <c r="Z127" i="58" s="1"/>
  <c r="L126" i="58"/>
  <c r="M126" i="58"/>
  <c r="N126" i="58"/>
  <c r="AI114" i="58"/>
  <c r="AI117" i="58"/>
  <c r="AI118" i="58"/>
  <c r="AF114" i="58"/>
  <c r="AE116" i="58"/>
  <c r="AF117" i="58"/>
  <c r="AE118" i="58"/>
  <c r="AF118" i="58"/>
  <c r="AF119" i="58"/>
  <c r="AA114" i="58"/>
  <c r="AA115" i="58"/>
  <c r="AF115" i="58" s="1"/>
  <c r="AA116" i="58"/>
  <c r="AF116" i="58" s="1"/>
  <c r="AA117" i="58"/>
  <c r="AA118" i="58"/>
  <c r="AB118" i="58" s="1"/>
  <c r="AA119" i="58"/>
  <c r="AI119" i="58" s="1"/>
  <c r="L114" i="58"/>
  <c r="M114" i="58"/>
  <c r="N114" i="58"/>
  <c r="L115" i="58"/>
  <c r="M115" i="58"/>
  <c r="N115" i="58"/>
  <c r="L116" i="58"/>
  <c r="M116" i="58"/>
  <c r="N116" i="58"/>
  <c r="L117" i="58"/>
  <c r="M117" i="58"/>
  <c r="N117" i="58"/>
  <c r="L118" i="58"/>
  <c r="M118" i="58"/>
  <c r="N118" i="58"/>
  <c r="L119" i="58"/>
  <c r="M119" i="58"/>
  <c r="N119" i="58"/>
  <c r="AI107" i="58"/>
  <c r="AE106" i="58"/>
  <c r="AF106" i="58"/>
  <c r="AE108" i="58"/>
  <c r="AE110" i="58"/>
  <c r="AA106" i="58"/>
  <c r="AI106" i="58" s="1"/>
  <c r="AB106" i="58"/>
  <c r="AA107" i="58"/>
  <c r="AF107" i="58" s="1"/>
  <c r="AA108" i="58"/>
  <c r="AF108" i="58" s="1"/>
  <c r="AA109" i="58"/>
  <c r="AF109" i="58" s="1"/>
  <c r="AA110" i="58"/>
  <c r="AI110" i="58" s="1"/>
  <c r="AA111" i="58"/>
  <c r="AI111" i="58" s="1"/>
  <c r="L106" i="58"/>
  <c r="M106" i="58"/>
  <c r="N106" i="58"/>
  <c r="L107" i="58"/>
  <c r="M107" i="58"/>
  <c r="N107" i="58"/>
  <c r="L108" i="58"/>
  <c r="M108" i="58"/>
  <c r="N108" i="58"/>
  <c r="L109" i="58"/>
  <c r="M109" i="58"/>
  <c r="N109" i="58"/>
  <c r="L110" i="58"/>
  <c r="M110" i="58"/>
  <c r="N110" i="58"/>
  <c r="L111" i="58"/>
  <c r="M111" i="58"/>
  <c r="N111" i="58"/>
  <c r="AI99" i="58"/>
  <c r="AI100" i="58"/>
  <c r="AE100" i="58"/>
  <c r="AF100" i="58"/>
  <c r="AE102" i="58"/>
  <c r="AA98" i="58"/>
  <c r="AF98" i="58" s="1"/>
  <c r="AA99" i="58"/>
  <c r="AF99" i="58" s="1"/>
  <c r="AA100" i="58"/>
  <c r="AB100" i="58"/>
  <c r="AA101" i="58"/>
  <c r="AA102" i="58"/>
  <c r="AF102" i="58" s="1"/>
  <c r="AA103" i="58"/>
  <c r="AF103" i="58" s="1"/>
  <c r="L98" i="58"/>
  <c r="M98" i="58"/>
  <c r="N98" i="58"/>
  <c r="L99" i="58"/>
  <c r="M99" i="58"/>
  <c r="N99" i="58"/>
  <c r="L100" i="58"/>
  <c r="M100" i="58"/>
  <c r="N100" i="58"/>
  <c r="L101" i="58"/>
  <c r="M101" i="58"/>
  <c r="N101" i="58"/>
  <c r="L102" i="58"/>
  <c r="M102" i="58"/>
  <c r="N102" i="58"/>
  <c r="L103" i="58"/>
  <c r="M103" i="58"/>
  <c r="N103" i="58"/>
  <c r="AD93" i="58"/>
  <c r="AD94" i="58"/>
  <c r="AG93" i="58"/>
  <c r="AG94" i="58"/>
  <c r="O93" i="58"/>
  <c r="P93" i="58"/>
  <c r="Q93" i="58"/>
  <c r="R93" i="58"/>
  <c r="S93" i="58"/>
  <c r="T93" i="58"/>
  <c r="U93" i="58"/>
  <c r="V93" i="58"/>
  <c r="W93" i="58"/>
  <c r="X93" i="58"/>
  <c r="Y93" i="58"/>
  <c r="Z93" i="58"/>
  <c r="O94" i="58"/>
  <c r="P94" i="58"/>
  <c r="Q94" i="58"/>
  <c r="R94" i="58"/>
  <c r="S94" i="58"/>
  <c r="T94" i="58"/>
  <c r="U94" i="58"/>
  <c r="V94" i="58"/>
  <c r="W94" i="58"/>
  <c r="X94" i="58"/>
  <c r="Y94" i="58"/>
  <c r="Z94" i="58"/>
  <c r="AF91" i="58"/>
  <c r="AA91" i="58"/>
  <c r="AI91" i="58" s="1"/>
  <c r="AA92" i="58"/>
  <c r="AF92" i="58" s="1"/>
  <c r="N91" i="58"/>
  <c r="N92" i="58"/>
  <c r="I91" i="58"/>
  <c r="J91" i="58"/>
  <c r="I92" i="58"/>
  <c r="J92" i="58"/>
  <c r="AA35" i="58"/>
  <c r="AF35" i="58" s="1"/>
  <c r="AA36" i="58"/>
  <c r="AA37" i="58"/>
  <c r="AI37" i="58" s="1"/>
  <c r="AA38" i="58"/>
  <c r="AA39" i="58"/>
  <c r="AA40" i="58"/>
  <c r="AF40" i="58" s="1"/>
  <c r="AA41" i="58"/>
  <c r="AA42" i="58" s="1"/>
  <c r="AA45" i="58"/>
  <c r="AI45" i="58" s="1"/>
  <c r="AA46" i="58"/>
  <c r="AA47" i="58"/>
  <c r="AF47" i="58" s="1"/>
  <c r="AA48" i="58"/>
  <c r="AA49" i="58"/>
  <c r="AA50" i="58"/>
  <c r="AI50" i="58" s="1"/>
  <c r="AA51" i="58"/>
  <c r="AF51" i="58" s="1"/>
  <c r="AA55" i="58"/>
  <c r="AA56" i="58"/>
  <c r="AB56" i="58" s="1"/>
  <c r="AA57" i="58"/>
  <c r="AA58" i="58"/>
  <c r="AB58" i="58" s="1"/>
  <c r="AA59" i="58"/>
  <c r="AA60" i="58"/>
  <c r="AA61" i="58"/>
  <c r="AB61" i="58" s="1"/>
  <c r="AA65" i="58"/>
  <c r="AI65" i="58" s="1"/>
  <c r="AA66" i="58"/>
  <c r="AI66" i="58" s="1"/>
  <c r="AA67" i="58"/>
  <c r="AF67" i="58" s="1"/>
  <c r="AA68" i="58"/>
  <c r="AA69" i="58"/>
  <c r="AA70" i="58"/>
  <c r="AF70" i="58" s="1"/>
  <c r="AA71" i="58"/>
  <c r="AA73" i="58" s="1"/>
  <c r="AA75" i="58"/>
  <c r="AF75" i="58" s="1"/>
  <c r="AA76" i="58"/>
  <c r="AI76" i="58" s="1"/>
  <c r="AA77" i="58"/>
  <c r="AA78" i="58"/>
  <c r="AI78" i="58" s="1"/>
  <c r="AA79" i="58"/>
  <c r="AA80" i="58"/>
  <c r="AA83" i="58"/>
  <c r="AF83" i="58" s="1"/>
  <c r="AA85" i="58"/>
  <c r="AF85" i="58" s="1"/>
  <c r="AA86" i="58"/>
  <c r="AI86" i="58" s="1"/>
  <c r="AA87" i="58"/>
  <c r="AF87" i="58" s="1"/>
  <c r="N85" i="58"/>
  <c r="N143" i="58" s="1"/>
  <c r="N86" i="58"/>
  <c r="N87" i="58"/>
  <c r="N144" i="58" s="1"/>
  <c r="N88" i="58"/>
  <c r="N145" i="58" s="1"/>
  <c r="AE83" i="58"/>
  <c r="L85" i="58"/>
  <c r="M85" i="58"/>
  <c r="L86" i="58"/>
  <c r="M86" i="58"/>
  <c r="L87" i="58"/>
  <c r="M87" i="58"/>
  <c r="I85" i="58"/>
  <c r="J85" i="58"/>
  <c r="I86" i="58"/>
  <c r="J86" i="58"/>
  <c r="I87" i="58"/>
  <c r="J87" i="58"/>
  <c r="I88" i="58"/>
  <c r="J88" i="58"/>
  <c r="T84" i="58"/>
  <c r="Y84" i="58"/>
  <c r="AI83" i="58"/>
  <c r="L83" i="58"/>
  <c r="M83" i="58"/>
  <c r="N83" i="58"/>
  <c r="I83" i="58"/>
  <c r="J83" i="58"/>
  <c r="AG82" i="58"/>
  <c r="AH84" i="58" s="1"/>
  <c r="AD82" i="58"/>
  <c r="AE84" i="58" s="1"/>
  <c r="O82" i="58"/>
  <c r="O84" i="58" s="1"/>
  <c r="P82" i="58"/>
  <c r="P84" i="58" s="1"/>
  <c r="Q82" i="58"/>
  <c r="Q84" i="58" s="1"/>
  <c r="R82" i="58"/>
  <c r="R84" i="58" s="1"/>
  <c r="S82" i="58"/>
  <c r="S84" i="58" s="1"/>
  <c r="T82" i="58"/>
  <c r="U82" i="58"/>
  <c r="U84" i="58" s="1"/>
  <c r="V82" i="58"/>
  <c r="V84" i="58" s="1"/>
  <c r="W82" i="58"/>
  <c r="W84" i="58" s="1"/>
  <c r="X82" i="58"/>
  <c r="X84" i="58" s="1"/>
  <c r="Y82" i="58"/>
  <c r="Z82" i="58"/>
  <c r="Z84" i="58" s="1"/>
  <c r="AI75" i="58"/>
  <c r="AI77" i="58"/>
  <c r="AI80" i="58"/>
  <c r="AF76" i="58"/>
  <c r="AF77" i="58"/>
  <c r="AF80" i="58"/>
  <c r="AH80" i="58"/>
  <c r="AE75" i="58"/>
  <c r="AE76" i="58"/>
  <c r="AE77" i="58"/>
  <c r="AE78" i="58"/>
  <c r="AE79" i="58"/>
  <c r="AE80" i="58"/>
  <c r="AB75" i="58"/>
  <c r="AB76" i="58"/>
  <c r="AB77" i="58"/>
  <c r="AB80" i="58"/>
  <c r="L75" i="58"/>
  <c r="M75" i="58"/>
  <c r="N75" i="58"/>
  <c r="L76" i="58"/>
  <c r="M76" i="58"/>
  <c r="N76" i="58"/>
  <c r="L77" i="58"/>
  <c r="M77" i="58"/>
  <c r="N77" i="58"/>
  <c r="L78" i="58"/>
  <c r="M78" i="58"/>
  <c r="N78" i="58"/>
  <c r="L79" i="58"/>
  <c r="M79" i="58"/>
  <c r="N79" i="58"/>
  <c r="L80" i="58"/>
  <c r="M80" i="58"/>
  <c r="N80" i="58"/>
  <c r="L81" i="58"/>
  <c r="M81" i="58"/>
  <c r="N81" i="58"/>
  <c r="I75" i="58"/>
  <c r="J75" i="58"/>
  <c r="I76" i="58"/>
  <c r="J76" i="58"/>
  <c r="I77" i="58"/>
  <c r="J77" i="58"/>
  <c r="I78" i="58"/>
  <c r="J78" i="58"/>
  <c r="I79" i="58"/>
  <c r="J79" i="58"/>
  <c r="I80" i="58"/>
  <c r="J80" i="58"/>
  <c r="I81" i="58"/>
  <c r="J81" i="58"/>
  <c r="AG73" i="58"/>
  <c r="AH74" i="58" s="1"/>
  <c r="AD73" i="58"/>
  <c r="AE74" i="58" s="1"/>
  <c r="O73" i="58"/>
  <c r="O74" i="58" s="1"/>
  <c r="P73" i="58"/>
  <c r="P74" i="58" s="1"/>
  <c r="Q73" i="58"/>
  <c r="Q74" i="58" s="1"/>
  <c r="R73" i="58"/>
  <c r="R74" i="58" s="1"/>
  <c r="S73" i="58"/>
  <c r="S74" i="58" s="1"/>
  <c r="T73" i="58"/>
  <c r="U73" i="58"/>
  <c r="V73" i="58"/>
  <c r="V74" i="58" s="1"/>
  <c r="W73" i="58"/>
  <c r="W74" i="58" s="1"/>
  <c r="X73" i="58"/>
  <c r="Y73" i="58"/>
  <c r="Y74" i="58" s="1"/>
  <c r="Z73" i="58"/>
  <c r="Z74" i="58" s="1"/>
  <c r="T74" i="58"/>
  <c r="U74" i="58"/>
  <c r="X74" i="58"/>
  <c r="AI69" i="58"/>
  <c r="AI70" i="58"/>
  <c r="AF65" i="58"/>
  <c r="AF69" i="58"/>
  <c r="AH71" i="58"/>
  <c r="AE71" i="58"/>
  <c r="AB71" i="58"/>
  <c r="AE64" i="58"/>
  <c r="L65" i="58"/>
  <c r="M65" i="58"/>
  <c r="N65" i="58"/>
  <c r="L66" i="58"/>
  <c r="M66" i="58"/>
  <c r="N66" i="58"/>
  <c r="L67" i="58"/>
  <c r="M67" i="58"/>
  <c r="N67" i="58"/>
  <c r="L68" i="58"/>
  <c r="M68" i="58"/>
  <c r="N68" i="58"/>
  <c r="L69" i="58"/>
  <c r="M69" i="58"/>
  <c r="N69" i="58"/>
  <c r="L70" i="58"/>
  <c r="M70" i="58"/>
  <c r="N70" i="58"/>
  <c r="L71" i="58"/>
  <c r="M71" i="58"/>
  <c r="N71" i="58"/>
  <c r="L72" i="58"/>
  <c r="M72" i="58"/>
  <c r="N72" i="58"/>
  <c r="I65" i="58"/>
  <c r="J65" i="58"/>
  <c r="I66" i="58"/>
  <c r="J66" i="58"/>
  <c r="I67" i="58"/>
  <c r="J67" i="58"/>
  <c r="I68" i="58"/>
  <c r="J68" i="58"/>
  <c r="I69" i="58"/>
  <c r="J69" i="58"/>
  <c r="I70" i="58"/>
  <c r="J70" i="58"/>
  <c r="I71" i="58"/>
  <c r="J71" i="58"/>
  <c r="I72" i="58"/>
  <c r="J72" i="58"/>
  <c r="AG63" i="58"/>
  <c r="AH64" i="58" s="1"/>
  <c r="AD63" i="58"/>
  <c r="O63" i="58"/>
  <c r="P63" i="58"/>
  <c r="P64" i="58" s="1"/>
  <c r="Q63" i="58"/>
  <c r="R63" i="58"/>
  <c r="R64" i="58" s="1"/>
  <c r="S63" i="58"/>
  <c r="S64" i="58" s="1"/>
  <c r="T63" i="58"/>
  <c r="U63" i="58"/>
  <c r="U64" i="58" s="1"/>
  <c r="V63" i="58"/>
  <c r="V64" i="58" s="1"/>
  <c r="W63" i="58"/>
  <c r="X63" i="58"/>
  <c r="X64" i="58" s="1"/>
  <c r="Y63" i="58"/>
  <c r="Z63" i="58"/>
  <c r="Z64" i="58" s="1"/>
  <c r="O64" i="58"/>
  <c r="Q64" i="58"/>
  <c r="T64" i="58"/>
  <c r="W64" i="58"/>
  <c r="Y64" i="58"/>
  <c r="AI55" i="58"/>
  <c r="AI56" i="58"/>
  <c r="AI57" i="58"/>
  <c r="AI58" i="58"/>
  <c r="AI60" i="58"/>
  <c r="AF55" i="58"/>
  <c r="AF56" i="58"/>
  <c r="AF57" i="58"/>
  <c r="AF58" i="58"/>
  <c r="AF60" i="58"/>
  <c r="AH61" i="58"/>
  <c r="AE61" i="58"/>
  <c r="AH54" i="58"/>
  <c r="AE55" i="58"/>
  <c r="AE56" i="58"/>
  <c r="AE57" i="58"/>
  <c r="AE58" i="58"/>
  <c r="AE59" i="58"/>
  <c r="AB55" i="58"/>
  <c r="AB57" i="58"/>
  <c r="L55" i="58"/>
  <c r="M55" i="58"/>
  <c r="N55" i="58"/>
  <c r="L56" i="58"/>
  <c r="M56" i="58"/>
  <c r="N56" i="58"/>
  <c r="L57" i="58"/>
  <c r="M57" i="58"/>
  <c r="N57" i="58"/>
  <c r="L58" i="58"/>
  <c r="M58" i="58"/>
  <c r="N58" i="58"/>
  <c r="L59" i="58"/>
  <c r="M59" i="58"/>
  <c r="N59" i="58"/>
  <c r="L60" i="58"/>
  <c r="M60" i="58"/>
  <c r="N60" i="58"/>
  <c r="L61" i="58"/>
  <c r="M61" i="58"/>
  <c r="N61" i="58"/>
  <c r="L62" i="58"/>
  <c r="M62" i="58"/>
  <c r="N62" i="58"/>
  <c r="I55" i="58"/>
  <c r="J55" i="58"/>
  <c r="I56" i="58"/>
  <c r="J56" i="58"/>
  <c r="I57" i="58"/>
  <c r="J57" i="58"/>
  <c r="I58" i="58"/>
  <c r="J58" i="58"/>
  <c r="I59" i="58"/>
  <c r="J59" i="58"/>
  <c r="I60" i="58"/>
  <c r="J60" i="58"/>
  <c r="I61" i="58"/>
  <c r="J61" i="58"/>
  <c r="I62" i="58"/>
  <c r="J62" i="58"/>
  <c r="AG53" i="58"/>
  <c r="AD53" i="58"/>
  <c r="AE54" i="58" s="1"/>
  <c r="O53" i="58"/>
  <c r="P53" i="58"/>
  <c r="P54" i="58" s="1"/>
  <c r="Q53" i="58"/>
  <c r="Q54" i="58" s="1"/>
  <c r="R53" i="58"/>
  <c r="S53" i="58"/>
  <c r="S54" i="58" s="1"/>
  <c r="T53" i="58"/>
  <c r="T54" i="58" s="1"/>
  <c r="U53" i="58"/>
  <c r="V53" i="58"/>
  <c r="V54" i="58" s="1"/>
  <c r="W53" i="58"/>
  <c r="X53" i="58"/>
  <c r="Y53" i="58"/>
  <c r="Y54" i="58" s="1"/>
  <c r="Z53" i="58"/>
  <c r="O54" i="58"/>
  <c r="R54" i="58"/>
  <c r="U54" i="58"/>
  <c r="W54" i="58"/>
  <c r="X54" i="58"/>
  <c r="Z54" i="58"/>
  <c r="AI46" i="58"/>
  <c r="AI49" i="58"/>
  <c r="AF45" i="58"/>
  <c r="AF46" i="58"/>
  <c r="AF49" i="58"/>
  <c r="AH51" i="58"/>
  <c r="AE51" i="58"/>
  <c r="AB51" i="58"/>
  <c r="L45" i="58"/>
  <c r="M45" i="58"/>
  <c r="N45" i="58"/>
  <c r="L46" i="58"/>
  <c r="M46" i="58"/>
  <c r="N46" i="58"/>
  <c r="L47" i="58"/>
  <c r="M47" i="58"/>
  <c r="N47" i="58"/>
  <c r="L48" i="58"/>
  <c r="M48" i="58"/>
  <c r="N48" i="58"/>
  <c r="L49" i="58"/>
  <c r="M49" i="58"/>
  <c r="N49" i="58"/>
  <c r="L50" i="58"/>
  <c r="M50" i="58"/>
  <c r="N50" i="58"/>
  <c r="L51" i="58"/>
  <c r="M51" i="58"/>
  <c r="N51" i="58"/>
  <c r="L52" i="58"/>
  <c r="M52" i="58"/>
  <c r="N52" i="58"/>
  <c r="I45" i="58"/>
  <c r="J45" i="58"/>
  <c r="I46" i="58"/>
  <c r="J46" i="58"/>
  <c r="I47" i="58"/>
  <c r="J47" i="58"/>
  <c r="I48" i="58"/>
  <c r="J48" i="58"/>
  <c r="I49" i="58"/>
  <c r="J49" i="58"/>
  <c r="I50" i="58"/>
  <c r="J50" i="58"/>
  <c r="I51" i="58"/>
  <c r="J51" i="58"/>
  <c r="I52" i="58"/>
  <c r="J52" i="58"/>
  <c r="AG43" i="58"/>
  <c r="AH44" i="58" s="1"/>
  <c r="AD43" i="58"/>
  <c r="AE44" i="58" s="1"/>
  <c r="O43" i="58"/>
  <c r="O44" i="58" s="1"/>
  <c r="P43" i="58"/>
  <c r="Q43" i="58"/>
  <c r="Q44" i="58" s="1"/>
  <c r="R43" i="58"/>
  <c r="R44" i="58" s="1"/>
  <c r="S43" i="58"/>
  <c r="T43" i="58"/>
  <c r="T44" i="58" s="1"/>
  <c r="U43" i="58"/>
  <c r="U44" i="58" s="1"/>
  <c r="V43" i="58"/>
  <c r="W43" i="58"/>
  <c r="W44" i="58" s="1"/>
  <c r="X43" i="58"/>
  <c r="Y43" i="58"/>
  <c r="Y44" i="58" s="1"/>
  <c r="Z43" i="58"/>
  <c r="Z44" i="58" s="1"/>
  <c r="P44" i="58"/>
  <c r="S44" i="58"/>
  <c r="V44" i="58"/>
  <c r="X44" i="58"/>
  <c r="AI35" i="58"/>
  <c r="AI36" i="58"/>
  <c r="AI39" i="58"/>
  <c r="AI41" i="58"/>
  <c r="AF36" i="58"/>
  <c r="AF37" i="58"/>
  <c r="AF39" i="58"/>
  <c r="AH41" i="58"/>
  <c r="AE41" i="58"/>
  <c r="AB41" i="58"/>
  <c r="AE37" i="58"/>
  <c r="AB35" i="58"/>
  <c r="AB36" i="58"/>
  <c r="L35" i="58"/>
  <c r="M35" i="58"/>
  <c r="N35" i="58"/>
  <c r="L36" i="58"/>
  <c r="M36" i="58"/>
  <c r="N36" i="58"/>
  <c r="L37" i="58"/>
  <c r="M37" i="58"/>
  <c r="N37" i="58"/>
  <c r="L38" i="58"/>
  <c r="M38" i="58"/>
  <c r="N38" i="58"/>
  <c r="L39" i="58"/>
  <c r="M39" i="58"/>
  <c r="N39" i="58"/>
  <c r="L40" i="58"/>
  <c r="M40" i="58"/>
  <c r="N40" i="58"/>
  <c r="L41" i="58"/>
  <c r="M41" i="58"/>
  <c r="N41" i="58"/>
  <c r="L42" i="58"/>
  <c r="M42" i="58"/>
  <c r="N42" i="58"/>
  <c r="I35" i="58"/>
  <c r="J35" i="58"/>
  <c r="I36" i="58"/>
  <c r="J36" i="58"/>
  <c r="I37" i="58"/>
  <c r="J37" i="58"/>
  <c r="I38" i="58"/>
  <c r="J38" i="58"/>
  <c r="I39" i="58"/>
  <c r="J39" i="58"/>
  <c r="I40" i="58"/>
  <c r="J40" i="58"/>
  <c r="I41" i="58"/>
  <c r="J41" i="58"/>
  <c r="I42" i="58"/>
  <c r="J42" i="58"/>
  <c r="AG32" i="58"/>
  <c r="AD32" i="58"/>
  <c r="O32" i="58"/>
  <c r="P32" i="58"/>
  <c r="Q32" i="58"/>
  <c r="R32" i="58"/>
  <c r="S32" i="58"/>
  <c r="T32" i="58"/>
  <c r="U32" i="58"/>
  <c r="V32" i="58"/>
  <c r="W32" i="58"/>
  <c r="X32" i="58"/>
  <c r="Y32" i="58"/>
  <c r="Z32" i="58"/>
  <c r="AG31" i="58"/>
  <c r="AD31" i="58"/>
  <c r="O31" i="58"/>
  <c r="P31" i="58"/>
  <c r="Q31" i="58"/>
  <c r="R31" i="58"/>
  <c r="S31" i="58"/>
  <c r="T31" i="58"/>
  <c r="U31" i="58"/>
  <c r="V31" i="58"/>
  <c r="W31" i="58"/>
  <c r="X31" i="58"/>
  <c r="Y31" i="58"/>
  <c r="Z31" i="58"/>
  <c r="AA31" i="58"/>
  <c r="N26" i="58"/>
  <c r="N27" i="58"/>
  <c r="N28" i="58"/>
  <c r="N29" i="58"/>
  <c r="B23" i="58"/>
  <c r="AG16" i="58"/>
  <c r="AG19" i="58"/>
  <c r="AH37" i="58" s="1"/>
  <c r="AG20" i="58"/>
  <c r="AH87" i="58" s="1"/>
  <c r="AD19" i="58"/>
  <c r="AE121" i="58" s="1"/>
  <c r="AD20" i="58"/>
  <c r="AE87" i="58" s="1"/>
  <c r="G19" i="58"/>
  <c r="G20" i="58"/>
  <c r="N19" i="58"/>
  <c r="O19" i="58"/>
  <c r="P19" i="58"/>
  <c r="Q19" i="58"/>
  <c r="R19" i="58"/>
  <c r="S19" i="58"/>
  <c r="T19" i="58"/>
  <c r="U19" i="58"/>
  <c r="V19" i="58"/>
  <c r="W19" i="58"/>
  <c r="X19" i="58"/>
  <c r="Y19" i="58"/>
  <c r="Z19" i="58"/>
  <c r="N20" i="58"/>
  <c r="O20" i="58"/>
  <c r="P20" i="58"/>
  <c r="Q20" i="58"/>
  <c r="R20" i="58"/>
  <c r="S20" i="58"/>
  <c r="T20" i="58"/>
  <c r="U20" i="58"/>
  <c r="V20" i="58"/>
  <c r="W20" i="58"/>
  <c r="X20" i="58"/>
  <c r="Y20" i="58"/>
  <c r="Z20" i="58"/>
  <c r="B17" i="58"/>
  <c r="B18" i="58"/>
  <c r="B19" i="58"/>
  <c r="O16" i="58"/>
  <c r="P16" i="58"/>
  <c r="Q16" i="58"/>
  <c r="R16" i="58"/>
  <c r="S16" i="58"/>
  <c r="T16" i="58"/>
  <c r="U16" i="58"/>
  <c r="V16" i="58"/>
  <c r="W16" i="58"/>
  <c r="X16" i="58"/>
  <c r="Y16" i="58"/>
  <c r="Z16" i="58"/>
  <c r="O17" i="58"/>
  <c r="P17" i="58"/>
  <c r="Q17" i="58"/>
  <c r="R17" i="58"/>
  <c r="S17" i="58"/>
  <c r="T17" i="58"/>
  <c r="U17" i="58"/>
  <c r="V17" i="58"/>
  <c r="W17" i="58"/>
  <c r="X17" i="58"/>
  <c r="Y17" i="58"/>
  <c r="Z17" i="58"/>
  <c r="AA17" i="58" s="1"/>
  <c r="AA11" i="58" s="1"/>
  <c r="AA18" i="58" s="1"/>
  <c r="A14" i="58"/>
  <c r="AG12" i="58"/>
  <c r="AG13" i="58"/>
  <c r="AD12" i="58"/>
  <c r="AD13" i="58"/>
  <c r="B12" i="58"/>
  <c r="B13" i="58"/>
  <c r="O11" i="58"/>
  <c r="P11" i="58"/>
  <c r="Q11" i="58"/>
  <c r="R11" i="58"/>
  <c r="S11" i="58"/>
  <c r="T11" i="58"/>
  <c r="U11" i="58"/>
  <c r="V11" i="58"/>
  <c r="W11" i="58"/>
  <c r="X11" i="58"/>
  <c r="Y11" i="58"/>
  <c r="Z11" i="58"/>
  <c r="O12" i="58"/>
  <c r="P12" i="58"/>
  <c r="Q12" i="58"/>
  <c r="R12" i="58"/>
  <c r="S12" i="58"/>
  <c r="T12" i="58"/>
  <c r="U12" i="58"/>
  <c r="V12" i="58"/>
  <c r="W12" i="58"/>
  <c r="X12" i="58"/>
  <c r="Y12" i="58"/>
  <c r="Z12" i="58"/>
  <c r="AA12" i="58"/>
  <c r="O13" i="58"/>
  <c r="P13" i="58"/>
  <c r="Q13" i="58"/>
  <c r="R13" i="58"/>
  <c r="S13" i="58"/>
  <c r="T13" i="58"/>
  <c r="U13" i="58"/>
  <c r="V13" i="58"/>
  <c r="W13" i="58"/>
  <c r="X13" i="58"/>
  <c r="Y13" i="58"/>
  <c r="Z13" i="58"/>
  <c r="AA13" i="58"/>
  <c r="C10" i="58"/>
  <c r="D10" i="58"/>
  <c r="AA16" i="58" s="1"/>
  <c r="C9" i="58"/>
  <c r="C1" i="58"/>
  <c r="C2" i="58"/>
  <c r="C3" i="58"/>
  <c r="C4" i="58"/>
  <c r="C5" i="58"/>
  <c r="C6" i="58"/>
  <c r="C7" i="58"/>
  <c r="C8" i="58"/>
  <c r="E6" i="58"/>
  <c r="E4" i="58"/>
  <c r="F4" i="58"/>
  <c r="B3" i="58"/>
  <c r="B120" i="54"/>
  <c r="B114" i="54"/>
  <c r="B115" i="54"/>
  <c r="B116" i="54"/>
  <c r="AG111" i="54"/>
  <c r="AD111" i="54"/>
  <c r="O111" i="54"/>
  <c r="P111" i="54"/>
  <c r="Q111" i="54"/>
  <c r="R111" i="54"/>
  <c r="S111" i="54"/>
  <c r="T111" i="54"/>
  <c r="U111" i="54"/>
  <c r="V111" i="54"/>
  <c r="W111" i="54"/>
  <c r="X111" i="54"/>
  <c r="Y111" i="54"/>
  <c r="Z111" i="54"/>
  <c r="Q112" i="54"/>
  <c r="A111" i="54"/>
  <c r="N108" i="54"/>
  <c r="N111" i="54" s="1"/>
  <c r="N109" i="54"/>
  <c r="N112" i="54" s="1"/>
  <c r="AA108" i="54"/>
  <c r="AA109" i="54"/>
  <c r="I108" i="54"/>
  <c r="J108" i="54"/>
  <c r="I109" i="54"/>
  <c r="J109" i="54"/>
  <c r="N91" i="54"/>
  <c r="N92" i="54"/>
  <c r="N93" i="54"/>
  <c r="N94" i="54"/>
  <c r="N95" i="54"/>
  <c r="N96" i="54"/>
  <c r="N97" i="54"/>
  <c r="N98" i="54"/>
  <c r="N99" i="54"/>
  <c r="N100" i="54"/>
  <c r="N101" i="54"/>
  <c r="N102" i="54"/>
  <c r="N103" i="54"/>
  <c r="N104" i="54"/>
  <c r="N105" i="54"/>
  <c r="N106" i="54"/>
  <c r="I106" i="54"/>
  <c r="AA106" i="54" s="1"/>
  <c r="AF106" i="54" s="1"/>
  <c r="J106" i="54"/>
  <c r="AH92" i="54"/>
  <c r="AI92" i="54"/>
  <c r="AH100" i="54"/>
  <c r="AH102" i="54"/>
  <c r="AH105" i="54"/>
  <c r="AE92" i="54"/>
  <c r="AE99" i="54"/>
  <c r="AE102" i="54"/>
  <c r="AE103" i="54"/>
  <c r="AE104" i="54"/>
  <c r="AE105" i="54"/>
  <c r="AA92" i="54"/>
  <c r="AA94" i="54"/>
  <c r="AI94" i="54" s="1"/>
  <c r="AA100" i="54"/>
  <c r="AI100" i="54" s="1"/>
  <c r="AA102" i="54"/>
  <c r="AI102" i="54" s="1"/>
  <c r="I92" i="54"/>
  <c r="J92" i="54"/>
  <c r="K92" i="54" s="1"/>
  <c r="L92" i="54"/>
  <c r="M92" i="54"/>
  <c r="I93" i="54"/>
  <c r="J93" i="54"/>
  <c r="L93" i="54"/>
  <c r="M93" i="54"/>
  <c r="I94" i="54"/>
  <c r="K94" i="54" s="1"/>
  <c r="J94" i="54"/>
  <c r="L94" i="54"/>
  <c r="M94" i="54"/>
  <c r="I95" i="54"/>
  <c r="AA95" i="54" s="1"/>
  <c r="J95" i="54"/>
  <c r="K95" i="54" s="1"/>
  <c r="L95" i="54"/>
  <c r="M95" i="54"/>
  <c r="I96" i="54"/>
  <c r="J96" i="54"/>
  <c r="L96" i="54"/>
  <c r="M96" i="54"/>
  <c r="I97" i="54"/>
  <c r="K97" i="54" s="1"/>
  <c r="J97" i="54"/>
  <c r="L97" i="54"/>
  <c r="M97" i="54"/>
  <c r="I98" i="54"/>
  <c r="J98" i="54"/>
  <c r="L98" i="54"/>
  <c r="M98" i="54"/>
  <c r="I99" i="54"/>
  <c r="AA99" i="54" s="1"/>
  <c r="AB99" i="54" s="1"/>
  <c r="J99" i="54"/>
  <c r="L99" i="54"/>
  <c r="M99" i="54"/>
  <c r="I100" i="54"/>
  <c r="J100" i="54"/>
  <c r="K100" i="54" s="1"/>
  <c r="L100" i="54"/>
  <c r="M100" i="54"/>
  <c r="I101" i="54"/>
  <c r="K101" i="54" s="1"/>
  <c r="J101" i="54"/>
  <c r="L101" i="54"/>
  <c r="M101" i="54"/>
  <c r="I102" i="54"/>
  <c r="J102" i="54"/>
  <c r="K102" i="54"/>
  <c r="L102" i="54"/>
  <c r="M102" i="54"/>
  <c r="I103" i="54"/>
  <c r="AA103" i="54" s="1"/>
  <c r="AI103" i="54" s="1"/>
  <c r="J103" i="54"/>
  <c r="K103" i="54"/>
  <c r="L103" i="54"/>
  <c r="M103" i="54"/>
  <c r="I104" i="54"/>
  <c r="J104" i="54"/>
  <c r="L104" i="54"/>
  <c r="M104" i="54"/>
  <c r="I105" i="54"/>
  <c r="J105" i="54"/>
  <c r="L105" i="54"/>
  <c r="M105" i="54"/>
  <c r="I91" i="54"/>
  <c r="J91" i="54"/>
  <c r="B88" i="54"/>
  <c r="B89" i="54"/>
  <c r="B83" i="54"/>
  <c r="B84" i="54"/>
  <c r="B85" i="54"/>
  <c r="A80" i="54"/>
  <c r="AH76" i="54"/>
  <c r="AH77" i="54"/>
  <c r="AH78" i="54"/>
  <c r="AI79" i="54"/>
  <c r="AE76" i="54"/>
  <c r="AE77" i="54"/>
  <c r="AE78" i="54"/>
  <c r="AE83" i="54"/>
  <c r="AA76" i="54"/>
  <c r="AF76" i="54" s="1"/>
  <c r="I76" i="54"/>
  <c r="J76" i="54"/>
  <c r="K76" i="54"/>
  <c r="L76" i="54"/>
  <c r="M76" i="54"/>
  <c r="N76" i="54"/>
  <c r="I77" i="54"/>
  <c r="K77" i="54" s="1"/>
  <c r="J77" i="54"/>
  <c r="L77" i="54"/>
  <c r="M77" i="54"/>
  <c r="N77" i="54"/>
  <c r="I78" i="54"/>
  <c r="J78" i="54"/>
  <c r="L78" i="54"/>
  <c r="M78" i="54"/>
  <c r="N78" i="54"/>
  <c r="I79" i="54"/>
  <c r="AA79" i="54" s="1"/>
  <c r="J79" i="54"/>
  <c r="K79" i="54"/>
  <c r="L79" i="54"/>
  <c r="M79" i="54"/>
  <c r="N79" i="54"/>
  <c r="I80" i="54"/>
  <c r="AA80" i="54" s="1"/>
  <c r="J80" i="54"/>
  <c r="L80" i="54"/>
  <c r="M80" i="54"/>
  <c r="N80" i="54"/>
  <c r="I81" i="54"/>
  <c r="K81" i="54" s="1"/>
  <c r="J81" i="54"/>
  <c r="L81" i="54"/>
  <c r="M81" i="54"/>
  <c r="N81" i="54"/>
  <c r="I82" i="54"/>
  <c r="J82" i="54"/>
  <c r="L82" i="54"/>
  <c r="M82" i="54"/>
  <c r="N82" i="54"/>
  <c r="I83" i="54"/>
  <c r="AA83" i="54" s="1"/>
  <c r="J83" i="54"/>
  <c r="L83" i="54"/>
  <c r="M83" i="54"/>
  <c r="N83" i="54"/>
  <c r="I84" i="54"/>
  <c r="AA84" i="54" s="1"/>
  <c r="AF84" i="54" s="1"/>
  <c r="J84" i="54"/>
  <c r="L84" i="54"/>
  <c r="M84" i="54"/>
  <c r="N84" i="54"/>
  <c r="I85" i="54"/>
  <c r="K85" i="54" s="1"/>
  <c r="J85" i="54"/>
  <c r="L85" i="54"/>
  <c r="M85" i="54"/>
  <c r="N85" i="54"/>
  <c r="I86" i="54"/>
  <c r="J86" i="54"/>
  <c r="L86" i="54"/>
  <c r="M86" i="54"/>
  <c r="N86" i="54"/>
  <c r="I87" i="54"/>
  <c r="AA87" i="54" s="1"/>
  <c r="J87" i="54"/>
  <c r="L87" i="54"/>
  <c r="M87" i="54"/>
  <c r="N87" i="54"/>
  <c r="I88" i="54"/>
  <c r="J88" i="54"/>
  <c r="L88" i="54"/>
  <c r="M88" i="54"/>
  <c r="N88" i="54"/>
  <c r="I89" i="54"/>
  <c r="K89" i="54" s="1"/>
  <c r="J89" i="54"/>
  <c r="L89" i="54"/>
  <c r="M89" i="54"/>
  <c r="N89" i="54"/>
  <c r="N74" i="54"/>
  <c r="N75" i="54"/>
  <c r="I74" i="54"/>
  <c r="J74" i="54"/>
  <c r="I75" i="54"/>
  <c r="J75" i="54"/>
  <c r="AD72" i="54"/>
  <c r="AG72" i="54"/>
  <c r="AG112" i="54" s="1"/>
  <c r="N72" i="54"/>
  <c r="O72" i="54"/>
  <c r="O112" i="54" s="1"/>
  <c r="P72" i="54"/>
  <c r="P112" i="54" s="1"/>
  <c r="Q72" i="54"/>
  <c r="R72" i="54"/>
  <c r="R112" i="54" s="1"/>
  <c r="S72" i="54"/>
  <c r="S112" i="54" s="1"/>
  <c r="T72" i="54"/>
  <c r="T112" i="54" s="1"/>
  <c r="U72" i="54"/>
  <c r="U112" i="54" s="1"/>
  <c r="V72" i="54"/>
  <c r="V112" i="54" s="1"/>
  <c r="W72" i="54"/>
  <c r="W112" i="54" s="1"/>
  <c r="X72" i="54"/>
  <c r="X112" i="54" s="1"/>
  <c r="Y72" i="54"/>
  <c r="Y112" i="54" s="1"/>
  <c r="Z72" i="54"/>
  <c r="Z112" i="54" s="1"/>
  <c r="AB62" i="54"/>
  <c r="AM62" i="54" s="1"/>
  <c r="AB63" i="54"/>
  <c r="AB64" i="54"/>
  <c r="AB65" i="54"/>
  <c r="AB66" i="54"/>
  <c r="AM66" i="54" s="1"/>
  <c r="AB67" i="54"/>
  <c r="AN67" i="54" s="1"/>
  <c r="AB68" i="54"/>
  <c r="AB69" i="54"/>
  <c r="AB70" i="54"/>
  <c r="AN70" i="54" s="1"/>
  <c r="AB71" i="54"/>
  <c r="N60" i="54"/>
  <c r="N61" i="54"/>
  <c r="N62" i="54"/>
  <c r="N63" i="54"/>
  <c r="N64" i="54"/>
  <c r="N65" i="54"/>
  <c r="N66" i="54"/>
  <c r="N67" i="54"/>
  <c r="N68" i="54"/>
  <c r="N69" i="54"/>
  <c r="N70" i="54"/>
  <c r="N71" i="54"/>
  <c r="I71" i="54"/>
  <c r="J71" i="54"/>
  <c r="K71" i="54"/>
  <c r="I72" i="54"/>
  <c r="K72" i="54" s="1"/>
  <c r="J72" i="54"/>
  <c r="AH62" i="54"/>
  <c r="AH63" i="54"/>
  <c r="AN63" i="54" s="1"/>
  <c r="AH64" i="54"/>
  <c r="AK64" i="54"/>
  <c r="AH65" i="54"/>
  <c r="AH66" i="54"/>
  <c r="AN66" i="54" s="1"/>
  <c r="AH67" i="54"/>
  <c r="AM67" i="54"/>
  <c r="AH68" i="54"/>
  <c r="AH69" i="54"/>
  <c r="AI69" i="54"/>
  <c r="AH70" i="54"/>
  <c r="AH71" i="54"/>
  <c r="AN71" i="54" s="1"/>
  <c r="AI71" i="54"/>
  <c r="AE62" i="54"/>
  <c r="AE63" i="54"/>
  <c r="AM63" i="54" s="1"/>
  <c r="AE64" i="54"/>
  <c r="AE65" i="54"/>
  <c r="AM65" i="54" s="1"/>
  <c r="AE66" i="54"/>
  <c r="AE67" i="54"/>
  <c r="AE68" i="54"/>
  <c r="AE69" i="54"/>
  <c r="AE70" i="54"/>
  <c r="AF70" i="54"/>
  <c r="AE71" i="54"/>
  <c r="AM71" i="54" s="1"/>
  <c r="AF71" i="54"/>
  <c r="I62" i="54"/>
  <c r="AA62" i="54" s="1"/>
  <c r="AF62" i="54" s="1"/>
  <c r="J62" i="54"/>
  <c r="K62" i="54"/>
  <c r="L62" i="54"/>
  <c r="M62" i="54"/>
  <c r="I63" i="54"/>
  <c r="J63" i="54"/>
  <c r="L63" i="54"/>
  <c r="M63" i="54"/>
  <c r="I64" i="54"/>
  <c r="AA64" i="54" s="1"/>
  <c r="J64" i="54"/>
  <c r="K64" i="54"/>
  <c r="L64" i="54"/>
  <c r="M64" i="54"/>
  <c r="I65" i="54"/>
  <c r="K65" i="54" s="1"/>
  <c r="J65" i="54"/>
  <c r="L65" i="54"/>
  <c r="M65" i="54"/>
  <c r="I66" i="54"/>
  <c r="K66" i="54" s="1"/>
  <c r="J66" i="54"/>
  <c r="L66" i="54"/>
  <c r="M66" i="54"/>
  <c r="I67" i="54"/>
  <c r="AA67" i="54" s="1"/>
  <c r="AF67" i="54" s="1"/>
  <c r="J67" i="54"/>
  <c r="L67" i="54"/>
  <c r="M67" i="54"/>
  <c r="I68" i="54"/>
  <c r="AA68" i="54" s="1"/>
  <c r="J68" i="54"/>
  <c r="L68" i="54"/>
  <c r="M68" i="54"/>
  <c r="I69" i="54"/>
  <c r="AA69" i="54" s="1"/>
  <c r="AF69" i="54" s="1"/>
  <c r="J69" i="54"/>
  <c r="L69" i="54"/>
  <c r="M69" i="54"/>
  <c r="I70" i="54"/>
  <c r="AA70" i="54" s="1"/>
  <c r="AI70" i="54" s="1"/>
  <c r="J70" i="54"/>
  <c r="L70" i="54"/>
  <c r="M70" i="54"/>
  <c r="I60" i="54"/>
  <c r="J60" i="54"/>
  <c r="I61" i="54"/>
  <c r="J61" i="54"/>
  <c r="B55" i="54"/>
  <c r="B56" i="54"/>
  <c r="B50" i="54"/>
  <c r="B51" i="54"/>
  <c r="B52" i="54"/>
  <c r="A47" i="54"/>
  <c r="AH39" i="54"/>
  <c r="AH41" i="54"/>
  <c r="AL48" i="54"/>
  <c r="AH50" i="54"/>
  <c r="AH51" i="54"/>
  <c r="AH52" i="54"/>
  <c r="AH53" i="54"/>
  <c r="AK53" i="54"/>
  <c r="AH55" i="54"/>
  <c r="AH56" i="54"/>
  <c r="AE37" i="54"/>
  <c r="AE39" i="54"/>
  <c r="AE41" i="54"/>
  <c r="AE44" i="54"/>
  <c r="AE46" i="54"/>
  <c r="AF46" i="54"/>
  <c r="AE48" i="54"/>
  <c r="AE49" i="54"/>
  <c r="AE50" i="54"/>
  <c r="AE51" i="54"/>
  <c r="AE52" i="54"/>
  <c r="AE53" i="54"/>
  <c r="AE55" i="54"/>
  <c r="AE56" i="54"/>
  <c r="AE57" i="54"/>
  <c r="AA42" i="54"/>
  <c r="AI42" i="54" s="1"/>
  <c r="AA46" i="54"/>
  <c r="AI46" i="54" s="1"/>
  <c r="AA50" i="54"/>
  <c r="AI50" i="54" s="1"/>
  <c r="I35" i="54"/>
  <c r="J35" i="54"/>
  <c r="L35" i="54"/>
  <c r="M35" i="54"/>
  <c r="N35" i="54"/>
  <c r="I36" i="54"/>
  <c r="K36" i="54" s="1"/>
  <c r="J36" i="54"/>
  <c r="L36" i="54"/>
  <c r="M36" i="54"/>
  <c r="N36" i="54"/>
  <c r="I37" i="54"/>
  <c r="K37" i="54" s="1"/>
  <c r="J37" i="54"/>
  <c r="L37" i="54"/>
  <c r="M37" i="54"/>
  <c r="N37" i="54"/>
  <c r="I38" i="54"/>
  <c r="J38" i="54"/>
  <c r="L38" i="54"/>
  <c r="M38" i="54"/>
  <c r="N38" i="54"/>
  <c r="I39" i="54"/>
  <c r="AA39" i="54" s="1"/>
  <c r="J39" i="54"/>
  <c r="K39" i="54"/>
  <c r="L39" i="54"/>
  <c r="M39" i="54"/>
  <c r="N39" i="54"/>
  <c r="I40" i="54"/>
  <c r="K40" i="54" s="1"/>
  <c r="J40" i="54"/>
  <c r="L40" i="54"/>
  <c r="M40" i="54"/>
  <c r="N40" i="54"/>
  <c r="I41" i="54"/>
  <c r="K41" i="54" s="1"/>
  <c r="J41" i="54"/>
  <c r="L41" i="54"/>
  <c r="M41" i="54"/>
  <c r="N41" i="54"/>
  <c r="I42" i="54"/>
  <c r="J42" i="54"/>
  <c r="K42" i="54"/>
  <c r="L42" i="54"/>
  <c r="M42" i="54"/>
  <c r="N42" i="54"/>
  <c r="I43" i="54"/>
  <c r="AA43" i="54" s="1"/>
  <c r="J43" i="54"/>
  <c r="L43" i="54"/>
  <c r="M43" i="54"/>
  <c r="N43" i="54"/>
  <c r="I44" i="54"/>
  <c r="K44" i="54" s="1"/>
  <c r="J44" i="54"/>
  <c r="L44" i="54"/>
  <c r="M44" i="54"/>
  <c r="N44" i="54"/>
  <c r="I45" i="54"/>
  <c r="K45" i="54" s="1"/>
  <c r="J45" i="54"/>
  <c r="L45" i="54"/>
  <c r="M45" i="54"/>
  <c r="N45" i="54"/>
  <c r="I46" i="54"/>
  <c r="K46" i="54" s="1"/>
  <c r="J46" i="54"/>
  <c r="L46" i="54"/>
  <c r="M46" i="54"/>
  <c r="N46" i="54"/>
  <c r="I47" i="54"/>
  <c r="AA47" i="54" s="1"/>
  <c r="J47" i="54"/>
  <c r="L47" i="54"/>
  <c r="M47" i="54"/>
  <c r="N47" i="54"/>
  <c r="I48" i="54"/>
  <c r="K48" i="54" s="1"/>
  <c r="J48" i="54"/>
  <c r="L48" i="54"/>
  <c r="M48" i="54"/>
  <c r="N48" i="54"/>
  <c r="I49" i="54"/>
  <c r="K49" i="54" s="1"/>
  <c r="J49" i="54"/>
  <c r="L49" i="54"/>
  <c r="M49" i="54"/>
  <c r="N49" i="54"/>
  <c r="I50" i="54"/>
  <c r="K50" i="54" s="1"/>
  <c r="J50" i="54"/>
  <c r="L50" i="54"/>
  <c r="M50" i="54"/>
  <c r="N50" i="54"/>
  <c r="I51" i="54"/>
  <c r="J51" i="54"/>
  <c r="L51" i="54"/>
  <c r="M51" i="54"/>
  <c r="N51" i="54"/>
  <c r="I52" i="54"/>
  <c r="K52" i="54" s="1"/>
  <c r="J52" i="54"/>
  <c r="L52" i="54"/>
  <c r="M52" i="54"/>
  <c r="N52" i="54"/>
  <c r="I53" i="54"/>
  <c r="K53" i="54" s="1"/>
  <c r="J53" i="54"/>
  <c r="L53" i="54"/>
  <c r="M53" i="54"/>
  <c r="N53" i="54"/>
  <c r="I54" i="54"/>
  <c r="J54" i="54"/>
  <c r="L54" i="54"/>
  <c r="M54" i="54"/>
  <c r="N54" i="54"/>
  <c r="I55" i="54"/>
  <c r="AA55" i="54" s="1"/>
  <c r="J55" i="54"/>
  <c r="K55" i="54"/>
  <c r="L55" i="54"/>
  <c r="M55" i="54"/>
  <c r="N55" i="54"/>
  <c r="I56" i="54"/>
  <c r="K56" i="54" s="1"/>
  <c r="J56" i="54"/>
  <c r="L56" i="54"/>
  <c r="M56" i="54"/>
  <c r="N56" i="54"/>
  <c r="I57" i="54"/>
  <c r="K57" i="54" s="1"/>
  <c r="J57" i="54"/>
  <c r="L57" i="54"/>
  <c r="M57" i="54"/>
  <c r="N57" i="54"/>
  <c r="I58" i="54"/>
  <c r="AA58" i="54" s="1"/>
  <c r="J58" i="54"/>
  <c r="K58" i="54"/>
  <c r="L58" i="54"/>
  <c r="M58" i="54"/>
  <c r="N58" i="54"/>
  <c r="N33" i="54"/>
  <c r="N34" i="54"/>
  <c r="I33" i="54"/>
  <c r="J33" i="54"/>
  <c r="I34" i="54"/>
  <c r="J34" i="54"/>
  <c r="AK32" i="54"/>
  <c r="AG32" i="54"/>
  <c r="AL32" i="54" s="1"/>
  <c r="AD32" i="54"/>
  <c r="O32" i="54"/>
  <c r="P32" i="54"/>
  <c r="Q32" i="54"/>
  <c r="R32" i="54"/>
  <c r="S32" i="54"/>
  <c r="T32" i="54"/>
  <c r="U32" i="54"/>
  <c r="V32" i="54"/>
  <c r="W32" i="54"/>
  <c r="X32" i="54"/>
  <c r="Y32" i="54"/>
  <c r="Z32" i="54"/>
  <c r="AJ32" i="54" s="1"/>
  <c r="AJ31" i="54"/>
  <c r="AK31" i="54"/>
  <c r="AM31" i="54" s="1"/>
  <c r="AL31" i="54"/>
  <c r="AN31" i="54" s="1"/>
  <c r="AG31" i="54"/>
  <c r="AD31" i="54"/>
  <c r="O31" i="54"/>
  <c r="P31" i="54"/>
  <c r="Q31" i="54"/>
  <c r="R31" i="54"/>
  <c r="S31" i="54"/>
  <c r="T31" i="54"/>
  <c r="U31" i="54"/>
  <c r="V31" i="54"/>
  <c r="W31" i="54"/>
  <c r="X31" i="54"/>
  <c r="Y31" i="54"/>
  <c r="Z31" i="54"/>
  <c r="AA31" i="54"/>
  <c r="N26" i="54"/>
  <c r="N27" i="54"/>
  <c r="N28" i="54"/>
  <c r="N29" i="54"/>
  <c r="B29" i="54"/>
  <c r="B22" i="54"/>
  <c r="B23" i="54"/>
  <c r="AG16" i="54"/>
  <c r="AG19" i="54"/>
  <c r="AH47" i="54" s="1"/>
  <c r="AG20" i="54"/>
  <c r="AL69" i="54" s="1"/>
  <c r="AD19" i="54"/>
  <c r="AE96" i="54" s="1"/>
  <c r="AD20" i="54"/>
  <c r="AK84" i="54" s="1"/>
  <c r="G19" i="54"/>
  <c r="G20" i="54"/>
  <c r="N19" i="54"/>
  <c r="O19" i="54"/>
  <c r="P19" i="54"/>
  <c r="Q19" i="54"/>
  <c r="R19" i="54"/>
  <c r="S19" i="54"/>
  <c r="T19" i="54"/>
  <c r="U19" i="54"/>
  <c r="V19" i="54"/>
  <c r="W19" i="54"/>
  <c r="X19" i="54"/>
  <c r="Y19" i="54"/>
  <c r="Z19" i="54"/>
  <c r="N20" i="54"/>
  <c r="O20" i="54"/>
  <c r="P20" i="54"/>
  <c r="Q20" i="54"/>
  <c r="R20" i="54"/>
  <c r="S20" i="54"/>
  <c r="T20" i="54"/>
  <c r="U20" i="54"/>
  <c r="V20" i="54"/>
  <c r="W20" i="54"/>
  <c r="X20" i="54"/>
  <c r="Y20" i="54"/>
  <c r="Z20" i="54"/>
  <c r="B17" i="54"/>
  <c r="B18" i="54"/>
  <c r="B19" i="54"/>
  <c r="O16" i="54"/>
  <c r="P16" i="54"/>
  <c r="Q16" i="54"/>
  <c r="R16" i="54"/>
  <c r="S16" i="54"/>
  <c r="T16" i="54"/>
  <c r="U16" i="54"/>
  <c r="V16" i="54"/>
  <c r="W16" i="54"/>
  <c r="X16" i="54"/>
  <c r="Y16" i="54"/>
  <c r="O17" i="54"/>
  <c r="P17" i="54"/>
  <c r="Q17" i="54"/>
  <c r="R17" i="54"/>
  <c r="S17" i="54"/>
  <c r="T17" i="54"/>
  <c r="U17" i="54"/>
  <c r="V17" i="54"/>
  <c r="W17" i="54"/>
  <c r="X17" i="54"/>
  <c r="Y17" i="54"/>
  <c r="Z17" i="54"/>
  <c r="AA17" i="54" s="1"/>
  <c r="AA11" i="54" s="1"/>
  <c r="A14" i="54"/>
  <c r="AG12" i="54"/>
  <c r="AG13" i="54"/>
  <c r="AD12" i="54"/>
  <c r="AD13" i="54"/>
  <c r="B12" i="54"/>
  <c r="B13" i="54"/>
  <c r="O11" i="54"/>
  <c r="P11" i="54"/>
  <c r="Q11" i="54"/>
  <c r="R11" i="54"/>
  <c r="S11" i="54"/>
  <c r="T11" i="54"/>
  <c r="U11" i="54"/>
  <c r="V11" i="54"/>
  <c r="W11" i="54"/>
  <c r="X11" i="54"/>
  <c r="Y11" i="54"/>
  <c r="Z11" i="54"/>
  <c r="O12" i="54"/>
  <c r="P12" i="54"/>
  <c r="Q12" i="54"/>
  <c r="R12" i="54"/>
  <c r="S12" i="54"/>
  <c r="T12" i="54"/>
  <c r="U12" i="54"/>
  <c r="V12" i="54"/>
  <c r="W12" i="54"/>
  <c r="X12" i="54"/>
  <c r="Y12" i="54"/>
  <c r="Z12" i="54"/>
  <c r="AA12" i="54"/>
  <c r="O13" i="54"/>
  <c r="P13" i="54"/>
  <c r="Q13" i="54"/>
  <c r="R13" i="54"/>
  <c r="S13" i="54"/>
  <c r="T13" i="54"/>
  <c r="U13" i="54"/>
  <c r="V13" i="54"/>
  <c r="W13" i="54"/>
  <c r="X13" i="54"/>
  <c r="Y13" i="54"/>
  <c r="Z13" i="54"/>
  <c r="AA13" i="54"/>
  <c r="C10" i="54"/>
  <c r="D10" i="54"/>
  <c r="Z16" i="54" s="1"/>
  <c r="C9" i="54"/>
  <c r="C1" i="54"/>
  <c r="C2" i="54"/>
  <c r="C3" i="54"/>
  <c r="C4" i="54"/>
  <c r="C5" i="54"/>
  <c r="C6" i="54"/>
  <c r="C7" i="54"/>
  <c r="C8" i="54"/>
  <c r="E6" i="54"/>
  <c r="B62" i="54" s="1"/>
  <c r="E4" i="54"/>
  <c r="F4" i="54"/>
  <c r="B3" i="54"/>
  <c r="H2" i="54" s="1"/>
  <c r="N1" i="54"/>
  <c r="N1" i="58" s="1"/>
  <c r="AG143" i="64"/>
  <c r="AG144" i="64"/>
  <c r="AG145" i="64"/>
  <c r="AG146" i="64"/>
  <c r="AD143" i="64"/>
  <c r="AD144" i="64"/>
  <c r="AD145" i="64"/>
  <c r="AD146" i="64"/>
  <c r="O143" i="64"/>
  <c r="P143" i="64"/>
  <c r="Q143" i="64"/>
  <c r="R143" i="64"/>
  <c r="S143" i="64"/>
  <c r="T143" i="64"/>
  <c r="U143" i="64"/>
  <c r="V143" i="64"/>
  <c r="W143" i="64"/>
  <c r="X143" i="64"/>
  <c r="Y143" i="64"/>
  <c r="Z143" i="64"/>
  <c r="O144" i="64"/>
  <c r="P144" i="64"/>
  <c r="Q144" i="64"/>
  <c r="R144" i="64"/>
  <c r="S144" i="64"/>
  <c r="T144" i="64"/>
  <c r="U144" i="64"/>
  <c r="V144" i="64"/>
  <c r="W144" i="64"/>
  <c r="X144" i="64"/>
  <c r="Y144" i="64"/>
  <c r="Z144" i="64"/>
  <c r="O145" i="64"/>
  <c r="P145" i="64"/>
  <c r="Q145" i="64"/>
  <c r="R145" i="64"/>
  <c r="S145" i="64"/>
  <c r="T145" i="64"/>
  <c r="U145" i="64"/>
  <c r="V145" i="64"/>
  <c r="W145" i="64"/>
  <c r="X145" i="64"/>
  <c r="Y145" i="64"/>
  <c r="Z145" i="64"/>
  <c r="O146" i="64"/>
  <c r="P146" i="64"/>
  <c r="Q146" i="64"/>
  <c r="R146" i="64"/>
  <c r="S146" i="64"/>
  <c r="T146" i="64"/>
  <c r="U146" i="64"/>
  <c r="V146" i="64"/>
  <c r="W146" i="64"/>
  <c r="X146" i="64"/>
  <c r="Y146" i="64"/>
  <c r="Z146" i="64"/>
  <c r="AI131" i="64"/>
  <c r="AI133" i="64"/>
  <c r="AI135" i="64"/>
  <c r="AI136" i="64"/>
  <c r="AI137" i="64"/>
  <c r="AI139" i="64"/>
  <c r="AI140" i="64"/>
  <c r="AG141" i="64"/>
  <c r="AD141" i="64"/>
  <c r="O141" i="64"/>
  <c r="P141" i="64"/>
  <c r="Q141" i="64"/>
  <c r="R141" i="64"/>
  <c r="S141" i="64"/>
  <c r="T141" i="64"/>
  <c r="U141" i="64"/>
  <c r="V141" i="64"/>
  <c r="W141" i="64"/>
  <c r="X141" i="64"/>
  <c r="Y141" i="64"/>
  <c r="Z141" i="64"/>
  <c r="AH140" i="64"/>
  <c r="AE140" i="64"/>
  <c r="AF140" i="64"/>
  <c r="AA140" i="64"/>
  <c r="AB140" i="64"/>
  <c r="AF131" i="64"/>
  <c r="AF133" i="64"/>
  <c r="AF135" i="64"/>
  <c r="AF137" i="64"/>
  <c r="AF139" i="64"/>
  <c r="AH138" i="64"/>
  <c r="AE138" i="64"/>
  <c r="AA138" i="64"/>
  <c r="AB138" i="64"/>
  <c r="AH136" i="64"/>
  <c r="AE136" i="64"/>
  <c r="AA136" i="64"/>
  <c r="AF136" i="64" s="1"/>
  <c r="AB136" i="64"/>
  <c r="AH134" i="64"/>
  <c r="AE134" i="64"/>
  <c r="AA134" i="64"/>
  <c r="AB134" i="64"/>
  <c r="AH132" i="64"/>
  <c r="AE132" i="64"/>
  <c r="AA132" i="64"/>
  <c r="AI132" i="64" s="1"/>
  <c r="AB132" i="64"/>
  <c r="AH130" i="64"/>
  <c r="AE130" i="64"/>
  <c r="AA130" i="64"/>
  <c r="AB130" i="64"/>
  <c r="L130" i="64"/>
  <c r="M130" i="64"/>
  <c r="N130" i="64"/>
  <c r="L131" i="64"/>
  <c r="M131" i="64"/>
  <c r="N131" i="64"/>
  <c r="L132" i="64"/>
  <c r="M132" i="64"/>
  <c r="N132" i="64"/>
  <c r="L133" i="64"/>
  <c r="M133" i="64"/>
  <c r="N133" i="64"/>
  <c r="L134" i="64"/>
  <c r="M134" i="64"/>
  <c r="N134" i="64"/>
  <c r="L135" i="64"/>
  <c r="M135" i="64"/>
  <c r="N135" i="64"/>
  <c r="L136" i="64"/>
  <c r="M136" i="64"/>
  <c r="N136" i="64"/>
  <c r="L137" i="64"/>
  <c r="M137" i="64"/>
  <c r="N137" i="64"/>
  <c r="L138" i="64"/>
  <c r="M138" i="64"/>
  <c r="N138" i="64"/>
  <c r="L139" i="64"/>
  <c r="M139" i="64"/>
  <c r="N139" i="64"/>
  <c r="L140" i="64"/>
  <c r="M140" i="64"/>
  <c r="N140" i="64"/>
  <c r="N129" i="64"/>
  <c r="AG121" i="64"/>
  <c r="AH121" i="64" s="1"/>
  <c r="AG122" i="64"/>
  <c r="AG123" i="64"/>
  <c r="AG124" i="64"/>
  <c r="AH124" i="64" s="1"/>
  <c r="AG125" i="64"/>
  <c r="AD121" i="64"/>
  <c r="AD122" i="64"/>
  <c r="AD123" i="64"/>
  <c r="AD124" i="64"/>
  <c r="AE124" i="64" s="1"/>
  <c r="AD125" i="64"/>
  <c r="AE125" i="64" s="1"/>
  <c r="AH122" i="64"/>
  <c r="AH125" i="64"/>
  <c r="AE121" i="64"/>
  <c r="AE122" i="64"/>
  <c r="AE123" i="64"/>
  <c r="L121" i="64"/>
  <c r="M121" i="64"/>
  <c r="N121" i="64"/>
  <c r="O121" i="64"/>
  <c r="P121" i="64"/>
  <c r="Q121" i="64"/>
  <c r="R121" i="64"/>
  <c r="S121" i="64"/>
  <c r="T121" i="64"/>
  <c r="U121" i="64"/>
  <c r="V121" i="64"/>
  <c r="V126" i="64" s="1"/>
  <c r="V127" i="64" s="1"/>
  <c r="W121" i="64"/>
  <c r="X121" i="64"/>
  <c r="Y121" i="64"/>
  <c r="Z121" i="64"/>
  <c r="L122" i="64"/>
  <c r="M122" i="64"/>
  <c r="N122" i="64"/>
  <c r="O122" i="64"/>
  <c r="P122" i="64"/>
  <c r="Q122" i="64"/>
  <c r="R122" i="64"/>
  <c r="S122" i="64"/>
  <c r="T122" i="64"/>
  <c r="U122" i="64"/>
  <c r="V122" i="64"/>
  <c r="W122" i="64"/>
  <c r="W126" i="64" s="1"/>
  <c r="W127" i="64" s="1"/>
  <c r="X122" i="64"/>
  <c r="Y122" i="64"/>
  <c r="Z122" i="64"/>
  <c r="L123" i="64"/>
  <c r="M123" i="64"/>
  <c r="N123" i="64"/>
  <c r="O123" i="64"/>
  <c r="P123" i="64"/>
  <c r="Q123" i="64"/>
  <c r="R123" i="64"/>
  <c r="S123" i="64"/>
  <c r="T123" i="64"/>
  <c r="U123" i="64"/>
  <c r="V123" i="64"/>
  <c r="W123" i="64"/>
  <c r="X123" i="64"/>
  <c r="Y123" i="64"/>
  <c r="Z123" i="64"/>
  <c r="L124" i="64"/>
  <c r="M124" i="64"/>
  <c r="N124" i="64"/>
  <c r="O124" i="64"/>
  <c r="P124" i="64"/>
  <c r="Q124" i="64"/>
  <c r="R124" i="64"/>
  <c r="S124" i="64"/>
  <c r="T124" i="64"/>
  <c r="U124" i="64"/>
  <c r="V124" i="64"/>
  <c r="W124" i="64"/>
  <c r="X124" i="64"/>
  <c r="Y124" i="64"/>
  <c r="Z124" i="64"/>
  <c r="L125" i="64"/>
  <c r="M125" i="64"/>
  <c r="N125" i="64"/>
  <c r="O125" i="64"/>
  <c r="P125" i="64"/>
  <c r="Q125" i="64"/>
  <c r="R125" i="64"/>
  <c r="S125" i="64"/>
  <c r="T125" i="64"/>
  <c r="U125" i="64"/>
  <c r="V125" i="64"/>
  <c r="W125" i="64"/>
  <c r="X125" i="64"/>
  <c r="Y125" i="64"/>
  <c r="Z125" i="64"/>
  <c r="L126" i="64"/>
  <c r="M126" i="64"/>
  <c r="N126" i="64"/>
  <c r="AH114" i="64"/>
  <c r="AH115" i="64"/>
  <c r="AH116" i="64"/>
  <c r="AH117" i="64"/>
  <c r="AH118" i="64"/>
  <c r="AH119" i="64"/>
  <c r="AE114" i="64"/>
  <c r="AE115" i="64"/>
  <c r="AE116" i="64"/>
  <c r="AF116" i="64"/>
  <c r="AE117" i="64"/>
  <c r="AE118" i="64"/>
  <c r="AE119" i="64"/>
  <c r="AA114" i="64"/>
  <c r="AF114" i="64" s="1"/>
  <c r="AB114" i="64"/>
  <c r="AA115" i="64"/>
  <c r="AI115" i="64" s="1"/>
  <c r="AA116" i="64"/>
  <c r="AI116" i="64" s="1"/>
  <c r="AA117" i="64"/>
  <c r="AF117" i="64" s="1"/>
  <c r="AA118" i="64"/>
  <c r="AF118" i="64" s="1"/>
  <c r="AB118" i="64"/>
  <c r="AA119" i="64"/>
  <c r="AI119" i="64" s="1"/>
  <c r="L114" i="64"/>
  <c r="M114" i="64"/>
  <c r="N114" i="64"/>
  <c r="L115" i="64"/>
  <c r="M115" i="64"/>
  <c r="N115" i="64"/>
  <c r="L116" i="64"/>
  <c r="M116" i="64"/>
  <c r="N116" i="64"/>
  <c r="L117" i="64"/>
  <c r="M117" i="64"/>
  <c r="N117" i="64"/>
  <c r="L118" i="64"/>
  <c r="M118" i="64"/>
  <c r="N118" i="64"/>
  <c r="L119" i="64"/>
  <c r="M119" i="64"/>
  <c r="N119" i="64"/>
  <c r="AH106" i="64"/>
  <c r="AH107" i="64"/>
  <c r="AI107" i="64"/>
  <c r="AH108" i="64"/>
  <c r="AH109" i="64"/>
  <c r="AH110" i="64"/>
  <c r="AH111" i="64"/>
  <c r="AI111" i="64"/>
  <c r="AE106" i="64"/>
  <c r="AE107" i="64"/>
  <c r="AE108" i="64"/>
  <c r="AE109" i="64"/>
  <c r="AF109" i="64"/>
  <c r="AE110" i="64"/>
  <c r="AE111" i="64"/>
  <c r="AA106" i="64"/>
  <c r="AF106" i="64" s="1"/>
  <c r="AA107" i="64"/>
  <c r="AF107" i="64" s="1"/>
  <c r="AB107" i="64"/>
  <c r="AA108" i="64"/>
  <c r="AI108" i="64" s="1"/>
  <c r="AA109" i="64"/>
  <c r="AI109" i="64" s="1"/>
  <c r="AA110" i="64"/>
  <c r="AF110" i="64" s="1"/>
  <c r="AA111" i="64"/>
  <c r="AF111" i="64" s="1"/>
  <c r="AB111" i="64"/>
  <c r="L106" i="64"/>
  <c r="M106" i="64"/>
  <c r="N106" i="64"/>
  <c r="L107" i="64"/>
  <c r="M107" i="64"/>
  <c r="N107" i="64"/>
  <c r="L108" i="64"/>
  <c r="M108" i="64"/>
  <c r="N108" i="64"/>
  <c r="L109" i="64"/>
  <c r="M109" i="64"/>
  <c r="N109" i="64"/>
  <c r="L110" i="64"/>
  <c r="M110" i="64"/>
  <c r="N110" i="64"/>
  <c r="L111" i="64"/>
  <c r="M111" i="64"/>
  <c r="N111" i="64"/>
  <c r="AH98" i="64"/>
  <c r="AH99" i="64"/>
  <c r="AH100" i="64"/>
  <c r="AH101" i="64"/>
  <c r="AH102" i="64"/>
  <c r="AH103" i="64"/>
  <c r="AE98" i="64"/>
  <c r="AF98" i="64"/>
  <c r="AE99" i="64"/>
  <c r="AE100" i="64"/>
  <c r="AE101" i="64"/>
  <c r="AE102" i="64"/>
  <c r="AF102" i="64"/>
  <c r="AE103" i="64"/>
  <c r="AA98" i="64"/>
  <c r="AI98" i="64" s="1"/>
  <c r="AA99" i="64"/>
  <c r="AF99" i="64" s="1"/>
  <c r="AA100" i="64"/>
  <c r="AA101" i="64"/>
  <c r="AI101" i="64" s="1"/>
  <c r="AA102" i="64"/>
  <c r="AI102" i="64" s="1"/>
  <c r="AA103" i="64"/>
  <c r="AF103" i="64" s="1"/>
  <c r="L98" i="64"/>
  <c r="M98" i="64"/>
  <c r="N98" i="64"/>
  <c r="L99" i="64"/>
  <c r="M99" i="64"/>
  <c r="N99" i="64"/>
  <c r="L100" i="64"/>
  <c r="M100" i="64"/>
  <c r="N100" i="64"/>
  <c r="L101" i="64"/>
  <c r="M101" i="64"/>
  <c r="N101" i="64"/>
  <c r="L102" i="64"/>
  <c r="M102" i="64"/>
  <c r="N102" i="64"/>
  <c r="L103" i="64"/>
  <c r="M103" i="64"/>
  <c r="N103" i="64"/>
  <c r="AI91" i="64"/>
  <c r="AD93" i="64"/>
  <c r="AD94" i="64"/>
  <c r="AG93" i="64"/>
  <c r="AG94" i="64"/>
  <c r="O93" i="64"/>
  <c r="P93" i="64"/>
  <c r="Q93" i="64"/>
  <c r="R93" i="64"/>
  <c r="S93" i="64"/>
  <c r="T93" i="64"/>
  <c r="U93" i="64"/>
  <c r="V93" i="64"/>
  <c r="W93" i="64"/>
  <c r="X93" i="64"/>
  <c r="Y93" i="64"/>
  <c r="Z93" i="64"/>
  <c r="O94" i="64"/>
  <c r="P94" i="64"/>
  <c r="Q94" i="64"/>
  <c r="R94" i="64"/>
  <c r="S94" i="64"/>
  <c r="T94" i="64"/>
  <c r="U94" i="64"/>
  <c r="V94" i="64"/>
  <c r="W94" i="64"/>
  <c r="X94" i="64"/>
  <c r="Y94" i="64"/>
  <c r="Z94" i="64"/>
  <c r="AA91" i="64"/>
  <c r="AF91" i="64" s="1"/>
  <c r="AA92" i="64"/>
  <c r="AI92" i="64" s="1"/>
  <c r="N91" i="64"/>
  <c r="N92" i="64"/>
  <c r="I91" i="64"/>
  <c r="J91" i="64"/>
  <c r="I92" i="64"/>
  <c r="J92" i="64"/>
  <c r="AA35" i="64"/>
  <c r="AF35" i="64" s="1"/>
  <c r="AA36" i="64"/>
  <c r="AA37" i="64"/>
  <c r="AA38" i="64"/>
  <c r="AB38" i="64" s="1"/>
  <c r="AA39" i="64"/>
  <c r="AA40" i="64"/>
  <c r="AA41" i="64"/>
  <c r="AA45" i="64"/>
  <c r="AA46" i="64"/>
  <c r="AB46" i="64" s="1"/>
  <c r="AA47" i="64"/>
  <c r="AA48" i="64"/>
  <c r="AA49" i="64"/>
  <c r="AA53" i="64" s="1"/>
  <c r="AA50" i="64"/>
  <c r="AA51" i="64"/>
  <c r="AI51" i="64" s="1"/>
  <c r="AA55" i="64"/>
  <c r="AB55" i="64" s="1"/>
  <c r="AA56" i="64"/>
  <c r="AB56" i="64" s="1"/>
  <c r="AA57" i="64"/>
  <c r="AA58" i="64"/>
  <c r="AA59" i="64"/>
  <c r="AA62" i="64" s="1"/>
  <c r="AA60" i="64"/>
  <c r="AA61" i="64"/>
  <c r="AF61" i="64" s="1"/>
  <c r="AA65" i="64"/>
  <c r="AI65" i="64" s="1"/>
  <c r="AA66" i="64"/>
  <c r="AI66" i="64" s="1"/>
  <c r="AA67" i="64"/>
  <c r="AA68" i="64"/>
  <c r="AB68" i="64" s="1"/>
  <c r="AA69" i="64"/>
  <c r="AA72" i="64" s="1"/>
  <c r="AA70" i="64"/>
  <c r="AA71" i="64"/>
  <c r="AI71" i="64" s="1"/>
  <c r="AA75" i="64"/>
  <c r="AB75" i="64" s="1"/>
  <c r="AA76" i="64"/>
  <c r="AF76" i="64" s="1"/>
  <c r="AA77" i="64"/>
  <c r="AB77" i="64" s="1"/>
  <c r="AA78" i="64"/>
  <c r="AA79" i="64"/>
  <c r="AB79" i="64" s="1"/>
  <c r="AA80" i="64"/>
  <c r="AF80" i="64" s="1"/>
  <c r="AA83" i="64"/>
  <c r="AI83" i="64" s="1"/>
  <c r="AA85" i="64"/>
  <c r="AB85" i="64" s="1"/>
  <c r="AA86" i="64"/>
  <c r="AF86" i="64" s="1"/>
  <c r="AA87" i="64"/>
  <c r="AA94" i="64" s="1"/>
  <c r="N85" i="64"/>
  <c r="N143" i="64" s="1"/>
  <c r="N86" i="64"/>
  <c r="N87" i="64"/>
  <c r="N144" i="64" s="1"/>
  <c r="N88" i="64"/>
  <c r="N145" i="64" s="1"/>
  <c r="AH87" i="64"/>
  <c r="AE87" i="64"/>
  <c r="AB87" i="64"/>
  <c r="AH83" i="64"/>
  <c r="AH85" i="64"/>
  <c r="AE83" i="64"/>
  <c r="AE85" i="64"/>
  <c r="L85" i="64"/>
  <c r="M85" i="64"/>
  <c r="L86" i="64"/>
  <c r="M86" i="64"/>
  <c r="L87" i="64"/>
  <c r="M87" i="64"/>
  <c r="I85" i="64"/>
  <c r="J85" i="64"/>
  <c r="I86" i="64"/>
  <c r="J86" i="64"/>
  <c r="I87" i="64"/>
  <c r="J87" i="64"/>
  <c r="I88" i="64"/>
  <c r="J88" i="64"/>
  <c r="AF83" i="64"/>
  <c r="AB83" i="64"/>
  <c r="L83" i="64"/>
  <c r="M83" i="64"/>
  <c r="N83" i="64"/>
  <c r="I83" i="64"/>
  <c r="J83" i="64"/>
  <c r="AG82" i="64"/>
  <c r="AH84" i="64" s="1"/>
  <c r="AD82" i="64"/>
  <c r="AE84" i="64" s="1"/>
  <c r="O82" i="64"/>
  <c r="O84" i="64" s="1"/>
  <c r="P82" i="64"/>
  <c r="P84" i="64" s="1"/>
  <c r="Q82" i="64"/>
  <c r="Q84" i="64" s="1"/>
  <c r="R82" i="64"/>
  <c r="R84" i="64" s="1"/>
  <c r="S82" i="64"/>
  <c r="S84" i="64" s="1"/>
  <c r="T82" i="64"/>
  <c r="T84" i="64" s="1"/>
  <c r="U82" i="64"/>
  <c r="U84" i="64" s="1"/>
  <c r="V82" i="64"/>
  <c r="V84" i="64" s="1"/>
  <c r="W82" i="64"/>
  <c r="W84" i="64" s="1"/>
  <c r="X82" i="64"/>
  <c r="X84" i="64" s="1"/>
  <c r="Y82" i="64"/>
  <c r="Y84" i="64" s="1"/>
  <c r="Z82" i="64"/>
  <c r="Z84" i="64" s="1"/>
  <c r="AI79" i="64"/>
  <c r="AI80" i="64"/>
  <c r="AF75" i="64"/>
  <c r="AH75" i="64"/>
  <c r="AH76" i="64"/>
  <c r="AH77" i="64"/>
  <c r="AH78" i="64"/>
  <c r="AH79" i="64"/>
  <c r="AH80" i="64"/>
  <c r="AE75" i="64"/>
  <c r="AE76" i="64"/>
  <c r="AE77" i="64"/>
  <c r="AE78" i="64"/>
  <c r="AE79" i="64"/>
  <c r="AE80" i="64"/>
  <c r="L75" i="64"/>
  <c r="M75" i="64"/>
  <c r="N75" i="64"/>
  <c r="L76" i="64"/>
  <c r="M76" i="64"/>
  <c r="N76" i="64"/>
  <c r="L77" i="64"/>
  <c r="M77" i="64"/>
  <c r="N77" i="64"/>
  <c r="L78" i="64"/>
  <c r="M78" i="64"/>
  <c r="N78" i="64"/>
  <c r="L79" i="64"/>
  <c r="M79" i="64"/>
  <c r="N79" i="64"/>
  <c r="L80" i="64"/>
  <c r="M80" i="64"/>
  <c r="N80" i="64"/>
  <c r="L81" i="64"/>
  <c r="M81" i="64"/>
  <c r="N81" i="64"/>
  <c r="I75" i="64"/>
  <c r="J75" i="64"/>
  <c r="I76" i="64"/>
  <c r="J76" i="64"/>
  <c r="I77" i="64"/>
  <c r="J77" i="64"/>
  <c r="I78" i="64"/>
  <c r="J78" i="64"/>
  <c r="I79" i="64"/>
  <c r="J79" i="64"/>
  <c r="I80" i="64"/>
  <c r="J80" i="64"/>
  <c r="I81" i="64"/>
  <c r="J81" i="64"/>
  <c r="AG73" i="64"/>
  <c r="AH74" i="64" s="1"/>
  <c r="AD73" i="64"/>
  <c r="AE74" i="64" s="1"/>
  <c r="O73" i="64"/>
  <c r="O74" i="64" s="1"/>
  <c r="P73" i="64"/>
  <c r="P74" i="64" s="1"/>
  <c r="Q73" i="64"/>
  <c r="Q74" i="64" s="1"/>
  <c r="R73" i="64"/>
  <c r="R74" i="64" s="1"/>
  <c r="S73" i="64"/>
  <c r="S74" i="64" s="1"/>
  <c r="T73" i="64"/>
  <c r="T74" i="64" s="1"/>
  <c r="U73" i="64"/>
  <c r="V73" i="64"/>
  <c r="V74" i="64" s="1"/>
  <c r="W73" i="64"/>
  <c r="W74" i="64" s="1"/>
  <c r="X73" i="64"/>
  <c r="X74" i="64" s="1"/>
  <c r="Y73" i="64"/>
  <c r="Y74" i="64" s="1"/>
  <c r="Z73" i="64"/>
  <c r="Z74" i="64" s="1"/>
  <c r="U74" i="64"/>
  <c r="AI70" i="64"/>
  <c r="AF69" i="64"/>
  <c r="AF70" i="64"/>
  <c r="AH71" i="64"/>
  <c r="AE71" i="64"/>
  <c r="AH65" i="64"/>
  <c r="AH66" i="64"/>
  <c r="AH67" i="64"/>
  <c r="AH68" i="64"/>
  <c r="AH69" i="64"/>
  <c r="AE65" i="64"/>
  <c r="AE66" i="64"/>
  <c r="AE67" i="64"/>
  <c r="AE68" i="64"/>
  <c r="AE69" i="64"/>
  <c r="AB65" i="64"/>
  <c r="AB66" i="64"/>
  <c r="L65" i="64"/>
  <c r="M65" i="64"/>
  <c r="N65" i="64"/>
  <c r="L66" i="64"/>
  <c r="M66" i="64"/>
  <c r="N66" i="64"/>
  <c r="L67" i="64"/>
  <c r="M67" i="64"/>
  <c r="N67" i="64"/>
  <c r="L68" i="64"/>
  <c r="M68" i="64"/>
  <c r="N68" i="64"/>
  <c r="L69" i="64"/>
  <c r="M69" i="64"/>
  <c r="N69" i="64"/>
  <c r="L70" i="64"/>
  <c r="M70" i="64"/>
  <c r="N70" i="64"/>
  <c r="L71" i="64"/>
  <c r="M71" i="64"/>
  <c r="N71" i="64"/>
  <c r="L72" i="64"/>
  <c r="M72" i="64"/>
  <c r="N72" i="64"/>
  <c r="I65" i="64"/>
  <c r="J65" i="64"/>
  <c r="I66" i="64"/>
  <c r="J66" i="64"/>
  <c r="I67" i="64"/>
  <c r="J67" i="64"/>
  <c r="I68" i="64"/>
  <c r="J68" i="64"/>
  <c r="I69" i="64"/>
  <c r="J69" i="64"/>
  <c r="I70" i="64"/>
  <c r="J70" i="64"/>
  <c r="I71" i="64"/>
  <c r="J71" i="64"/>
  <c r="I72" i="64"/>
  <c r="J72" i="64"/>
  <c r="AG63" i="64"/>
  <c r="AH64" i="64" s="1"/>
  <c r="AD63" i="64"/>
  <c r="AE64" i="64" s="1"/>
  <c r="O63" i="64"/>
  <c r="O64" i="64" s="1"/>
  <c r="P63" i="64"/>
  <c r="P64" i="64" s="1"/>
  <c r="Q63" i="64"/>
  <c r="R63" i="64"/>
  <c r="R64" i="64" s="1"/>
  <c r="S63" i="64"/>
  <c r="S64" i="64" s="1"/>
  <c r="T63" i="64"/>
  <c r="U63" i="64"/>
  <c r="U64" i="64" s="1"/>
  <c r="V63" i="64"/>
  <c r="W63" i="64"/>
  <c r="X63" i="64"/>
  <c r="X64" i="64" s="1"/>
  <c r="Y63" i="64"/>
  <c r="Z63" i="64"/>
  <c r="Z64" i="64" s="1"/>
  <c r="Q64" i="64"/>
  <c r="T64" i="64"/>
  <c r="V64" i="64"/>
  <c r="W64" i="64"/>
  <c r="Y64" i="64"/>
  <c r="AI55" i="64"/>
  <c r="AI56" i="64"/>
  <c r="AI57" i="64"/>
  <c r="AI58" i="64"/>
  <c r="AI59" i="64"/>
  <c r="AI60" i="64"/>
  <c r="AI61" i="64"/>
  <c r="AF55" i="64"/>
  <c r="AF58" i="64"/>
  <c r="AF60" i="64"/>
  <c r="AH61" i="64"/>
  <c r="AE61" i="64"/>
  <c r="AH55" i="64"/>
  <c r="AH56" i="64"/>
  <c r="AH57" i="64"/>
  <c r="AH58" i="64"/>
  <c r="AH59" i="64"/>
  <c r="AE55" i="64"/>
  <c r="AE56" i="64"/>
  <c r="AE57" i="64"/>
  <c r="AE58" i="64"/>
  <c r="AE59" i="64"/>
  <c r="AB58" i="64"/>
  <c r="L55" i="64"/>
  <c r="M55" i="64"/>
  <c r="N55" i="64"/>
  <c r="L56" i="64"/>
  <c r="M56" i="64"/>
  <c r="N56" i="64"/>
  <c r="L57" i="64"/>
  <c r="M57" i="64"/>
  <c r="N57" i="64"/>
  <c r="L58" i="64"/>
  <c r="M58" i="64"/>
  <c r="N58" i="64"/>
  <c r="L59" i="64"/>
  <c r="M59" i="64"/>
  <c r="N59" i="64"/>
  <c r="L60" i="64"/>
  <c r="M60" i="64"/>
  <c r="N60" i="64"/>
  <c r="L61" i="64"/>
  <c r="M61" i="64"/>
  <c r="N61" i="64"/>
  <c r="L62" i="64"/>
  <c r="M62" i="64"/>
  <c r="N62" i="64"/>
  <c r="I55" i="64"/>
  <c r="J55" i="64"/>
  <c r="I56" i="64"/>
  <c r="J56" i="64"/>
  <c r="I57" i="64"/>
  <c r="J57" i="64"/>
  <c r="I58" i="64"/>
  <c r="J58" i="64"/>
  <c r="I59" i="64"/>
  <c r="J59" i="64"/>
  <c r="I60" i="64"/>
  <c r="J60" i="64"/>
  <c r="I61" i="64"/>
  <c r="J61" i="64"/>
  <c r="I62" i="64"/>
  <c r="J62" i="64"/>
  <c r="AG53" i="64"/>
  <c r="AH54" i="64" s="1"/>
  <c r="AD53" i="64"/>
  <c r="AE54" i="64" s="1"/>
  <c r="O53" i="64"/>
  <c r="O54" i="64" s="1"/>
  <c r="P53" i="64"/>
  <c r="P54" i="64" s="1"/>
  <c r="Q53" i="64"/>
  <c r="Q54" i="64" s="1"/>
  <c r="R53" i="64"/>
  <c r="R54" i="64" s="1"/>
  <c r="S53" i="64"/>
  <c r="S54" i="64" s="1"/>
  <c r="T53" i="64"/>
  <c r="T54" i="64" s="1"/>
  <c r="U53" i="64"/>
  <c r="V53" i="64"/>
  <c r="V54" i="64" s="1"/>
  <c r="W53" i="64"/>
  <c r="X53" i="64"/>
  <c r="X54" i="64" s="1"/>
  <c r="Y53" i="64"/>
  <c r="Y54" i="64" s="1"/>
  <c r="Z53" i="64"/>
  <c r="U54" i="64"/>
  <c r="W54" i="64"/>
  <c r="Z54" i="64"/>
  <c r="AI45" i="64"/>
  <c r="AI48" i="64"/>
  <c r="AI49" i="64"/>
  <c r="AI50" i="64"/>
  <c r="AF45" i="64"/>
  <c r="AF48" i="64"/>
  <c r="AF49" i="64"/>
  <c r="AF50" i="64"/>
  <c r="AH51" i="64"/>
  <c r="AE51" i="64"/>
  <c r="AB51" i="64"/>
  <c r="AH45" i="64"/>
  <c r="AH46" i="64"/>
  <c r="AH47" i="64"/>
  <c r="AH48" i="64"/>
  <c r="AH49" i="64"/>
  <c r="AE45" i="64"/>
  <c r="AE46" i="64"/>
  <c r="AE47" i="64"/>
  <c r="AE48" i="64"/>
  <c r="AE49" i="64"/>
  <c r="AB45" i="64"/>
  <c r="AB48" i="64"/>
  <c r="L45" i="64"/>
  <c r="M45" i="64"/>
  <c r="N45" i="64"/>
  <c r="L46" i="64"/>
  <c r="M46" i="64"/>
  <c r="N46" i="64"/>
  <c r="L47" i="64"/>
  <c r="M47" i="64"/>
  <c r="N47" i="64"/>
  <c r="L48" i="64"/>
  <c r="M48" i="64"/>
  <c r="N48" i="64"/>
  <c r="L49" i="64"/>
  <c r="M49" i="64"/>
  <c r="N49" i="64"/>
  <c r="L50" i="64"/>
  <c r="M50" i="64"/>
  <c r="N50" i="64"/>
  <c r="L51" i="64"/>
  <c r="M51" i="64"/>
  <c r="N51" i="64"/>
  <c r="L52" i="64"/>
  <c r="M52" i="64"/>
  <c r="N52" i="64"/>
  <c r="I45" i="64"/>
  <c r="J45" i="64"/>
  <c r="I46" i="64"/>
  <c r="J46" i="64"/>
  <c r="I47" i="64"/>
  <c r="J47" i="64"/>
  <c r="I48" i="64"/>
  <c r="J48" i="64"/>
  <c r="I49" i="64"/>
  <c r="J49" i="64"/>
  <c r="I50" i="64"/>
  <c r="J50" i="64"/>
  <c r="I51" i="64"/>
  <c r="J51" i="64"/>
  <c r="I52" i="64"/>
  <c r="J52" i="64"/>
  <c r="AG43" i="64"/>
  <c r="AH44" i="64" s="1"/>
  <c r="AD43" i="64"/>
  <c r="AE44" i="64" s="1"/>
  <c r="O43" i="64"/>
  <c r="O44" i="64" s="1"/>
  <c r="P43" i="64"/>
  <c r="P44" i="64" s="1"/>
  <c r="Q43" i="64"/>
  <c r="Q44" i="64" s="1"/>
  <c r="R43" i="64"/>
  <c r="R44" i="64" s="1"/>
  <c r="S43" i="64"/>
  <c r="T43" i="64"/>
  <c r="T44" i="64" s="1"/>
  <c r="U43" i="64"/>
  <c r="U44" i="64" s="1"/>
  <c r="V43" i="64"/>
  <c r="W43" i="64"/>
  <c r="W44" i="64" s="1"/>
  <c r="X43" i="64"/>
  <c r="X44" i="64" s="1"/>
  <c r="Y43" i="64"/>
  <c r="Z43" i="64"/>
  <c r="Z44" i="64" s="1"/>
  <c r="S44" i="64"/>
  <c r="V44" i="64"/>
  <c r="Y44" i="64"/>
  <c r="AI37" i="64"/>
  <c r="AI39" i="64"/>
  <c r="AI40" i="64"/>
  <c r="AF37" i="64"/>
  <c r="AF39" i="64"/>
  <c r="AF40" i="64"/>
  <c r="AF41" i="64"/>
  <c r="AH41" i="64"/>
  <c r="AE41" i="64"/>
  <c r="AH35" i="64"/>
  <c r="AH36" i="64"/>
  <c r="AH37" i="64"/>
  <c r="AH38" i="64"/>
  <c r="AH39" i="64"/>
  <c r="AE35" i="64"/>
  <c r="AE36" i="64"/>
  <c r="AE37" i="64"/>
  <c r="AE38" i="64"/>
  <c r="AE39" i="64"/>
  <c r="AB37" i="64"/>
  <c r="AB39" i="64"/>
  <c r="L35" i="64"/>
  <c r="M35" i="64"/>
  <c r="N35" i="64"/>
  <c r="L36" i="64"/>
  <c r="M36" i="64"/>
  <c r="N36" i="64"/>
  <c r="L37" i="64"/>
  <c r="M37" i="64"/>
  <c r="N37" i="64"/>
  <c r="L38" i="64"/>
  <c r="M38" i="64"/>
  <c r="N38" i="64"/>
  <c r="L39" i="64"/>
  <c r="M39" i="64"/>
  <c r="N39" i="64"/>
  <c r="L40" i="64"/>
  <c r="M40" i="64"/>
  <c r="N40" i="64"/>
  <c r="L41" i="64"/>
  <c r="M41" i="64"/>
  <c r="N41" i="64"/>
  <c r="L42" i="64"/>
  <c r="M42" i="64"/>
  <c r="N42" i="64"/>
  <c r="I35" i="64"/>
  <c r="J35" i="64"/>
  <c r="I36" i="64"/>
  <c r="J36" i="64"/>
  <c r="I37" i="64"/>
  <c r="J37" i="64"/>
  <c r="I38" i="64"/>
  <c r="J38" i="64"/>
  <c r="I39" i="64"/>
  <c r="J39" i="64"/>
  <c r="I40" i="64"/>
  <c r="J40" i="64"/>
  <c r="I41" i="64"/>
  <c r="J41" i="64"/>
  <c r="I42" i="64"/>
  <c r="J42" i="64"/>
  <c r="AG32" i="64"/>
  <c r="AD32" i="64"/>
  <c r="O32" i="64"/>
  <c r="P32" i="64"/>
  <c r="Q32" i="64"/>
  <c r="R32" i="64"/>
  <c r="S32" i="64"/>
  <c r="T32" i="64"/>
  <c r="U32" i="64"/>
  <c r="V32" i="64"/>
  <c r="W32" i="64"/>
  <c r="X32" i="64"/>
  <c r="Y32" i="64"/>
  <c r="Z32" i="64"/>
  <c r="AG31" i="64"/>
  <c r="AD31" i="64"/>
  <c r="O31" i="64"/>
  <c r="P31" i="64"/>
  <c r="Q31" i="64"/>
  <c r="R31" i="64"/>
  <c r="S31" i="64"/>
  <c r="T31" i="64"/>
  <c r="U31" i="64"/>
  <c r="V31" i="64"/>
  <c r="W31" i="64"/>
  <c r="X31" i="64"/>
  <c r="Y31" i="64"/>
  <c r="Z31" i="64"/>
  <c r="AA31" i="64"/>
  <c r="N26" i="64"/>
  <c r="N27" i="64"/>
  <c r="N28" i="64"/>
  <c r="N29" i="64"/>
  <c r="B23" i="64"/>
  <c r="AG16" i="64"/>
  <c r="AG19" i="64"/>
  <c r="AG20" i="64"/>
  <c r="AD19" i="64"/>
  <c r="AD20" i="64"/>
  <c r="G19" i="64"/>
  <c r="G20" i="64"/>
  <c r="N19" i="64"/>
  <c r="O19" i="64"/>
  <c r="P19" i="64"/>
  <c r="Q19" i="64"/>
  <c r="R19" i="64"/>
  <c r="S19" i="64"/>
  <c r="T19" i="64"/>
  <c r="U19" i="64"/>
  <c r="V19" i="64"/>
  <c r="W19" i="64"/>
  <c r="X19" i="64"/>
  <c r="Y19" i="64"/>
  <c r="Z19" i="64"/>
  <c r="N20" i="64"/>
  <c r="O20" i="64"/>
  <c r="P20" i="64"/>
  <c r="Q20" i="64"/>
  <c r="R20" i="64"/>
  <c r="S20" i="64"/>
  <c r="T20" i="64"/>
  <c r="U20" i="64"/>
  <c r="V20" i="64"/>
  <c r="W20" i="64"/>
  <c r="X20" i="64"/>
  <c r="Y20" i="64"/>
  <c r="Z20" i="64"/>
  <c r="B17" i="64"/>
  <c r="B18" i="64"/>
  <c r="B19" i="64"/>
  <c r="O16" i="64"/>
  <c r="P16" i="64"/>
  <c r="Q16" i="64"/>
  <c r="R16" i="64"/>
  <c r="S16" i="64"/>
  <c r="T16" i="64"/>
  <c r="U16" i="64"/>
  <c r="V16" i="64"/>
  <c r="W16" i="64"/>
  <c r="X16" i="64"/>
  <c r="Y16" i="64"/>
  <c r="O17" i="64"/>
  <c r="P17" i="64"/>
  <c r="Q17" i="64"/>
  <c r="R17" i="64"/>
  <c r="S17" i="64"/>
  <c r="T17" i="64"/>
  <c r="U17" i="64"/>
  <c r="V17" i="64"/>
  <c r="W17" i="64"/>
  <c r="X17" i="64"/>
  <c r="Y17" i="64"/>
  <c r="Z17" i="64"/>
  <c r="AA17" i="64" s="1"/>
  <c r="AA11" i="64" s="1"/>
  <c r="AA18" i="64" s="1"/>
  <c r="A14" i="64"/>
  <c r="AG12" i="64"/>
  <c r="AG13" i="64"/>
  <c r="AD12" i="64"/>
  <c r="AD13" i="64"/>
  <c r="B12" i="64"/>
  <c r="B13" i="64"/>
  <c r="O11" i="64"/>
  <c r="P11" i="64"/>
  <c r="Q11" i="64"/>
  <c r="R11" i="64"/>
  <c r="S11" i="64"/>
  <c r="T11" i="64"/>
  <c r="U11" i="64"/>
  <c r="V11" i="64"/>
  <c r="W11" i="64"/>
  <c r="X11" i="64"/>
  <c r="Y11" i="64"/>
  <c r="Z11" i="64"/>
  <c r="O12" i="64"/>
  <c r="P12" i="64"/>
  <c r="Q12" i="64"/>
  <c r="R12" i="64"/>
  <c r="S12" i="64"/>
  <c r="T12" i="64"/>
  <c r="U12" i="64"/>
  <c r="V12" i="64"/>
  <c r="W12" i="64"/>
  <c r="X12" i="64"/>
  <c r="Y12" i="64"/>
  <c r="Z12" i="64"/>
  <c r="AA12" i="64"/>
  <c r="O13" i="64"/>
  <c r="P13" i="64"/>
  <c r="Q13" i="64"/>
  <c r="R13" i="64"/>
  <c r="S13" i="64"/>
  <c r="T13" i="64"/>
  <c r="U13" i="64"/>
  <c r="V13" i="64"/>
  <c r="W13" i="64"/>
  <c r="X13" i="64"/>
  <c r="Y13" i="64"/>
  <c r="Z13" i="64"/>
  <c r="AA13" i="64"/>
  <c r="C10" i="64"/>
  <c r="D10" i="64"/>
  <c r="Z16" i="64" s="1"/>
  <c r="C9" i="64"/>
  <c r="C1" i="64"/>
  <c r="C2" i="64"/>
  <c r="C3" i="64"/>
  <c r="C4" i="64"/>
  <c r="C5" i="64"/>
  <c r="C6" i="64"/>
  <c r="C7" i="64"/>
  <c r="C8" i="64"/>
  <c r="E6" i="64"/>
  <c r="E4" i="64"/>
  <c r="F4" i="64"/>
  <c r="B3" i="64"/>
  <c r="B120" i="63"/>
  <c r="B114" i="63"/>
  <c r="B115" i="63"/>
  <c r="B116" i="63"/>
  <c r="A111" i="63"/>
  <c r="AG90" i="63"/>
  <c r="AD90" i="63"/>
  <c r="O90" i="63"/>
  <c r="P90" i="63"/>
  <c r="Q90" i="63"/>
  <c r="R90" i="63"/>
  <c r="S90" i="63"/>
  <c r="T90" i="63"/>
  <c r="U90" i="63"/>
  <c r="V90" i="63"/>
  <c r="W90" i="63"/>
  <c r="X90" i="63"/>
  <c r="Y90" i="63"/>
  <c r="Z90" i="63"/>
  <c r="N91" i="63"/>
  <c r="B88" i="63"/>
  <c r="B89" i="63"/>
  <c r="N87" i="63"/>
  <c r="N90" i="63" s="1"/>
  <c r="N88" i="63"/>
  <c r="AH87" i="63"/>
  <c r="AH88" i="63"/>
  <c r="AE87" i="63"/>
  <c r="AE88" i="63"/>
  <c r="AA88" i="63"/>
  <c r="AB88" i="63" s="1"/>
  <c r="I87" i="63"/>
  <c r="AA87" i="63" s="1"/>
  <c r="AF87" i="63" s="1"/>
  <c r="J87" i="63"/>
  <c r="I88" i="63"/>
  <c r="J88" i="63"/>
  <c r="N82" i="63"/>
  <c r="N83" i="63"/>
  <c r="N84" i="63"/>
  <c r="N85" i="63"/>
  <c r="I85" i="63"/>
  <c r="AA85" i="63" s="1"/>
  <c r="AA90" i="63" s="1"/>
  <c r="J85" i="63"/>
  <c r="B83" i="63"/>
  <c r="B84" i="63"/>
  <c r="B85" i="63"/>
  <c r="AH83" i="63"/>
  <c r="AH84" i="63"/>
  <c r="AH85" i="63"/>
  <c r="AE83" i="63"/>
  <c r="AE84" i="63"/>
  <c r="AE85" i="63"/>
  <c r="I83" i="63"/>
  <c r="AA83" i="63" s="1"/>
  <c r="J83" i="63"/>
  <c r="L83" i="63"/>
  <c r="M83" i="63"/>
  <c r="I84" i="63"/>
  <c r="AA84" i="63" s="1"/>
  <c r="J84" i="63"/>
  <c r="K84" i="63" s="1"/>
  <c r="L84" i="63"/>
  <c r="M84" i="63"/>
  <c r="I82" i="63"/>
  <c r="J82" i="63"/>
  <c r="A80" i="63"/>
  <c r="AH76" i="63"/>
  <c r="AH77" i="63"/>
  <c r="AH78" i="63"/>
  <c r="AH79" i="63"/>
  <c r="AH80" i="63"/>
  <c r="AE76" i="63"/>
  <c r="AE77" i="63"/>
  <c r="AE78" i="63"/>
  <c r="AE79" i="63"/>
  <c r="AE80" i="63"/>
  <c r="AA76" i="63"/>
  <c r="AA79" i="63"/>
  <c r="AB79" i="63" s="1"/>
  <c r="I76" i="63"/>
  <c r="K76" i="63" s="1"/>
  <c r="J76" i="63"/>
  <c r="L76" i="63"/>
  <c r="M76" i="63"/>
  <c r="N76" i="63"/>
  <c r="I77" i="63"/>
  <c r="AA77" i="63" s="1"/>
  <c r="J77" i="63"/>
  <c r="L77" i="63"/>
  <c r="M77" i="63"/>
  <c r="N77" i="63"/>
  <c r="I78" i="63"/>
  <c r="K78" i="63" s="1"/>
  <c r="J78" i="63"/>
  <c r="L78" i="63"/>
  <c r="M78" i="63"/>
  <c r="N78" i="63"/>
  <c r="I79" i="63"/>
  <c r="K79" i="63" s="1"/>
  <c r="J79" i="63"/>
  <c r="L79" i="63"/>
  <c r="M79" i="63"/>
  <c r="N79" i="63"/>
  <c r="I80" i="63"/>
  <c r="J80" i="63"/>
  <c r="L80" i="63"/>
  <c r="M80" i="63"/>
  <c r="N80" i="63"/>
  <c r="N74" i="63"/>
  <c r="N75" i="63"/>
  <c r="I74" i="63"/>
  <c r="J74" i="63"/>
  <c r="I75" i="63"/>
  <c r="J75" i="63"/>
  <c r="AD72" i="63"/>
  <c r="AE72" i="63" s="1"/>
  <c r="AG72" i="63"/>
  <c r="AG91" i="63" s="1"/>
  <c r="N72" i="63"/>
  <c r="O72" i="63"/>
  <c r="O91" i="63" s="1"/>
  <c r="P72" i="63"/>
  <c r="P91" i="63" s="1"/>
  <c r="Q72" i="63"/>
  <c r="Q91" i="63" s="1"/>
  <c r="R72" i="63"/>
  <c r="R91" i="63" s="1"/>
  <c r="S72" i="63"/>
  <c r="S91" i="63" s="1"/>
  <c r="T72" i="63"/>
  <c r="T91" i="63" s="1"/>
  <c r="U72" i="63"/>
  <c r="U91" i="63" s="1"/>
  <c r="V72" i="63"/>
  <c r="V91" i="63" s="1"/>
  <c r="W72" i="63"/>
  <c r="W91" i="63" s="1"/>
  <c r="X72" i="63"/>
  <c r="X91" i="63" s="1"/>
  <c r="Y72" i="63"/>
  <c r="Z72" i="63"/>
  <c r="Z91" i="63" s="1"/>
  <c r="AH71" i="63"/>
  <c r="AI71" i="63"/>
  <c r="AB62" i="63"/>
  <c r="AM62" i="63" s="1"/>
  <c r="AB63" i="63"/>
  <c r="AB64" i="63"/>
  <c r="AB65" i="63"/>
  <c r="AM65" i="63" s="1"/>
  <c r="AB66" i="63"/>
  <c r="AB67" i="63"/>
  <c r="AB68" i="63"/>
  <c r="AM68" i="63" s="1"/>
  <c r="AB69" i="63"/>
  <c r="AB70" i="63"/>
  <c r="AM70" i="63" s="1"/>
  <c r="AB71" i="63"/>
  <c r="N60" i="63"/>
  <c r="N61" i="63"/>
  <c r="N62" i="63"/>
  <c r="N63" i="63"/>
  <c r="N64" i="63"/>
  <c r="N65" i="63"/>
  <c r="N66" i="63"/>
  <c r="N67" i="63"/>
  <c r="N68" i="63"/>
  <c r="N69" i="63"/>
  <c r="N70" i="63"/>
  <c r="N71" i="63"/>
  <c r="I71" i="63"/>
  <c r="K71" i="63" s="1"/>
  <c r="J71" i="63"/>
  <c r="I72" i="63"/>
  <c r="J72" i="63"/>
  <c r="K72" i="63"/>
  <c r="AA62" i="63"/>
  <c r="AF62" i="63" s="1"/>
  <c r="AH62" i="63"/>
  <c r="AN62" i="63"/>
  <c r="AH63" i="63"/>
  <c r="AM63" i="63"/>
  <c r="AN63" i="63"/>
  <c r="AH64" i="63"/>
  <c r="AH65" i="63"/>
  <c r="AH66" i="63"/>
  <c r="AH67" i="63"/>
  <c r="AL67" i="63"/>
  <c r="AH68" i="63"/>
  <c r="AN68" i="63" s="1"/>
  <c r="AK68" i="63"/>
  <c r="AH69" i="63"/>
  <c r="AN69" i="63" s="1"/>
  <c r="AH70" i="63"/>
  <c r="AN70" i="63"/>
  <c r="AE62" i="63"/>
  <c r="AE63" i="63"/>
  <c r="AE64" i="63"/>
  <c r="AE65" i="63"/>
  <c r="AE66" i="63"/>
  <c r="AE67" i="63"/>
  <c r="AE68" i="63"/>
  <c r="AE69" i="63"/>
  <c r="AM69" i="63" s="1"/>
  <c r="AE70" i="63"/>
  <c r="AE71" i="63"/>
  <c r="AF71" i="63"/>
  <c r="I62" i="63"/>
  <c r="J62" i="63"/>
  <c r="K62" i="63"/>
  <c r="L62" i="63"/>
  <c r="M62" i="63"/>
  <c r="I63" i="63"/>
  <c r="AA63" i="63" s="1"/>
  <c r="J63" i="63"/>
  <c r="L63" i="63"/>
  <c r="M63" i="63"/>
  <c r="I64" i="63"/>
  <c r="J64" i="63"/>
  <c r="L64" i="63"/>
  <c r="M64" i="63"/>
  <c r="I65" i="63"/>
  <c r="AA65" i="63" s="1"/>
  <c r="J65" i="63"/>
  <c r="K65" i="63"/>
  <c r="L65" i="63"/>
  <c r="M65" i="63"/>
  <c r="I66" i="63"/>
  <c r="K66" i="63" s="1"/>
  <c r="J66" i="63"/>
  <c r="L66" i="63"/>
  <c r="M66" i="63"/>
  <c r="I67" i="63"/>
  <c r="J67" i="63"/>
  <c r="L67" i="63"/>
  <c r="M67" i="63"/>
  <c r="I68" i="63"/>
  <c r="J68" i="63"/>
  <c r="L68" i="63"/>
  <c r="M68" i="63"/>
  <c r="I69" i="63"/>
  <c r="K69" i="63" s="1"/>
  <c r="J69" i="63"/>
  <c r="L69" i="63"/>
  <c r="M69" i="63"/>
  <c r="I70" i="63"/>
  <c r="J70" i="63"/>
  <c r="L70" i="63"/>
  <c r="M70" i="63"/>
  <c r="I60" i="63"/>
  <c r="J60" i="63"/>
  <c r="I61" i="63"/>
  <c r="J61" i="63"/>
  <c r="B55" i="63"/>
  <c r="B56" i="63"/>
  <c r="B50" i="63"/>
  <c r="B51" i="63"/>
  <c r="B52" i="63"/>
  <c r="A47" i="63"/>
  <c r="AH35" i="63"/>
  <c r="AL35" i="63"/>
  <c r="AH36" i="63"/>
  <c r="AH37" i="63"/>
  <c r="AH38" i="63"/>
  <c r="AH39" i="63"/>
  <c r="AH40" i="63"/>
  <c r="AH41" i="63"/>
  <c r="AH42" i="63"/>
  <c r="AH43" i="63"/>
  <c r="AL43" i="63"/>
  <c r="AH44" i="63"/>
  <c r="AH45" i="63"/>
  <c r="AH46" i="63"/>
  <c r="AH47" i="63"/>
  <c r="AH48" i="63"/>
  <c r="AH49" i="63"/>
  <c r="AH50" i="63"/>
  <c r="AH51" i="63"/>
  <c r="AL51" i="63"/>
  <c r="AH52" i="63"/>
  <c r="AK52" i="63"/>
  <c r="AH53" i="63"/>
  <c r="AH54" i="63"/>
  <c r="AH55" i="63"/>
  <c r="AH56" i="63"/>
  <c r="AH57" i="63"/>
  <c r="AH58" i="63"/>
  <c r="AE35" i="63"/>
  <c r="AE36" i="63"/>
  <c r="AE37" i="63"/>
  <c r="AE38" i="63"/>
  <c r="AE39" i="63"/>
  <c r="AE40" i="63"/>
  <c r="AE41" i="63"/>
  <c r="AE42" i="63"/>
  <c r="AE43" i="63"/>
  <c r="AE44" i="63"/>
  <c r="AE45" i="63"/>
  <c r="AE46" i="63"/>
  <c r="AE47" i="63"/>
  <c r="AE48" i="63"/>
  <c r="AE49" i="63"/>
  <c r="AE50" i="63"/>
  <c r="AE51" i="63"/>
  <c r="AE52" i="63"/>
  <c r="AE53" i="63"/>
  <c r="AE54" i="63"/>
  <c r="AE55" i="63"/>
  <c r="AE56" i="63"/>
  <c r="AE57" i="63"/>
  <c r="AE58" i="63"/>
  <c r="AA36" i="63"/>
  <c r="AA40" i="63"/>
  <c r="I35" i="63"/>
  <c r="AA35" i="63" s="1"/>
  <c r="J35" i="63"/>
  <c r="K35" i="63"/>
  <c r="L35" i="63"/>
  <c r="M35" i="63"/>
  <c r="N35" i="63"/>
  <c r="I36" i="63"/>
  <c r="K36" i="63" s="1"/>
  <c r="J36" i="63"/>
  <c r="L36" i="63"/>
  <c r="M36" i="63"/>
  <c r="N36" i="63"/>
  <c r="I37" i="63"/>
  <c r="AA37" i="63" s="1"/>
  <c r="J37" i="63"/>
  <c r="L37" i="63"/>
  <c r="M37" i="63"/>
  <c r="N37" i="63"/>
  <c r="I38" i="63"/>
  <c r="J38" i="63"/>
  <c r="L38" i="63"/>
  <c r="M38" i="63"/>
  <c r="N38" i="63"/>
  <c r="I39" i="63"/>
  <c r="J39" i="63"/>
  <c r="L39" i="63"/>
  <c r="M39" i="63"/>
  <c r="N39" i="63"/>
  <c r="I40" i="63"/>
  <c r="K40" i="63" s="1"/>
  <c r="J40" i="63"/>
  <c r="L40" i="63"/>
  <c r="M40" i="63"/>
  <c r="N40" i="63"/>
  <c r="I41" i="63"/>
  <c r="AA41" i="63" s="1"/>
  <c r="J41" i="63"/>
  <c r="L41" i="63"/>
  <c r="M41" i="63"/>
  <c r="N41" i="63"/>
  <c r="I42" i="63"/>
  <c r="J42" i="63"/>
  <c r="L42" i="63"/>
  <c r="M42" i="63"/>
  <c r="N42" i="63"/>
  <c r="I43" i="63"/>
  <c r="J43" i="63"/>
  <c r="L43" i="63"/>
  <c r="M43" i="63"/>
  <c r="N43" i="63"/>
  <c r="I44" i="63"/>
  <c r="K44" i="63" s="1"/>
  <c r="J44" i="63"/>
  <c r="L44" i="63"/>
  <c r="M44" i="63"/>
  <c r="N44" i="63"/>
  <c r="I45" i="63"/>
  <c r="AA45" i="63" s="1"/>
  <c r="J45" i="63"/>
  <c r="L45" i="63"/>
  <c r="M45" i="63"/>
  <c r="N45" i="63"/>
  <c r="I46" i="63"/>
  <c r="J46" i="63"/>
  <c r="L46" i="63"/>
  <c r="M46" i="63"/>
  <c r="N46" i="63"/>
  <c r="I47" i="63"/>
  <c r="AA47" i="63" s="1"/>
  <c r="J47" i="63"/>
  <c r="L47" i="63"/>
  <c r="M47" i="63"/>
  <c r="N47" i="63"/>
  <c r="I48" i="63"/>
  <c r="K48" i="63" s="1"/>
  <c r="J48" i="63"/>
  <c r="L48" i="63"/>
  <c r="M48" i="63"/>
  <c r="N48" i="63"/>
  <c r="I49" i="63"/>
  <c r="AA49" i="63" s="1"/>
  <c r="J49" i="63"/>
  <c r="L49" i="63"/>
  <c r="M49" i="63"/>
  <c r="N49" i="63"/>
  <c r="I50" i="63"/>
  <c r="J50" i="63"/>
  <c r="L50" i="63"/>
  <c r="M50" i="63"/>
  <c r="N50" i="63"/>
  <c r="I51" i="63"/>
  <c r="AA51" i="63" s="1"/>
  <c r="J51" i="63"/>
  <c r="K51" i="63"/>
  <c r="L51" i="63"/>
  <c r="M51" i="63"/>
  <c r="N51" i="63"/>
  <c r="I52" i="63"/>
  <c r="J52" i="63"/>
  <c r="L52" i="63"/>
  <c r="M52" i="63"/>
  <c r="N52" i="63"/>
  <c r="I53" i="63"/>
  <c r="AA53" i="63" s="1"/>
  <c r="J53" i="63"/>
  <c r="L53" i="63"/>
  <c r="M53" i="63"/>
  <c r="N53" i="63"/>
  <c r="I54" i="63"/>
  <c r="J54" i="63"/>
  <c r="L54" i="63"/>
  <c r="M54" i="63"/>
  <c r="N54" i="63"/>
  <c r="I55" i="63"/>
  <c r="AA55" i="63" s="1"/>
  <c r="J55" i="63"/>
  <c r="K55" i="63"/>
  <c r="L55" i="63"/>
  <c r="M55" i="63"/>
  <c r="N55" i="63"/>
  <c r="I56" i="63"/>
  <c r="K56" i="63" s="1"/>
  <c r="J56" i="63"/>
  <c r="L56" i="63"/>
  <c r="M56" i="63"/>
  <c r="N56" i="63"/>
  <c r="I57" i="63"/>
  <c r="AA57" i="63" s="1"/>
  <c r="J57" i="63"/>
  <c r="L57" i="63"/>
  <c r="M57" i="63"/>
  <c r="N57" i="63"/>
  <c r="I58" i="63"/>
  <c r="J58" i="63"/>
  <c r="L58" i="63"/>
  <c r="M58" i="63"/>
  <c r="N58" i="63"/>
  <c r="N33" i="63"/>
  <c r="N34" i="63"/>
  <c r="I33" i="63"/>
  <c r="J33" i="63"/>
  <c r="I34" i="63"/>
  <c r="J34" i="63"/>
  <c r="AG32" i="63"/>
  <c r="AL32" i="63" s="1"/>
  <c r="AD32" i="63"/>
  <c r="AK32" i="63" s="1"/>
  <c r="O32" i="63"/>
  <c r="P32" i="63"/>
  <c r="Q32" i="63"/>
  <c r="R32" i="63"/>
  <c r="S32" i="63"/>
  <c r="T32" i="63"/>
  <c r="U32" i="63"/>
  <c r="V32" i="63"/>
  <c r="W32" i="63"/>
  <c r="X32" i="63"/>
  <c r="Y32" i="63"/>
  <c r="Z32" i="63"/>
  <c r="AJ32" i="63" s="1"/>
  <c r="AJ31" i="63"/>
  <c r="AK31" i="63"/>
  <c r="AL31" i="63"/>
  <c r="AM31" i="63"/>
  <c r="AN31" i="63"/>
  <c r="AG31" i="63"/>
  <c r="AD31" i="63"/>
  <c r="O31" i="63"/>
  <c r="P31" i="63"/>
  <c r="Q31" i="63"/>
  <c r="R31" i="63"/>
  <c r="S31" i="63"/>
  <c r="T31" i="63"/>
  <c r="U31" i="63"/>
  <c r="V31" i="63"/>
  <c r="W31" i="63"/>
  <c r="X31" i="63"/>
  <c r="Y31" i="63"/>
  <c r="Z31" i="63"/>
  <c r="AA31" i="63"/>
  <c r="N26" i="63"/>
  <c r="N27" i="63"/>
  <c r="N28" i="63"/>
  <c r="N29" i="63"/>
  <c r="B22" i="63"/>
  <c r="B23" i="63"/>
  <c r="AG16" i="63"/>
  <c r="AG19" i="63"/>
  <c r="AG20" i="63"/>
  <c r="AL87" i="63" s="1"/>
  <c r="AD19" i="63"/>
  <c r="AD20" i="63"/>
  <c r="AK85" i="63" s="1"/>
  <c r="G19" i="63"/>
  <c r="G20" i="63"/>
  <c r="N19" i="63"/>
  <c r="O19" i="63"/>
  <c r="P19" i="63"/>
  <c r="Q19" i="63"/>
  <c r="R19" i="63"/>
  <c r="S19" i="63"/>
  <c r="T19" i="63"/>
  <c r="U19" i="63"/>
  <c r="V19" i="63"/>
  <c r="W19" i="63"/>
  <c r="X19" i="63"/>
  <c r="Y19" i="63"/>
  <c r="Z19" i="63"/>
  <c r="N20" i="63"/>
  <c r="O20" i="63"/>
  <c r="P20" i="63"/>
  <c r="Q20" i="63"/>
  <c r="R20" i="63"/>
  <c r="S20" i="63"/>
  <c r="T20" i="63"/>
  <c r="U20" i="63"/>
  <c r="V20" i="63"/>
  <c r="W20" i="63"/>
  <c r="X20" i="63"/>
  <c r="Y20" i="63"/>
  <c r="Z20" i="63"/>
  <c r="B17" i="63"/>
  <c r="B18" i="63"/>
  <c r="B19" i="63"/>
  <c r="O16" i="63"/>
  <c r="P16" i="63"/>
  <c r="Q16" i="63"/>
  <c r="R16" i="63"/>
  <c r="S16" i="63"/>
  <c r="T16" i="63"/>
  <c r="U16" i="63"/>
  <c r="V16" i="63"/>
  <c r="W16" i="63"/>
  <c r="X16" i="63"/>
  <c r="Y16" i="63"/>
  <c r="O17" i="63"/>
  <c r="P17" i="63"/>
  <c r="Q17" i="63"/>
  <c r="R17" i="63"/>
  <c r="S17" i="63"/>
  <c r="T17" i="63"/>
  <c r="U17" i="63"/>
  <c r="V17" i="63"/>
  <c r="W17" i="63"/>
  <c r="X17" i="63"/>
  <c r="Y17" i="63"/>
  <c r="Z17" i="63"/>
  <c r="AA17" i="63"/>
  <c r="A14" i="63"/>
  <c r="AG12" i="63"/>
  <c r="AG13" i="63"/>
  <c r="AD12" i="63"/>
  <c r="AD13" i="63"/>
  <c r="B12" i="63"/>
  <c r="AA16" i="63" s="1"/>
  <c r="B13" i="63"/>
  <c r="O11" i="63"/>
  <c r="P11" i="63"/>
  <c r="Q11" i="63"/>
  <c r="R11" i="63"/>
  <c r="S11" i="63"/>
  <c r="T11" i="63"/>
  <c r="U11" i="63"/>
  <c r="V11" i="63"/>
  <c r="W11" i="63"/>
  <c r="X11" i="63"/>
  <c r="Y11" i="63"/>
  <c r="Z11" i="63"/>
  <c r="AA11" i="63"/>
  <c r="O12" i="63"/>
  <c r="P12" i="63"/>
  <c r="Q12" i="63"/>
  <c r="R12" i="63"/>
  <c r="S12" i="63"/>
  <c r="T12" i="63"/>
  <c r="U12" i="63"/>
  <c r="V12" i="63"/>
  <c r="W12" i="63"/>
  <c r="X12" i="63"/>
  <c r="Y12" i="63"/>
  <c r="Z12" i="63"/>
  <c r="AA12" i="63"/>
  <c r="O13" i="63"/>
  <c r="P13" i="63"/>
  <c r="Q13" i="63"/>
  <c r="R13" i="63"/>
  <c r="S13" i="63"/>
  <c r="T13" i="63"/>
  <c r="U13" i="63"/>
  <c r="V13" i="63"/>
  <c r="W13" i="63"/>
  <c r="X13" i="63"/>
  <c r="Y13" i="63"/>
  <c r="Z13" i="63"/>
  <c r="AA13" i="63"/>
  <c r="C10" i="63"/>
  <c r="D10" i="63"/>
  <c r="C9" i="63"/>
  <c r="C1" i="63"/>
  <c r="C2" i="63"/>
  <c r="C3" i="63"/>
  <c r="C4" i="63"/>
  <c r="C5" i="63"/>
  <c r="C6" i="63"/>
  <c r="C7" i="63"/>
  <c r="C8" i="63"/>
  <c r="E6" i="63"/>
  <c r="B62" i="63" s="1"/>
  <c r="E4" i="63"/>
  <c r="F4" i="63"/>
  <c r="B3" i="63"/>
  <c r="H2" i="63" s="1"/>
  <c r="N1" i="63"/>
  <c r="N1" i="64" s="1"/>
  <c r="AG143" i="62"/>
  <c r="AG144" i="62"/>
  <c r="AG145" i="62"/>
  <c r="AG146" i="62"/>
  <c r="AD143" i="62"/>
  <c r="AD144" i="62"/>
  <c r="AD145" i="62"/>
  <c r="AD146" i="62"/>
  <c r="O143" i="62"/>
  <c r="P143" i="62"/>
  <c r="Q143" i="62"/>
  <c r="R143" i="62"/>
  <c r="S143" i="62"/>
  <c r="T143" i="62"/>
  <c r="U143" i="62"/>
  <c r="V143" i="62"/>
  <c r="W143" i="62"/>
  <c r="X143" i="62"/>
  <c r="Y143" i="62"/>
  <c r="Z143" i="62"/>
  <c r="O144" i="62"/>
  <c r="P144" i="62"/>
  <c r="Q144" i="62"/>
  <c r="R144" i="62"/>
  <c r="S144" i="62"/>
  <c r="T144" i="62"/>
  <c r="U144" i="62"/>
  <c r="V144" i="62"/>
  <c r="W144" i="62"/>
  <c r="X144" i="62"/>
  <c r="Y144" i="62"/>
  <c r="Z144" i="62"/>
  <c r="O145" i="62"/>
  <c r="P145" i="62"/>
  <c r="Q145" i="62"/>
  <c r="R145" i="62"/>
  <c r="S145" i="62"/>
  <c r="T145" i="62"/>
  <c r="U145" i="62"/>
  <c r="V145" i="62"/>
  <c r="W145" i="62"/>
  <c r="X145" i="62"/>
  <c r="Y145" i="62"/>
  <c r="Z145" i="62"/>
  <c r="O146" i="62"/>
  <c r="P146" i="62"/>
  <c r="Q146" i="62"/>
  <c r="R146" i="62"/>
  <c r="S146" i="62"/>
  <c r="T146" i="62"/>
  <c r="U146" i="62"/>
  <c r="V146" i="62"/>
  <c r="W146" i="62"/>
  <c r="X146" i="62"/>
  <c r="Y146" i="62"/>
  <c r="Z146" i="62"/>
  <c r="AI131" i="62"/>
  <c r="AI133" i="62"/>
  <c r="AI135" i="62"/>
  <c r="AI137" i="62"/>
  <c r="AI139" i="62"/>
  <c r="AI140" i="62"/>
  <c r="AG141" i="62"/>
  <c r="AD141" i="62"/>
  <c r="O141" i="62"/>
  <c r="P141" i="62"/>
  <c r="Q141" i="62"/>
  <c r="R141" i="62"/>
  <c r="S141" i="62"/>
  <c r="T141" i="62"/>
  <c r="U141" i="62"/>
  <c r="V141" i="62"/>
  <c r="W141" i="62"/>
  <c r="X141" i="62"/>
  <c r="Y141" i="62"/>
  <c r="Z141" i="62"/>
  <c r="AH140" i="62"/>
  <c r="AE140" i="62"/>
  <c r="AA140" i="62"/>
  <c r="AF140" i="62" s="1"/>
  <c r="AB140" i="62"/>
  <c r="AF131" i="62"/>
  <c r="AF132" i="62"/>
  <c r="AF133" i="62"/>
  <c r="AF135" i="62"/>
  <c r="AF137" i="62"/>
  <c r="AF139" i="62"/>
  <c r="AH138" i="62"/>
  <c r="AE138" i="62"/>
  <c r="AA138" i="62"/>
  <c r="AF138" i="62" s="1"/>
  <c r="AB138" i="62"/>
  <c r="AH136" i="62"/>
  <c r="AE136" i="62"/>
  <c r="AA136" i="62"/>
  <c r="AB136" i="62"/>
  <c r="AH134" i="62"/>
  <c r="AE134" i="62"/>
  <c r="AA134" i="62"/>
  <c r="AI134" i="62" s="1"/>
  <c r="AB134" i="62"/>
  <c r="AH132" i="62"/>
  <c r="AE132" i="62"/>
  <c r="AA132" i="62"/>
  <c r="AI132" i="62" s="1"/>
  <c r="AB132" i="62"/>
  <c r="AH130" i="62"/>
  <c r="AE130" i="62"/>
  <c r="AA130" i="62"/>
  <c r="AB130" i="62"/>
  <c r="L130" i="62"/>
  <c r="M130" i="62"/>
  <c r="N130" i="62"/>
  <c r="L131" i="62"/>
  <c r="M131" i="62"/>
  <c r="N131" i="62"/>
  <c r="L132" i="62"/>
  <c r="M132" i="62"/>
  <c r="N132" i="62"/>
  <c r="L133" i="62"/>
  <c r="M133" i="62"/>
  <c r="N133" i="62"/>
  <c r="L134" i="62"/>
  <c r="M134" i="62"/>
  <c r="N134" i="62"/>
  <c r="L135" i="62"/>
  <c r="M135" i="62"/>
  <c r="N135" i="62"/>
  <c r="L136" i="62"/>
  <c r="M136" i="62"/>
  <c r="N136" i="62"/>
  <c r="L137" i="62"/>
  <c r="M137" i="62"/>
  <c r="N137" i="62"/>
  <c r="L138" i="62"/>
  <c r="M138" i="62"/>
  <c r="N138" i="62"/>
  <c r="L139" i="62"/>
  <c r="M139" i="62"/>
  <c r="N139" i="62"/>
  <c r="L140" i="62"/>
  <c r="M140" i="62"/>
  <c r="N140" i="62"/>
  <c r="N129" i="62"/>
  <c r="AG121" i="62"/>
  <c r="AG122" i="62"/>
  <c r="AH122" i="62" s="1"/>
  <c r="AG123" i="62"/>
  <c r="AH123" i="62" s="1"/>
  <c r="AG124" i="62"/>
  <c r="AH124" i="62" s="1"/>
  <c r="AG125" i="62"/>
  <c r="AH125" i="62" s="1"/>
  <c r="AD121" i="62"/>
  <c r="AD122" i="62"/>
  <c r="AE122" i="62" s="1"/>
  <c r="AD123" i="62"/>
  <c r="AE123" i="62" s="1"/>
  <c r="AD124" i="62"/>
  <c r="AE124" i="62" s="1"/>
  <c r="AD125" i="62"/>
  <c r="AE121" i="62"/>
  <c r="AE125" i="62"/>
  <c r="L121" i="62"/>
  <c r="M121" i="62"/>
  <c r="N121" i="62"/>
  <c r="O121" i="62"/>
  <c r="P121" i="62"/>
  <c r="Q121" i="62"/>
  <c r="R121" i="62"/>
  <c r="S121" i="62"/>
  <c r="T121" i="62"/>
  <c r="U121" i="62"/>
  <c r="V121" i="62"/>
  <c r="W121" i="62"/>
  <c r="X121" i="62"/>
  <c r="Y121" i="62"/>
  <c r="Z121" i="62"/>
  <c r="AA121" i="62"/>
  <c r="AF121" i="62" s="1"/>
  <c r="L122" i="62"/>
  <c r="M122" i="62"/>
  <c r="N122" i="62"/>
  <c r="O122" i="62"/>
  <c r="P122" i="62"/>
  <c r="Q122" i="62"/>
  <c r="R122" i="62"/>
  <c r="S122" i="62"/>
  <c r="T122" i="62"/>
  <c r="U122" i="62"/>
  <c r="V122" i="62"/>
  <c r="W122" i="62"/>
  <c r="X122" i="62"/>
  <c r="Y122" i="62"/>
  <c r="Z122" i="62"/>
  <c r="L123" i="62"/>
  <c r="M123" i="62"/>
  <c r="N123" i="62"/>
  <c r="O123" i="62"/>
  <c r="P123" i="62"/>
  <c r="Q123" i="62"/>
  <c r="R123" i="62"/>
  <c r="S123" i="62"/>
  <c r="T123" i="62"/>
  <c r="U123" i="62"/>
  <c r="V123" i="62"/>
  <c r="W123" i="62"/>
  <c r="X123" i="62"/>
  <c r="Y123" i="62"/>
  <c r="Z123" i="62"/>
  <c r="L124" i="62"/>
  <c r="M124" i="62"/>
  <c r="N124" i="62"/>
  <c r="O124" i="62"/>
  <c r="P124" i="62"/>
  <c r="Q124" i="62"/>
  <c r="R124" i="62"/>
  <c r="S124" i="62"/>
  <c r="T124" i="62"/>
  <c r="U124" i="62"/>
  <c r="U126" i="62" s="1"/>
  <c r="U127" i="62" s="1"/>
  <c r="V124" i="62"/>
  <c r="W124" i="62"/>
  <c r="X124" i="62"/>
  <c r="Y124" i="62"/>
  <c r="Z124" i="62"/>
  <c r="L125" i="62"/>
  <c r="M125" i="62"/>
  <c r="N125" i="62"/>
  <c r="O125" i="62"/>
  <c r="P125" i="62"/>
  <c r="Q125" i="62"/>
  <c r="R125" i="62"/>
  <c r="S125" i="62"/>
  <c r="T125" i="62"/>
  <c r="U125" i="62"/>
  <c r="V125" i="62"/>
  <c r="W125" i="62"/>
  <c r="X125" i="62"/>
  <c r="X126" i="62" s="1"/>
  <c r="X127" i="62" s="1"/>
  <c r="Y125" i="62"/>
  <c r="Z125" i="62"/>
  <c r="L126" i="62"/>
  <c r="M126" i="62"/>
  <c r="N126" i="62"/>
  <c r="S126" i="62"/>
  <c r="S127" i="62" s="1"/>
  <c r="AH114" i="62"/>
  <c r="AH115" i="62"/>
  <c r="AI115" i="62"/>
  <c r="AH116" i="62"/>
  <c r="AH117" i="62"/>
  <c r="AH118" i="62"/>
  <c r="AH119" i="62"/>
  <c r="AI119" i="62"/>
  <c r="AE114" i="62"/>
  <c r="AE115" i="62"/>
  <c r="AF115" i="62"/>
  <c r="AE116" i="62"/>
  <c r="AF116" i="62"/>
  <c r="AE117" i="62"/>
  <c r="AE118" i="62"/>
  <c r="AE119" i="62"/>
  <c r="AA114" i="62"/>
  <c r="AF114" i="62" s="1"/>
  <c r="AA115" i="62"/>
  <c r="AB115" i="62"/>
  <c r="AA116" i="62"/>
  <c r="AI116" i="62" s="1"/>
  <c r="AA117" i="62"/>
  <c r="AI117" i="62" s="1"/>
  <c r="AB117" i="62"/>
  <c r="AA118" i="62"/>
  <c r="AF118" i="62" s="1"/>
  <c r="AA119" i="62"/>
  <c r="AF119" i="62" s="1"/>
  <c r="AB119" i="62"/>
  <c r="L114" i="62"/>
  <c r="M114" i="62"/>
  <c r="N114" i="62"/>
  <c r="L115" i="62"/>
  <c r="M115" i="62"/>
  <c r="N115" i="62"/>
  <c r="L116" i="62"/>
  <c r="M116" i="62"/>
  <c r="N116" i="62"/>
  <c r="L117" i="62"/>
  <c r="M117" i="62"/>
  <c r="N117" i="62"/>
  <c r="L118" i="62"/>
  <c r="M118" i="62"/>
  <c r="N118" i="62"/>
  <c r="L119" i="62"/>
  <c r="M119" i="62"/>
  <c r="N119" i="62"/>
  <c r="AH106" i="62"/>
  <c r="AH107" i="62"/>
  <c r="AI107" i="62"/>
  <c r="AH108" i="62"/>
  <c r="AH109" i="62"/>
  <c r="AH110" i="62"/>
  <c r="AI110" i="62"/>
  <c r="AH111" i="62"/>
  <c r="AE106" i="62"/>
  <c r="AE107" i="62"/>
  <c r="AE108" i="62"/>
  <c r="AF108" i="62"/>
  <c r="AE109" i="62"/>
  <c r="AE110" i="62"/>
  <c r="AE111" i="62"/>
  <c r="AA106" i="62"/>
  <c r="AF106" i="62" s="1"/>
  <c r="AA107" i="62"/>
  <c r="AF107" i="62" s="1"/>
  <c r="AA108" i="62"/>
  <c r="AA109" i="62"/>
  <c r="AA110" i="62"/>
  <c r="AA111" i="62"/>
  <c r="L106" i="62"/>
  <c r="M106" i="62"/>
  <c r="N106" i="62"/>
  <c r="L107" i="62"/>
  <c r="M107" i="62"/>
  <c r="N107" i="62"/>
  <c r="L108" i="62"/>
  <c r="M108" i="62"/>
  <c r="N108" i="62"/>
  <c r="L109" i="62"/>
  <c r="M109" i="62"/>
  <c r="N109" i="62"/>
  <c r="L110" i="62"/>
  <c r="M110" i="62"/>
  <c r="N110" i="62"/>
  <c r="L111" i="62"/>
  <c r="M111" i="62"/>
  <c r="N111" i="62"/>
  <c r="AH98" i="62"/>
  <c r="AH99" i="62"/>
  <c r="AH100" i="62"/>
  <c r="AH101" i="62"/>
  <c r="AI101" i="62"/>
  <c r="AH102" i="62"/>
  <c r="AH103" i="62"/>
  <c r="AI103" i="62"/>
  <c r="AE98" i="62"/>
  <c r="AF98" i="62"/>
  <c r="AE99" i="62"/>
  <c r="AE100" i="62"/>
  <c r="AE101" i="62"/>
  <c r="AF101" i="62"/>
  <c r="AE102" i="62"/>
  <c r="AE103" i="62"/>
  <c r="AA98" i="62"/>
  <c r="AA99" i="62"/>
  <c r="AA100" i="62"/>
  <c r="AF100" i="62" s="1"/>
  <c r="AA101" i="62"/>
  <c r="AB101" i="62"/>
  <c r="AA102" i="62"/>
  <c r="AA103" i="62"/>
  <c r="L98" i="62"/>
  <c r="M98" i="62"/>
  <c r="N98" i="62"/>
  <c r="L99" i="62"/>
  <c r="M99" i="62"/>
  <c r="N99" i="62"/>
  <c r="L100" i="62"/>
  <c r="M100" i="62"/>
  <c r="N100" i="62"/>
  <c r="L101" i="62"/>
  <c r="M101" i="62"/>
  <c r="N101" i="62"/>
  <c r="L102" i="62"/>
  <c r="M102" i="62"/>
  <c r="N102" i="62"/>
  <c r="L103" i="62"/>
  <c r="M103" i="62"/>
  <c r="N103" i="62"/>
  <c r="AD93" i="62"/>
  <c r="AD94" i="62"/>
  <c r="AG93" i="62"/>
  <c r="AG94" i="62"/>
  <c r="O93" i="62"/>
  <c r="P93" i="62"/>
  <c r="Q93" i="62"/>
  <c r="R93" i="62"/>
  <c r="S93" i="62"/>
  <c r="T93" i="62"/>
  <c r="U93" i="62"/>
  <c r="V93" i="62"/>
  <c r="W93" i="62"/>
  <c r="X93" i="62"/>
  <c r="Y93" i="62"/>
  <c r="Z93" i="62"/>
  <c r="O94" i="62"/>
  <c r="P94" i="62"/>
  <c r="Q94" i="62"/>
  <c r="R94" i="62"/>
  <c r="S94" i="62"/>
  <c r="T94" i="62"/>
  <c r="U94" i="62"/>
  <c r="V94" i="62"/>
  <c r="W94" i="62"/>
  <c r="X94" i="62"/>
  <c r="Y94" i="62"/>
  <c r="Z94" i="62"/>
  <c r="AA91" i="62"/>
  <c r="AA92" i="62"/>
  <c r="AI92" i="62" s="1"/>
  <c r="N91" i="62"/>
  <c r="N92" i="62"/>
  <c r="I91" i="62"/>
  <c r="J91" i="62"/>
  <c r="I92" i="62"/>
  <c r="J92" i="62"/>
  <c r="AI86" i="62"/>
  <c r="AA35" i="62"/>
  <c r="AA36" i="62"/>
  <c r="AA37" i="62"/>
  <c r="AA38" i="62"/>
  <c r="AA39" i="62"/>
  <c r="AA42" i="62" s="1"/>
  <c r="AA40" i="62"/>
  <c r="AA41" i="62"/>
  <c r="AA45" i="62"/>
  <c r="AB45" i="62" s="1"/>
  <c r="AA46" i="62"/>
  <c r="AI46" i="62" s="1"/>
  <c r="AA47" i="62"/>
  <c r="AA48" i="62"/>
  <c r="AB48" i="62" s="1"/>
  <c r="AA49" i="62"/>
  <c r="AA50" i="62"/>
  <c r="AI50" i="62" s="1"/>
  <c r="AA51" i="62"/>
  <c r="AA55" i="62"/>
  <c r="AB55" i="62" s="1"/>
  <c r="AA56" i="62"/>
  <c r="AA57" i="62"/>
  <c r="AF57" i="62" s="1"/>
  <c r="AA58" i="62"/>
  <c r="AA59" i="62"/>
  <c r="AA62" i="62" s="1"/>
  <c r="AA60" i="62"/>
  <c r="AA61" i="62"/>
  <c r="AA65" i="62"/>
  <c r="AA66" i="62"/>
  <c r="AI66" i="62" s="1"/>
  <c r="AA67" i="62"/>
  <c r="AA68" i="62"/>
  <c r="AB68" i="62" s="1"/>
  <c r="AA69" i="62"/>
  <c r="AI69" i="62" s="1"/>
  <c r="AA70" i="62"/>
  <c r="AF70" i="62" s="1"/>
  <c r="AA71" i="62"/>
  <c r="AA75" i="62"/>
  <c r="AI75" i="62" s="1"/>
  <c r="AA76" i="62"/>
  <c r="AB76" i="62" s="1"/>
  <c r="AA77" i="62"/>
  <c r="AB77" i="62" s="1"/>
  <c r="AA78" i="62"/>
  <c r="AA79" i="62"/>
  <c r="AB79" i="62" s="1"/>
  <c r="AA80" i="62"/>
  <c r="AI80" i="62" s="1"/>
  <c r="AA83" i="62"/>
  <c r="AI83" i="62" s="1"/>
  <c r="AA85" i="62"/>
  <c r="AB85" i="62" s="1"/>
  <c r="AA86" i="62"/>
  <c r="AF86" i="62" s="1"/>
  <c r="AA87" i="62"/>
  <c r="N85" i="62"/>
  <c r="N143" i="62" s="1"/>
  <c r="N86" i="62"/>
  <c r="N87" i="62"/>
  <c r="N144" i="62" s="1"/>
  <c r="N88" i="62"/>
  <c r="N145" i="62" s="1"/>
  <c r="AH87" i="62"/>
  <c r="AE87" i="62"/>
  <c r="AH83" i="62"/>
  <c r="AH85" i="62"/>
  <c r="AE83" i="62"/>
  <c r="AE84" i="62"/>
  <c r="AE85" i="62"/>
  <c r="L85" i="62"/>
  <c r="M85" i="62"/>
  <c r="L86" i="62"/>
  <c r="M86" i="62"/>
  <c r="L87" i="62"/>
  <c r="M87" i="62"/>
  <c r="I85" i="62"/>
  <c r="J85" i="62"/>
  <c r="I86" i="62"/>
  <c r="J86" i="62"/>
  <c r="I87" i="62"/>
  <c r="J87" i="62"/>
  <c r="I88" i="62"/>
  <c r="J88" i="62"/>
  <c r="AF83" i="62"/>
  <c r="AB83" i="62"/>
  <c r="L83" i="62"/>
  <c r="M83" i="62"/>
  <c r="N83" i="62"/>
  <c r="I83" i="62"/>
  <c r="J83" i="62"/>
  <c r="AG82" i="62"/>
  <c r="AH84" i="62" s="1"/>
  <c r="AD82" i="62"/>
  <c r="O82" i="62"/>
  <c r="O84" i="62" s="1"/>
  <c r="P82" i="62"/>
  <c r="P84" i="62" s="1"/>
  <c r="Q82" i="62"/>
  <c r="Q84" i="62" s="1"/>
  <c r="R82" i="62"/>
  <c r="R84" i="62" s="1"/>
  <c r="S82" i="62"/>
  <c r="S84" i="62" s="1"/>
  <c r="T82" i="62"/>
  <c r="T84" i="62" s="1"/>
  <c r="U82" i="62"/>
  <c r="U84" i="62" s="1"/>
  <c r="V82" i="62"/>
  <c r="V84" i="62" s="1"/>
  <c r="W82" i="62"/>
  <c r="W84" i="62" s="1"/>
  <c r="X82" i="62"/>
  <c r="X84" i="62" s="1"/>
  <c r="Y82" i="62"/>
  <c r="Y84" i="62" s="1"/>
  <c r="Z82" i="62"/>
  <c r="Z84" i="62" s="1"/>
  <c r="AI78" i="62"/>
  <c r="AI79" i="62"/>
  <c r="AF75" i="62"/>
  <c r="AF78" i="62"/>
  <c r="AF80" i="62"/>
  <c r="AH75" i="62"/>
  <c r="AH76" i="62"/>
  <c r="AH77" i="62"/>
  <c r="AH78" i="62"/>
  <c r="AH79" i="62"/>
  <c r="AH80" i="62"/>
  <c r="AE75" i="62"/>
  <c r="AE76" i="62"/>
  <c r="AE77" i="62"/>
  <c r="AE78" i="62"/>
  <c r="AE79" i="62"/>
  <c r="AE80" i="62"/>
  <c r="AB75" i="62"/>
  <c r="AB78" i="62"/>
  <c r="AB80" i="62"/>
  <c r="L75" i="62"/>
  <c r="M75" i="62"/>
  <c r="N75" i="62"/>
  <c r="L76" i="62"/>
  <c r="M76" i="62"/>
  <c r="N76" i="62"/>
  <c r="L77" i="62"/>
  <c r="M77" i="62"/>
  <c r="N77" i="62"/>
  <c r="L78" i="62"/>
  <c r="M78" i="62"/>
  <c r="N78" i="62"/>
  <c r="L79" i="62"/>
  <c r="M79" i="62"/>
  <c r="N79" i="62"/>
  <c r="L80" i="62"/>
  <c r="M80" i="62"/>
  <c r="N80" i="62"/>
  <c r="L81" i="62"/>
  <c r="M81" i="62"/>
  <c r="N81" i="62"/>
  <c r="I75" i="62"/>
  <c r="J75" i="62"/>
  <c r="I76" i="62"/>
  <c r="J76" i="62"/>
  <c r="I77" i="62"/>
  <c r="J77" i="62"/>
  <c r="I78" i="62"/>
  <c r="J78" i="62"/>
  <c r="I79" i="62"/>
  <c r="J79" i="62"/>
  <c r="I80" i="62"/>
  <c r="J80" i="62"/>
  <c r="I81" i="62"/>
  <c r="J81" i="62"/>
  <c r="AG73" i="62"/>
  <c r="AH74" i="62" s="1"/>
  <c r="AD73" i="62"/>
  <c r="AE74" i="62" s="1"/>
  <c r="O73" i="62"/>
  <c r="O74" i="62" s="1"/>
  <c r="P73" i="62"/>
  <c r="Q73" i="62"/>
  <c r="Q74" i="62" s="1"/>
  <c r="R73" i="62"/>
  <c r="R74" i="62" s="1"/>
  <c r="S73" i="62"/>
  <c r="T73" i="62"/>
  <c r="T74" i="62" s="1"/>
  <c r="U73" i="62"/>
  <c r="V73" i="62"/>
  <c r="V74" i="62" s="1"/>
  <c r="W73" i="62"/>
  <c r="W74" i="62" s="1"/>
  <c r="X73" i="62"/>
  <c r="Y73" i="62"/>
  <c r="Y74" i="62" s="1"/>
  <c r="Z73" i="62"/>
  <c r="P74" i="62"/>
  <c r="S74" i="62"/>
  <c r="U74" i="62"/>
  <c r="X74" i="62"/>
  <c r="Z74" i="62"/>
  <c r="AI67" i="62"/>
  <c r="AI70" i="62"/>
  <c r="AF67" i="62"/>
  <c r="AF69" i="62"/>
  <c r="AH71" i="62"/>
  <c r="AE71" i="62"/>
  <c r="AH65" i="62"/>
  <c r="AH66" i="62"/>
  <c r="AH67" i="62"/>
  <c r="AH68" i="62"/>
  <c r="AH69" i="62"/>
  <c r="AE65" i="62"/>
  <c r="AE66" i="62"/>
  <c r="AE67" i="62"/>
  <c r="AE68" i="62"/>
  <c r="AE69" i="62"/>
  <c r="AB66" i="62"/>
  <c r="AB67" i="62"/>
  <c r="AB69" i="62"/>
  <c r="L65" i="62"/>
  <c r="M65" i="62"/>
  <c r="N65" i="62"/>
  <c r="L66" i="62"/>
  <c r="M66" i="62"/>
  <c r="N66" i="62"/>
  <c r="L67" i="62"/>
  <c r="M67" i="62"/>
  <c r="N67" i="62"/>
  <c r="L68" i="62"/>
  <c r="M68" i="62"/>
  <c r="N68" i="62"/>
  <c r="L69" i="62"/>
  <c r="M69" i="62"/>
  <c r="N69" i="62"/>
  <c r="L70" i="62"/>
  <c r="M70" i="62"/>
  <c r="N70" i="62"/>
  <c r="L71" i="62"/>
  <c r="M71" i="62"/>
  <c r="N71" i="62"/>
  <c r="L72" i="62"/>
  <c r="M72" i="62"/>
  <c r="N72" i="62"/>
  <c r="I65" i="62"/>
  <c r="J65" i="62"/>
  <c r="I66" i="62"/>
  <c r="J66" i="62"/>
  <c r="I67" i="62"/>
  <c r="J67" i="62"/>
  <c r="I68" i="62"/>
  <c r="J68" i="62"/>
  <c r="I69" i="62"/>
  <c r="J69" i="62"/>
  <c r="I70" i="62"/>
  <c r="J70" i="62"/>
  <c r="I71" i="62"/>
  <c r="J71" i="62"/>
  <c r="I72" i="62"/>
  <c r="J72" i="62"/>
  <c r="AG63" i="62"/>
  <c r="AH64" i="62" s="1"/>
  <c r="AD63" i="62"/>
  <c r="AE64" i="62" s="1"/>
  <c r="O63" i="62"/>
  <c r="O64" i="62" s="1"/>
  <c r="P63" i="62"/>
  <c r="P64" i="62" s="1"/>
  <c r="Q63" i="62"/>
  <c r="R63" i="62"/>
  <c r="R64" i="62" s="1"/>
  <c r="S63" i="62"/>
  <c r="T63" i="62"/>
  <c r="U63" i="62"/>
  <c r="U64" i="62" s="1"/>
  <c r="V63" i="62"/>
  <c r="W63" i="62"/>
  <c r="W64" i="62" s="1"/>
  <c r="X63" i="62"/>
  <c r="X64" i="62" s="1"/>
  <c r="Y63" i="62"/>
  <c r="Z63" i="62"/>
  <c r="Z64" i="62" s="1"/>
  <c r="Q64" i="62"/>
  <c r="S64" i="62"/>
  <c r="T64" i="62"/>
  <c r="V64" i="62"/>
  <c r="Y64" i="62"/>
  <c r="AI55" i="62"/>
  <c r="AI56" i="62"/>
  <c r="AI57" i="62"/>
  <c r="AI58" i="62"/>
  <c r="AI59" i="62"/>
  <c r="AI60" i="62"/>
  <c r="AI61" i="62"/>
  <c r="AF56" i="62"/>
  <c r="AF58" i="62"/>
  <c r="AF60" i="62"/>
  <c r="AF61" i="62"/>
  <c r="AH61" i="62"/>
  <c r="AE61" i="62"/>
  <c r="AB61" i="62"/>
  <c r="AH55" i="62"/>
  <c r="AH56" i="62"/>
  <c r="AH57" i="62"/>
  <c r="AH58" i="62"/>
  <c r="AH59" i="62"/>
  <c r="AE55" i="62"/>
  <c r="AE56" i="62"/>
  <c r="AE57" i="62"/>
  <c r="AE58" i="62"/>
  <c r="AE59" i="62"/>
  <c r="AB56" i="62"/>
  <c r="AB57" i="62"/>
  <c r="AB58" i="62"/>
  <c r="AB59" i="62"/>
  <c r="L55" i="62"/>
  <c r="M55" i="62"/>
  <c r="N55" i="62"/>
  <c r="L56" i="62"/>
  <c r="M56" i="62"/>
  <c r="N56" i="62"/>
  <c r="L57" i="62"/>
  <c r="M57" i="62"/>
  <c r="N57" i="62"/>
  <c r="L58" i="62"/>
  <c r="M58" i="62"/>
  <c r="N58" i="62"/>
  <c r="L59" i="62"/>
  <c r="M59" i="62"/>
  <c r="N59" i="62"/>
  <c r="L60" i="62"/>
  <c r="M60" i="62"/>
  <c r="N60" i="62"/>
  <c r="L61" i="62"/>
  <c r="M61" i="62"/>
  <c r="N61" i="62"/>
  <c r="L62" i="62"/>
  <c r="M62" i="62"/>
  <c r="N62" i="62"/>
  <c r="I55" i="62"/>
  <c r="J55" i="62"/>
  <c r="I56" i="62"/>
  <c r="J56" i="62"/>
  <c r="I57" i="62"/>
  <c r="J57" i="62"/>
  <c r="I58" i="62"/>
  <c r="J58" i="62"/>
  <c r="I59" i="62"/>
  <c r="J59" i="62"/>
  <c r="I60" i="62"/>
  <c r="J60" i="62"/>
  <c r="I61" i="62"/>
  <c r="J61" i="62"/>
  <c r="I62" i="62"/>
  <c r="J62" i="62"/>
  <c r="AG53" i="62"/>
  <c r="AH54" i="62" s="1"/>
  <c r="AD53" i="62"/>
  <c r="AE54" i="62" s="1"/>
  <c r="O53" i="62"/>
  <c r="O54" i="62" s="1"/>
  <c r="P53" i="62"/>
  <c r="P54" i="62" s="1"/>
  <c r="Q53" i="62"/>
  <c r="Q54" i="62" s="1"/>
  <c r="R53" i="62"/>
  <c r="R54" i="62" s="1"/>
  <c r="S53" i="62"/>
  <c r="S54" i="62" s="1"/>
  <c r="T53" i="62"/>
  <c r="U53" i="62"/>
  <c r="U54" i="62" s="1"/>
  <c r="V53" i="62"/>
  <c r="V54" i="62" s="1"/>
  <c r="W53" i="62"/>
  <c r="X53" i="62"/>
  <c r="X54" i="62" s="1"/>
  <c r="Y53" i="62"/>
  <c r="Y54" i="62" s="1"/>
  <c r="Z53" i="62"/>
  <c r="Z54" i="62" s="1"/>
  <c r="T54" i="62"/>
  <c r="W54" i="62"/>
  <c r="AI47" i="62"/>
  <c r="AI48" i="62"/>
  <c r="AI49" i="62"/>
  <c r="AF45" i="62"/>
  <c r="AF46" i="62"/>
  <c r="AF47" i="62"/>
  <c r="AF48" i="62"/>
  <c r="AF49" i="62"/>
  <c r="AH51" i="62"/>
  <c r="AE51" i="62"/>
  <c r="AH44" i="62"/>
  <c r="AH45" i="62"/>
  <c r="AH46" i="62"/>
  <c r="AH47" i="62"/>
  <c r="AH48" i="62"/>
  <c r="AH49" i="62"/>
  <c r="AE44" i="62"/>
  <c r="AE45" i="62"/>
  <c r="AE46" i="62"/>
  <c r="AE47" i="62"/>
  <c r="AE48" i="62"/>
  <c r="AE49" i="62"/>
  <c r="AB46" i="62"/>
  <c r="AB47" i="62"/>
  <c r="AB49" i="62"/>
  <c r="L45" i="62"/>
  <c r="M45" i="62"/>
  <c r="N45" i="62"/>
  <c r="L46" i="62"/>
  <c r="M46" i="62"/>
  <c r="N46" i="62"/>
  <c r="L47" i="62"/>
  <c r="M47" i="62"/>
  <c r="N47" i="62"/>
  <c r="L48" i="62"/>
  <c r="M48" i="62"/>
  <c r="N48" i="62"/>
  <c r="L49" i="62"/>
  <c r="M49" i="62"/>
  <c r="N49" i="62"/>
  <c r="L50" i="62"/>
  <c r="M50" i="62"/>
  <c r="N50" i="62"/>
  <c r="L51" i="62"/>
  <c r="M51" i="62"/>
  <c r="N51" i="62"/>
  <c r="L52" i="62"/>
  <c r="M52" i="62"/>
  <c r="N52" i="62"/>
  <c r="I45" i="62"/>
  <c r="J45" i="62"/>
  <c r="I46" i="62"/>
  <c r="J46" i="62"/>
  <c r="I47" i="62"/>
  <c r="J47" i="62"/>
  <c r="I48" i="62"/>
  <c r="J48" i="62"/>
  <c r="I49" i="62"/>
  <c r="J49" i="62"/>
  <c r="I50" i="62"/>
  <c r="J50" i="62"/>
  <c r="I51" i="62"/>
  <c r="J51" i="62"/>
  <c r="I52" i="62"/>
  <c r="J52" i="62"/>
  <c r="AG43" i="62"/>
  <c r="AD43" i="62"/>
  <c r="O43" i="62"/>
  <c r="O44" i="62" s="1"/>
  <c r="P43" i="62"/>
  <c r="P44" i="62" s="1"/>
  <c r="Q43" i="62"/>
  <c r="Q44" i="62" s="1"/>
  <c r="R43" i="62"/>
  <c r="R44" i="62" s="1"/>
  <c r="S43" i="62"/>
  <c r="T43" i="62"/>
  <c r="T44" i="62" s="1"/>
  <c r="U43" i="62"/>
  <c r="V43" i="62"/>
  <c r="W43" i="62"/>
  <c r="W44" i="62" s="1"/>
  <c r="X43" i="62"/>
  <c r="Y43" i="62"/>
  <c r="Y44" i="62" s="1"/>
  <c r="Z43" i="62"/>
  <c r="Z44" i="62" s="1"/>
  <c r="S44" i="62"/>
  <c r="U44" i="62"/>
  <c r="V44" i="62"/>
  <c r="X44" i="62"/>
  <c r="AI36" i="62"/>
  <c r="AI37" i="62"/>
  <c r="AI38" i="62"/>
  <c r="AI39" i="62"/>
  <c r="AI41" i="62"/>
  <c r="AF36" i="62"/>
  <c r="AF37" i="62"/>
  <c r="AF38" i="62"/>
  <c r="AF41" i="62"/>
  <c r="AH41" i="62"/>
  <c r="AE41" i="62"/>
  <c r="AB41" i="62"/>
  <c r="AH35" i="62"/>
  <c r="AH36" i="62"/>
  <c r="AH37" i="62"/>
  <c r="AH38" i="62"/>
  <c r="AH39" i="62"/>
  <c r="AE35" i="62"/>
  <c r="AE36" i="62"/>
  <c r="AE37" i="62"/>
  <c r="AE38" i="62"/>
  <c r="AE39" i="62"/>
  <c r="AB36" i="62"/>
  <c r="AB37" i="62"/>
  <c r="AB38" i="62"/>
  <c r="AB39" i="62"/>
  <c r="L35" i="62"/>
  <c r="M35" i="62"/>
  <c r="N35" i="62"/>
  <c r="L36" i="62"/>
  <c r="M36" i="62"/>
  <c r="N36" i="62"/>
  <c r="L37" i="62"/>
  <c r="M37" i="62"/>
  <c r="N37" i="62"/>
  <c r="L38" i="62"/>
  <c r="M38" i="62"/>
  <c r="N38" i="62"/>
  <c r="L39" i="62"/>
  <c r="M39" i="62"/>
  <c r="N39" i="62"/>
  <c r="L40" i="62"/>
  <c r="M40" i="62"/>
  <c r="N40" i="62"/>
  <c r="L41" i="62"/>
  <c r="M41" i="62"/>
  <c r="N41" i="62"/>
  <c r="L42" i="62"/>
  <c r="M42" i="62"/>
  <c r="N42" i="62"/>
  <c r="I35" i="62"/>
  <c r="J35" i="62"/>
  <c r="I36" i="62"/>
  <c r="J36" i="62"/>
  <c r="I37" i="62"/>
  <c r="J37" i="62"/>
  <c r="I38" i="62"/>
  <c r="J38" i="62"/>
  <c r="I39" i="62"/>
  <c r="J39" i="62"/>
  <c r="I40" i="62"/>
  <c r="J40" i="62"/>
  <c r="I41" i="62"/>
  <c r="J41" i="62"/>
  <c r="I42" i="62"/>
  <c r="J42" i="62"/>
  <c r="AG32" i="62"/>
  <c r="AD32" i="62"/>
  <c r="O32" i="62"/>
  <c r="P32" i="62"/>
  <c r="Q32" i="62"/>
  <c r="R32" i="62"/>
  <c r="S32" i="62"/>
  <c r="T32" i="62"/>
  <c r="U32" i="62"/>
  <c r="V32" i="62"/>
  <c r="W32" i="62"/>
  <c r="X32" i="62"/>
  <c r="Y32" i="62"/>
  <c r="Z32" i="62"/>
  <c r="AG31" i="62"/>
  <c r="AD31" i="62"/>
  <c r="O31" i="62"/>
  <c r="P31" i="62"/>
  <c r="Q31" i="62"/>
  <c r="R31" i="62"/>
  <c r="S31" i="62"/>
  <c r="T31" i="62"/>
  <c r="U31" i="62"/>
  <c r="V31" i="62"/>
  <c r="W31" i="62"/>
  <c r="X31" i="62"/>
  <c r="Y31" i="62"/>
  <c r="Z31" i="62"/>
  <c r="AA31" i="62"/>
  <c r="N26" i="62"/>
  <c r="N27" i="62"/>
  <c r="N28" i="62"/>
  <c r="N29" i="62"/>
  <c r="B23" i="62"/>
  <c r="AG16" i="62"/>
  <c r="AG19" i="62"/>
  <c r="AG20" i="62"/>
  <c r="AD19" i="62"/>
  <c r="AD20" i="62"/>
  <c r="G19" i="62"/>
  <c r="G20" i="62"/>
  <c r="N19" i="62"/>
  <c r="O19" i="62"/>
  <c r="P19" i="62"/>
  <c r="Q19" i="62"/>
  <c r="R19" i="62"/>
  <c r="S19" i="62"/>
  <c r="T19" i="62"/>
  <c r="U19" i="62"/>
  <c r="V19" i="62"/>
  <c r="W19" i="62"/>
  <c r="X19" i="62"/>
  <c r="Y19" i="62"/>
  <c r="Z19" i="62"/>
  <c r="N20" i="62"/>
  <c r="O20" i="62"/>
  <c r="P20" i="62"/>
  <c r="Q20" i="62"/>
  <c r="R20" i="62"/>
  <c r="S20" i="62"/>
  <c r="T20" i="62"/>
  <c r="U20" i="62"/>
  <c r="V20" i="62"/>
  <c r="W20" i="62"/>
  <c r="X20" i="62"/>
  <c r="Y20" i="62"/>
  <c r="Z20" i="62"/>
  <c r="B17" i="62"/>
  <c r="B18" i="62"/>
  <c r="B19" i="62"/>
  <c r="O16" i="62"/>
  <c r="P16" i="62"/>
  <c r="Q16" i="62"/>
  <c r="R16" i="62"/>
  <c r="S16" i="62"/>
  <c r="T16" i="62"/>
  <c r="U16" i="62"/>
  <c r="V16" i="62"/>
  <c r="W16" i="62"/>
  <c r="X16" i="62"/>
  <c r="Y16" i="62"/>
  <c r="O17" i="62"/>
  <c r="P17" i="62"/>
  <c r="Q17" i="62"/>
  <c r="R17" i="62"/>
  <c r="S17" i="62"/>
  <c r="T17" i="62"/>
  <c r="U17" i="62"/>
  <c r="V17" i="62"/>
  <c r="W17" i="62"/>
  <c r="X17" i="62"/>
  <c r="Y17" i="62"/>
  <c r="Z17" i="62"/>
  <c r="AA17" i="62" s="1"/>
  <c r="AA11" i="62" s="1"/>
  <c r="AA18" i="62" s="1"/>
  <c r="A14" i="62"/>
  <c r="AG12" i="62"/>
  <c r="AG13" i="62"/>
  <c r="AD12" i="62"/>
  <c r="AD13" i="62"/>
  <c r="B12" i="62"/>
  <c r="AA16" i="62" s="1"/>
  <c r="B13" i="62"/>
  <c r="O11" i="62"/>
  <c r="P11" i="62"/>
  <c r="Q11" i="62"/>
  <c r="R11" i="62"/>
  <c r="S11" i="62"/>
  <c r="T11" i="62"/>
  <c r="U11" i="62"/>
  <c r="V11" i="62"/>
  <c r="W11" i="62"/>
  <c r="X11" i="62"/>
  <c r="Y11" i="62"/>
  <c r="Z11" i="62"/>
  <c r="O12" i="62"/>
  <c r="P12" i="62"/>
  <c r="Q12" i="62"/>
  <c r="R12" i="62"/>
  <c r="S12" i="62"/>
  <c r="T12" i="62"/>
  <c r="U12" i="62"/>
  <c r="V12" i="62"/>
  <c r="W12" i="62"/>
  <c r="X12" i="62"/>
  <c r="Y12" i="62"/>
  <c r="Z12" i="62"/>
  <c r="AA12" i="62"/>
  <c r="O13" i="62"/>
  <c r="P13" i="62"/>
  <c r="Q13" i="62"/>
  <c r="R13" i="62"/>
  <c r="S13" i="62"/>
  <c r="T13" i="62"/>
  <c r="U13" i="62"/>
  <c r="V13" i="62"/>
  <c r="W13" i="62"/>
  <c r="X13" i="62"/>
  <c r="Y13" i="62"/>
  <c r="Z13" i="62"/>
  <c r="AA13" i="62"/>
  <c r="C10" i="62"/>
  <c r="D10" i="62"/>
  <c r="C9" i="62"/>
  <c r="C1" i="62"/>
  <c r="C2" i="62"/>
  <c r="C3" i="62"/>
  <c r="C4" i="62"/>
  <c r="C5" i="62"/>
  <c r="C6" i="62"/>
  <c r="C7" i="62"/>
  <c r="C8" i="62"/>
  <c r="E6" i="62"/>
  <c r="E4" i="62"/>
  <c r="F4" i="62"/>
  <c r="B3" i="62"/>
  <c r="B120" i="61"/>
  <c r="B114" i="61"/>
  <c r="B115" i="61"/>
  <c r="B116" i="61"/>
  <c r="A111" i="61"/>
  <c r="AG90" i="61"/>
  <c r="AD90" i="61"/>
  <c r="O90" i="61"/>
  <c r="P90" i="61"/>
  <c r="Q90" i="61"/>
  <c r="R90" i="61"/>
  <c r="S90" i="61"/>
  <c r="T90" i="61"/>
  <c r="U90" i="61"/>
  <c r="V90" i="61"/>
  <c r="W90" i="61"/>
  <c r="X90" i="61"/>
  <c r="Y90" i="61"/>
  <c r="Z90" i="61"/>
  <c r="B88" i="61"/>
  <c r="B89" i="61"/>
  <c r="N87" i="61"/>
  <c r="N90" i="61" s="1"/>
  <c r="N88" i="61"/>
  <c r="N91" i="61" s="1"/>
  <c r="AH87" i="61"/>
  <c r="AH88" i="61"/>
  <c r="AE87" i="61"/>
  <c r="AE88" i="61"/>
  <c r="AA87" i="61"/>
  <c r="AA88" i="61"/>
  <c r="AB88" i="61" s="1"/>
  <c r="I87" i="61"/>
  <c r="J87" i="61"/>
  <c r="I88" i="61"/>
  <c r="J88" i="61"/>
  <c r="N82" i="61"/>
  <c r="N83" i="61"/>
  <c r="N84" i="61"/>
  <c r="N85" i="61"/>
  <c r="I85" i="61"/>
  <c r="AA85" i="61" s="1"/>
  <c r="AI85" i="61" s="1"/>
  <c r="J85" i="61"/>
  <c r="B83" i="61"/>
  <c r="B84" i="61"/>
  <c r="B85" i="61"/>
  <c r="AH83" i="61"/>
  <c r="AH84" i="61"/>
  <c r="AH85" i="61"/>
  <c r="AE83" i="61"/>
  <c r="AE84" i="61"/>
  <c r="AE85" i="61"/>
  <c r="I83" i="61"/>
  <c r="AA83" i="61" s="1"/>
  <c r="J83" i="61"/>
  <c r="L83" i="61"/>
  <c r="M83" i="61"/>
  <c r="I84" i="61"/>
  <c r="AA84" i="61" s="1"/>
  <c r="J84" i="61"/>
  <c r="K84" i="61" s="1"/>
  <c r="L84" i="61"/>
  <c r="M84" i="61"/>
  <c r="I82" i="61"/>
  <c r="J82" i="61"/>
  <c r="A80" i="61"/>
  <c r="AH76" i="61"/>
  <c r="AK76" i="61"/>
  <c r="AH77" i="61"/>
  <c r="AH78" i="61"/>
  <c r="AK78" i="61"/>
  <c r="AH79" i="61"/>
  <c r="AL79" i="61"/>
  <c r="AH80" i="61"/>
  <c r="AE76" i="61"/>
  <c r="AE77" i="61"/>
  <c r="AE78" i="61"/>
  <c r="AE79" i="61"/>
  <c r="AE80" i="61"/>
  <c r="AA76" i="61"/>
  <c r="AI76" i="61" s="1"/>
  <c r="AB76" i="61"/>
  <c r="AM76" i="61" s="1"/>
  <c r="I76" i="61"/>
  <c r="K76" i="61" s="1"/>
  <c r="J76" i="61"/>
  <c r="L76" i="61"/>
  <c r="M76" i="61"/>
  <c r="N76" i="61"/>
  <c r="I77" i="61"/>
  <c r="AA77" i="61" s="1"/>
  <c r="J77" i="61"/>
  <c r="L77" i="61"/>
  <c r="M77" i="61"/>
  <c r="N77" i="61"/>
  <c r="I78" i="61"/>
  <c r="AA78" i="61" s="1"/>
  <c r="J78" i="61"/>
  <c r="L78" i="61"/>
  <c r="M78" i="61"/>
  <c r="N78" i="61"/>
  <c r="I79" i="61"/>
  <c r="K79" i="61" s="1"/>
  <c r="J79" i="61"/>
  <c r="L79" i="61"/>
  <c r="M79" i="61"/>
  <c r="N79" i="61"/>
  <c r="I80" i="61"/>
  <c r="AA80" i="61" s="1"/>
  <c r="J80" i="61"/>
  <c r="K80" i="61"/>
  <c r="L80" i="61"/>
  <c r="M80" i="61"/>
  <c r="N80" i="61"/>
  <c r="N74" i="61"/>
  <c r="N75" i="61"/>
  <c r="I74" i="61"/>
  <c r="J74" i="61"/>
  <c r="I75" i="61"/>
  <c r="J75" i="61"/>
  <c r="AD72" i="61"/>
  <c r="AG72" i="61"/>
  <c r="AG91" i="61" s="1"/>
  <c r="N72" i="61"/>
  <c r="O72" i="61"/>
  <c r="O91" i="61" s="1"/>
  <c r="P72" i="61"/>
  <c r="P91" i="61" s="1"/>
  <c r="Q72" i="61"/>
  <c r="Q91" i="61" s="1"/>
  <c r="R72" i="61"/>
  <c r="R91" i="61" s="1"/>
  <c r="S72" i="61"/>
  <c r="S91" i="61" s="1"/>
  <c r="T72" i="61"/>
  <c r="T91" i="61" s="1"/>
  <c r="U72" i="61"/>
  <c r="U91" i="61" s="1"/>
  <c r="V72" i="61"/>
  <c r="V91" i="61" s="1"/>
  <c r="W72" i="61"/>
  <c r="W91" i="61" s="1"/>
  <c r="X72" i="61"/>
  <c r="X91" i="61" s="1"/>
  <c r="Y72" i="61"/>
  <c r="Y91" i="61" s="1"/>
  <c r="Z72" i="61"/>
  <c r="Z91" i="61" s="1"/>
  <c r="AH71" i="61"/>
  <c r="AI71" i="61"/>
  <c r="AB62" i="61"/>
  <c r="AB63" i="61"/>
  <c r="AB64" i="61"/>
  <c r="AB65" i="61"/>
  <c r="AM65" i="61" s="1"/>
  <c r="AB66" i="61"/>
  <c r="AM66" i="61" s="1"/>
  <c r="AB67" i="61"/>
  <c r="AM67" i="61" s="1"/>
  <c r="AB68" i="61"/>
  <c r="AB69" i="61"/>
  <c r="AB70" i="61"/>
  <c r="AN70" i="61" s="1"/>
  <c r="AB71" i="61"/>
  <c r="N60" i="61"/>
  <c r="N61" i="61"/>
  <c r="N62" i="61"/>
  <c r="N63" i="61"/>
  <c r="N64" i="61"/>
  <c r="N65" i="61"/>
  <c r="N66" i="61"/>
  <c r="N67" i="61"/>
  <c r="N68" i="61"/>
  <c r="N69" i="61"/>
  <c r="N70" i="61"/>
  <c r="N71" i="61"/>
  <c r="I71" i="61"/>
  <c r="K71" i="61" s="1"/>
  <c r="J71" i="61"/>
  <c r="I72" i="61"/>
  <c r="J72" i="61"/>
  <c r="K72" i="61"/>
  <c r="AA62" i="61"/>
  <c r="AF62" i="61" s="1"/>
  <c r="AA68" i="61"/>
  <c r="AI68" i="61" s="1"/>
  <c r="AA70" i="61"/>
  <c r="AF70" i="61" s="1"/>
  <c r="AH62" i="61"/>
  <c r="AN62" i="61"/>
  <c r="AH63" i="61"/>
  <c r="AN63" i="61" s="1"/>
  <c r="AH64" i="61"/>
  <c r="AH65" i="61"/>
  <c r="AH66" i="61"/>
  <c r="AH67" i="61"/>
  <c r="AH68" i="61"/>
  <c r="AK68" i="61"/>
  <c r="AM68" i="61"/>
  <c r="AH69" i="61"/>
  <c r="AN69" i="61"/>
  <c r="AH70" i="61"/>
  <c r="AE62" i="61"/>
  <c r="AM62" i="61" s="1"/>
  <c r="AE63" i="61"/>
  <c r="AM63" i="61" s="1"/>
  <c r="AE64" i="61"/>
  <c r="AE65" i="61"/>
  <c r="AE66" i="61"/>
  <c r="AE67" i="61"/>
  <c r="AE68" i="61"/>
  <c r="AE69" i="61"/>
  <c r="AE70" i="61"/>
  <c r="AM70" i="61" s="1"/>
  <c r="AE71" i="61"/>
  <c r="AF71" i="61"/>
  <c r="I62" i="61"/>
  <c r="J62" i="61"/>
  <c r="K62" i="61"/>
  <c r="L62" i="61"/>
  <c r="M62" i="61"/>
  <c r="I63" i="61"/>
  <c r="AA63" i="61" s="1"/>
  <c r="J63" i="61"/>
  <c r="K63" i="61"/>
  <c r="L63" i="61"/>
  <c r="M63" i="61"/>
  <c r="I64" i="61"/>
  <c r="AA64" i="61" s="1"/>
  <c r="J64" i="61"/>
  <c r="L64" i="61"/>
  <c r="M64" i="61"/>
  <c r="I65" i="61"/>
  <c r="AA65" i="61" s="1"/>
  <c r="J65" i="61"/>
  <c r="L65" i="61"/>
  <c r="M65" i="61"/>
  <c r="I66" i="61"/>
  <c r="K66" i="61" s="1"/>
  <c r="J66" i="61"/>
  <c r="L66" i="61"/>
  <c r="M66" i="61"/>
  <c r="I67" i="61"/>
  <c r="J67" i="61"/>
  <c r="L67" i="61"/>
  <c r="M67" i="61"/>
  <c r="I68" i="61"/>
  <c r="K68" i="61" s="1"/>
  <c r="J68" i="61"/>
  <c r="L68" i="61"/>
  <c r="M68" i="61"/>
  <c r="I69" i="61"/>
  <c r="AA69" i="61" s="1"/>
  <c r="J69" i="61"/>
  <c r="L69" i="61"/>
  <c r="M69" i="61"/>
  <c r="I70" i="61"/>
  <c r="J70" i="61"/>
  <c r="K70" i="61"/>
  <c r="L70" i="61"/>
  <c r="M70" i="61"/>
  <c r="I60" i="61"/>
  <c r="J60" i="61"/>
  <c r="I61" i="61"/>
  <c r="J61" i="61"/>
  <c r="B55" i="61"/>
  <c r="B56" i="61"/>
  <c r="B50" i="61"/>
  <c r="B51" i="61"/>
  <c r="B52" i="61"/>
  <c r="A47" i="61"/>
  <c r="AH35" i="61"/>
  <c r="AH36" i="61"/>
  <c r="AK36" i="61"/>
  <c r="AL36" i="61"/>
  <c r="AH37" i="61"/>
  <c r="AH38" i="61"/>
  <c r="AH39" i="61"/>
  <c r="AH40" i="61"/>
  <c r="AH41" i="61"/>
  <c r="AH42" i="61"/>
  <c r="AH43" i="61"/>
  <c r="AH44" i="61"/>
  <c r="AL44" i="61"/>
  <c r="AH45" i="61"/>
  <c r="AL45" i="61"/>
  <c r="AH46" i="61"/>
  <c r="AH47" i="61"/>
  <c r="AH48" i="61"/>
  <c r="AH49" i="61"/>
  <c r="AH50" i="61"/>
  <c r="AK50" i="61"/>
  <c r="AH51" i="61"/>
  <c r="AH52" i="61"/>
  <c r="AH53" i="61"/>
  <c r="AH54" i="61"/>
  <c r="AH55" i="61"/>
  <c r="AH56" i="61"/>
  <c r="AH57" i="61"/>
  <c r="AH58" i="61"/>
  <c r="AK58" i="61"/>
  <c r="AE35" i="61"/>
  <c r="AE36" i="61"/>
  <c r="AE37" i="61"/>
  <c r="AE38" i="61"/>
  <c r="AE39" i="61"/>
  <c r="AE40" i="61"/>
  <c r="AE41" i="61"/>
  <c r="AE42" i="61"/>
  <c r="AE43" i="61"/>
  <c r="AE44" i="61"/>
  <c r="AE45" i="61"/>
  <c r="AE46" i="61"/>
  <c r="AE47" i="61"/>
  <c r="AE48" i="61"/>
  <c r="AE49" i="61"/>
  <c r="AE50" i="61"/>
  <c r="AE51" i="61"/>
  <c r="AE52" i="61"/>
  <c r="AE53" i="61"/>
  <c r="AE54" i="61"/>
  <c r="AE55" i="61"/>
  <c r="AE56" i="61"/>
  <c r="AE57" i="61"/>
  <c r="AE58" i="61"/>
  <c r="AA36" i="61"/>
  <c r="AF36" i="61" s="1"/>
  <c r="I35" i="61"/>
  <c r="AA35" i="61" s="1"/>
  <c r="J35" i="61"/>
  <c r="K35" i="61"/>
  <c r="L35" i="61"/>
  <c r="M35" i="61"/>
  <c r="N35" i="61"/>
  <c r="I36" i="61"/>
  <c r="K36" i="61" s="1"/>
  <c r="J36" i="61"/>
  <c r="L36" i="61"/>
  <c r="M36" i="61"/>
  <c r="N36" i="61"/>
  <c r="I37" i="61"/>
  <c r="AA37" i="61" s="1"/>
  <c r="J37" i="61"/>
  <c r="L37" i="61"/>
  <c r="M37" i="61"/>
  <c r="N37" i="61"/>
  <c r="I38" i="61"/>
  <c r="AA38" i="61" s="1"/>
  <c r="J38" i="61"/>
  <c r="K38" i="61"/>
  <c r="L38" i="61"/>
  <c r="M38" i="61"/>
  <c r="N38" i="61"/>
  <c r="I39" i="61"/>
  <c r="AA39" i="61" s="1"/>
  <c r="J39" i="61"/>
  <c r="K39" i="61"/>
  <c r="L39" i="61"/>
  <c r="M39" i="61"/>
  <c r="N39" i="61"/>
  <c r="I40" i="61"/>
  <c r="K40" i="61" s="1"/>
  <c r="J40" i="61"/>
  <c r="L40" i="61"/>
  <c r="M40" i="61"/>
  <c r="N40" i="61"/>
  <c r="I41" i="61"/>
  <c r="AA41" i="61" s="1"/>
  <c r="J41" i="61"/>
  <c r="L41" i="61"/>
  <c r="M41" i="61"/>
  <c r="N41" i="61"/>
  <c r="I42" i="61"/>
  <c r="AA42" i="61" s="1"/>
  <c r="J42" i="61"/>
  <c r="K42" i="61"/>
  <c r="L42" i="61"/>
  <c r="M42" i="61"/>
  <c r="N42" i="61"/>
  <c r="I43" i="61"/>
  <c r="AA43" i="61" s="1"/>
  <c r="J43" i="61"/>
  <c r="L43" i="61"/>
  <c r="M43" i="61"/>
  <c r="N43" i="61"/>
  <c r="I44" i="61"/>
  <c r="J44" i="61"/>
  <c r="L44" i="61"/>
  <c r="M44" i="61"/>
  <c r="N44" i="61"/>
  <c r="I45" i="61"/>
  <c r="AA45" i="61" s="1"/>
  <c r="J45" i="61"/>
  <c r="L45" i="61"/>
  <c r="M45" i="61"/>
  <c r="N45" i="61"/>
  <c r="I46" i="61"/>
  <c r="AA46" i="61" s="1"/>
  <c r="J46" i="61"/>
  <c r="L46" i="61"/>
  <c r="M46" i="61"/>
  <c r="N46" i="61"/>
  <c r="I47" i="61"/>
  <c r="J47" i="61"/>
  <c r="L47" i="61"/>
  <c r="M47" i="61"/>
  <c r="N47" i="61"/>
  <c r="I48" i="61"/>
  <c r="K48" i="61" s="1"/>
  <c r="J48" i="61"/>
  <c r="L48" i="61"/>
  <c r="M48" i="61"/>
  <c r="N48" i="61"/>
  <c r="I49" i="61"/>
  <c r="AA49" i="61" s="1"/>
  <c r="J49" i="61"/>
  <c r="L49" i="61"/>
  <c r="M49" i="61"/>
  <c r="N49" i="61"/>
  <c r="I50" i="61"/>
  <c r="J50" i="61"/>
  <c r="L50" i="61"/>
  <c r="M50" i="61"/>
  <c r="N50" i="61"/>
  <c r="I51" i="61"/>
  <c r="AA51" i="61" s="1"/>
  <c r="J51" i="61"/>
  <c r="K51" i="61"/>
  <c r="L51" i="61"/>
  <c r="M51" i="61"/>
  <c r="N51" i="61"/>
  <c r="I52" i="61"/>
  <c r="K52" i="61" s="1"/>
  <c r="J52" i="61"/>
  <c r="L52" i="61"/>
  <c r="M52" i="61"/>
  <c r="N52" i="61"/>
  <c r="I53" i="61"/>
  <c r="AA53" i="61" s="1"/>
  <c r="J53" i="61"/>
  <c r="L53" i="61"/>
  <c r="M53" i="61"/>
  <c r="N53" i="61"/>
  <c r="I54" i="61"/>
  <c r="AA54" i="61" s="1"/>
  <c r="J54" i="61"/>
  <c r="K54" i="61"/>
  <c r="L54" i="61"/>
  <c r="M54" i="61"/>
  <c r="N54" i="61"/>
  <c r="I55" i="61"/>
  <c r="AA55" i="61" s="1"/>
  <c r="J55" i="61"/>
  <c r="K55" i="61"/>
  <c r="L55" i="61"/>
  <c r="M55" i="61"/>
  <c r="N55" i="61"/>
  <c r="I56" i="61"/>
  <c r="K56" i="61" s="1"/>
  <c r="J56" i="61"/>
  <c r="L56" i="61"/>
  <c r="M56" i="61"/>
  <c r="N56" i="61"/>
  <c r="I57" i="61"/>
  <c r="AA57" i="61" s="1"/>
  <c r="J57" i="61"/>
  <c r="L57" i="61"/>
  <c r="M57" i="61"/>
  <c r="N57" i="61"/>
  <c r="I58" i="61"/>
  <c r="AA58" i="61" s="1"/>
  <c r="J58" i="61"/>
  <c r="K58" i="61"/>
  <c r="L58" i="61"/>
  <c r="M58" i="61"/>
  <c r="N58" i="61"/>
  <c r="N33" i="61"/>
  <c r="N34" i="61"/>
  <c r="I33" i="61"/>
  <c r="J33" i="61"/>
  <c r="I34" i="61"/>
  <c r="J34" i="61"/>
  <c r="AG32" i="61"/>
  <c r="AL32" i="61" s="1"/>
  <c r="AD32" i="61"/>
  <c r="AK32" i="61" s="1"/>
  <c r="O32" i="61"/>
  <c r="P32" i="61"/>
  <c r="Q32" i="61"/>
  <c r="R32" i="61"/>
  <c r="S32" i="61"/>
  <c r="T32" i="61"/>
  <c r="U32" i="61"/>
  <c r="V32" i="61"/>
  <c r="W32" i="61"/>
  <c r="X32" i="61"/>
  <c r="Y32" i="61"/>
  <c r="Z32" i="61"/>
  <c r="AJ32" i="61" s="1"/>
  <c r="AJ31" i="61"/>
  <c r="AK31" i="61"/>
  <c r="AM31" i="61" s="1"/>
  <c r="AL31" i="61"/>
  <c r="AN31" i="61" s="1"/>
  <c r="AG31" i="61"/>
  <c r="AD31" i="61"/>
  <c r="O31" i="61"/>
  <c r="P31" i="61"/>
  <c r="Q31" i="61"/>
  <c r="R31" i="61"/>
  <c r="S31" i="61"/>
  <c r="T31" i="61"/>
  <c r="U31" i="61"/>
  <c r="V31" i="61"/>
  <c r="W31" i="61"/>
  <c r="X31" i="61"/>
  <c r="Y31" i="61"/>
  <c r="Z31" i="61"/>
  <c r="AA31" i="61"/>
  <c r="N26" i="61"/>
  <c r="N27" i="61"/>
  <c r="N28" i="61"/>
  <c r="N29" i="61"/>
  <c r="B22" i="61"/>
  <c r="B23" i="61"/>
  <c r="AG16" i="61"/>
  <c r="AG19" i="61"/>
  <c r="AG20" i="61"/>
  <c r="AL88" i="61" s="1"/>
  <c r="AD19" i="61"/>
  <c r="AD20" i="61"/>
  <c r="AK88" i="61" s="1"/>
  <c r="G19" i="61"/>
  <c r="G20" i="61"/>
  <c r="N19" i="61"/>
  <c r="O19" i="61"/>
  <c r="P19" i="61"/>
  <c r="Q19" i="61"/>
  <c r="R19" i="61"/>
  <c r="S19" i="61"/>
  <c r="T19" i="61"/>
  <c r="U19" i="61"/>
  <c r="V19" i="61"/>
  <c r="W19" i="61"/>
  <c r="X19" i="61"/>
  <c r="Y19" i="61"/>
  <c r="Z19" i="61"/>
  <c r="N20" i="61"/>
  <c r="O20" i="61"/>
  <c r="P20" i="61"/>
  <c r="Q20" i="61"/>
  <c r="R20" i="61"/>
  <c r="S20" i="61"/>
  <c r="T20" i="61"/>
  <c r="U20" i="61"/>
  <c r="V20" i="61"/>
  <c r="W20" i="61"/>
  <c r="X20" i="61"/>
  <c r="Y20" i="61"/>
  <c r="Z20" i="61"/>
  <c r="B17" i="61"/>
  <c r="B18" i="61"/>
  <c r="B19" i="61"/>
  <c r="O16" i="61"/>
  <c r="P16" i="61"/>
  <c r="Q16" i="61"/>
  <c r="R16" i="61"/>
  <c r="S16" i="61"/>
  <c r="T16" i="61"/>
  <c r="U16" i="61"/>
  <c r="V16" i="61"/>
  <c r="W16" i="61"/>
  <c r="X16" i="61"/>
  <c r="Y16" i="61"/>
  <c r="O17" i="61"/>
  <c r="P17" i="61"/>
  <c r="Q17" i="61"/>
  <c r="R17" i="61"/>
  <c r="S17" i="61"/>
  <c r="T17" i="61"/>
  <c r="U17" i="61"/>
  <c r="V17" i="61"/>
  <c r="W17" i="61"/>
  <c r="X17" i="61"/>
  <c r="Y17" i="61"/>
  <c r="Z17" i="61"/>
  <c r="AA17" i="61" s="1"/>
  <c r="AA11" i="61" s="1"/>
  <c r="A14" i="61"/>
  <c r="AG12" i="61"/>
  <c r="AG13" i="61"/>
  <c r="AD12" i="61"/>
  <c r="AD13" i="61"/>
  <c r="B12" i="61"/>
  <c r="AA16" i="61" s="1"/>
  <c r="B13" i="61"/>
  <c r="O11" i="61"/>
  <c r="P11" i="61"/>
  <c r="Q11" i="61"/>
  <c r="R11" i="61"/>
  <c r="S11" i="61"/>
  <c r="T11" i="61"/>
  <c r="U11" i="61"/>
  <c r="V11" i="61"/>
  <c r="W11" i="61"/>
  <c r="X11" i="61"/>
  <c r="Y11" i="61"/>
  <c r="Z11" i="61"/>
  <c r="O12" i="61"/>
  <c r="P12" i="61"/>
  <c r="Q12" i="61"/>
  <c r="R12" i="61"/>
  <c r="S12" i="61"/>
  <c r="T12" i="61"/>
  <c r="U12" i="61"/>
  <c r="V12" i="61"/>
  <c r="W12" i="61"/>
  <c r="X12" i="61"/>
  <c r="Y12" i="61"/>
  <c r="Z12" i="61"/>
  <c r="AA12" i="61"/>
  <c r="O13" i="61"/>
  <c r="P13" i="61"/>
  <c r="Q13" i="61"/>
  <c r="R13" i="61"/>
  <c r="S13" i="61"/>
  <c r="T13" i="61"/>
  <c r="U13" i="61"/>
  <c r="V13" i="61"/>
  <c r="W13" i="61"/>
  <c r="X13" i="61"/>
  <c r="Y13" i="61"/>
  <c r="Z13" i="61"/>
  <c r="AA13" i="61"/>
  <c r="C10" i="61"/>
  <c r="D10" i="61"/>
  <c r="C9" i="61"/>
  <c r="C1" i="61"/>
  <c r="C2" i="61"/>
  <c r="C3" i="61"/>
  <c r="C4" i="61"/>
  <c r="C5" i="61"/>
  <c r="C6" i="61"/>
  <c r="C7" i="61"/>
  <c r="C8" i="61"/>
  <c r="E6" i="61"/>
  <c r="B62" i="61" s="1"/>
  <c r="E4" i="61"/>
  <c r="F4" i="61"/>
  <c r="B3" i="61"/>
  <c r="H2" i="61" s="1"/>
  <c r="N1" i="61"/>
  <c r="N1" i="62" s="1"/>
  <c r="AG143" i="57"/>
  <c r="AG144" i="57"/>
  <c r="AG145" i="57"/>
  <c r="AG146" i="57"/>
  <c r="AD143" i="57"/>
  <c r="AD144" i="57"/>
  <c r="AD145" i="57"/>
  <c r="AD146" i="57"/>
  <c r="N143" i="57"/>
  <c r="O143" i="57"/>
  <c r="P143" i="57"/>
  <c r="Q143" i="57"/>
  <c r="R143" i="57"/>
  <c r="S143" i="57"/>
  <c r="T143" i="57"/>
  <c r="U143" i="57"/>
  <c r="V143" i="57"/>
  <c r="W143" i="57"/>
  <c r="X143" i="57"/>
  <c r="Y143" i="57"/>
  <c r="Z143" i="57"/>
  <c r="O144" i="57"/>
  <c r="P144" i="57"/>
  <c r="Q144" i="57"/>
  <c r="R144" i="57"/>
  <c r="S144" i="57"/>
  <c r="T144" i="57"/>
  <c r="U144" i="57"/>
  <c r="V144" i="57"/>
  <c r="W144" i="57"/>
  <c r="X144" i="57"/>
  <c r="Y144" i="57"/>
  <c r="Z144" i="57"/>
  <c r="O145" i="57"/>
  <c r="P145" i="57"/>
  <c r="Q145" i="57"/>
  <c r="R145" i="57"/>
  <c r="S145" i="57"/>
  <c r="T145" i="57"/>
  <c r="U145" i="57"/>
  <c r="V145" i="57"/>
  <c r="W145" i="57"/>
  <c r="X145" i="57"/>
  <c r="Y145" i="57"/>
  <c r="Z145" i="57"/>
  <c r="O146" i="57"/>
  <c r="P146" i="57"/>
  <c r="Q146" i="57"/>
  <c r="R146" i="57"/>
  <c r="S146" i="57"/>
  <c r="T146" i="57"/>
  <c r="U146" i="57"/>
  <c r="V146" i="57"/>
  <c r="W146" i="57"/>
  <c r="X146" i="57"/>
  <c r="Y146" i="57"/>
  <c r="Z146" i="57"/>
  <c r="AI131" i="57"/>
  <c r="AI133" i="57"/>
  <c r="AI135" i="57"/>
  <c r="AI137" i="57"/>
  <c r="AI138" i="57"/>
  <c r="AI139" i="57"/>
  <c r="AI140" i="57"/>
  <c r="AG141" i="57"/>
  <c r="AD141" i="57"/>
  <c r="O141" i="57"/>
  <c r="P141" i="57"/>
  <c r="Q141" i="57"/>
  <c r="R141" i="57"/>
  <c r="S141" i="57"/>
  <c r="T141" i="57"/>
  <c r="U141" i="57"/>
  <c r="V141" i="57"/>
  <c r="W141" i="57"/>
  <c r="X141" i="57"/>
  <c r="Y141" i="57"/>
  <c r="Z141" i="57"/>
  <c r="AH140" i="57"/>
  <c r="AE140" i="57"/>
  <c r="AF140" i="57"/>
  <c r="AA140" i="57"/>
  <c r="AA141" i="57" s="1"/>
  <c r="AI141" i="57" s="1"/>
  <c r="AB140" i="57"/>
  <c r="AF131" i="57"/>
  <c r="AF133" i="57"/>
  <c r="AF135" i="57"/>
  <c r="AF137" i="57"/>
  <c r="AF138" i="57"/>
  <c r="AF139" i="57"/>
  <c r="AH138" i="57"/>
  <c r="AE138" i="57"/>
  <c r="AA138" i="57"/>
  <c r="AB138" i="57"/>
  <c r="AH136" i="57"/>
  <c r="AE136" i="57"/>
  <c r="AA136" i="57"/>
  <c r="AI136" i="57" s="1"/>
  <c r="AB136" i="57"/>
  <c r="AH134" i="57"/>
  <c r="AE134" i="57"/>
  <c r="AA134" i="57"/>
  <c r="AI134" i="57" s="1"/>
  <c r="AB134" i="57"/>
  <c r="AH132" i="57"/>
  <c r="AE132" i="57"/>
  <c r="AA132" i="57"/>
  <c r="AI132" i="57" s="1"/>
  <c r="AB132" i="57"/>
  <c r="AH130" i="57"/>
  <c r="AE130" i="57"/>
  <c r="AA130" i="57"/>
  <c r="AB130" i="57"/>
  <c r="L130" i="57"/>
  <c r="M130" i="57"/>
  <c r="N130" i="57"/>
  <c r="L131" i="57"/>
  <c r="M131" i="57"/>
  <c r="N131" i="57"/>
  <c r="L132" i="57"/>
  <c r="M132" i="57"/>
  <c r="N132" i="57"/>
  <c r="L133" i="57"/>
  <c r="M133" i="57"/>
  <c r="N133" i="57"/>
  <c r="L134" i="57"/>
  <c r="M134" i="57"/>
  <c r="N134" i="57"/>
  <c r="L135" i="57"/>
  <c r="M135" i="57"/>
  <c r="N135" i="57"/>
  <c r="L136" i="57"/>
  <c r="M136" i="57"/>
  <c r="N136" i="57"/>
  <c r="L137" i="57"/>
  <c r="M137" i="57"/>
  <c r="N137" i="57"/>
  <c r="L138" i="57"/>
  <c r="M138" i="57"/>
  <c r="N138" i="57"/>
  <c r="L139" i="57"/>
  <c r="M139" i="57"/>
  <c r="N139" i="57"/>
  <c r="L140" i="57"/>
  <c r="M140" i="57"/>
  <c r="N140" i="57"/>
  <c r="N129" i="57"/>
  <c r="AG121" i="57"/>
  <c r="AH121" i="57" s="1"/>
  <c r="AG122" i="57"/>
  <c r="AH122" i="57" s="1"/>
  <c r="AG123" i="57"/>
  <c r="AH123" i="57" s="1"/>
  <c r="AG124" i="57"/>
  <c r="AH124" i="57" s="1"/>
  <c r="AG125" i="57"/>
  <c r="AD121" i="57"/>
  <c r="AD122" i="57"/>
  <c r="AE122" i="57" s="1"/>
  <c r="AD123" i="57"/>
  <c r="AE123" i="57" s="1"/>
  <c r="AD124" i="57"/>
  <c r="AE124" i="57" s="1"/>
  <c r="AD125" i="57"/>
  <c r="AH125" i="57"/>
  <c r="AE125" i="57"/>
  <c r="L121" i="57"/>
  <c r="M121" i="57"/>
  <c r="N121" i="57"/>
  <c r="O121" i="57"/>
  <c r="P121" i="57"/>
  <c r="Q121" i="57"/>
  <c r="R121" i="57"/>
  <c r="S121" i="57"/>
  <c r="T121" i="57"/>
  <c r="U121" i="57"/>
  <c r="V121" i="57"/>
  <c r="V126" i="57" s="1"/>
  <c r="V127" i="57" s="1"/>
  <c r="W121" i="57"/>
  <c r="X121" i="57"/>
  <c r="Y121" i="57"/>
  <c r="Z121" i="57"/>
  <c r="AA121" i="57"/>
  <c r="AF121" i="57" s="1"/>
  <c r="L122" i="57"/>
  <c r="M122" i="57"/>
  <c r="N122" i="57"/>
  <c r="O122" i="57"/>
  <c r="P122" i="57"/>
  <c r="Q122" i="57"/>
  <c r="R122" i="57"/>
  <c r="S122" i="57"/>
  <c r="T122" i="57"/>
  <c r="U122" i="57"/>
  <c r="V122" i="57"/>
  <c r="W122" i="57"/>
  <c r="X122" i="57"/>
  <c r="Y122" i="57"/>
  <c r="Z122" i="57"/>
  <c r="L123" i="57"/>
  <c r="M123" i="57"/>
  <c r="N123" i="57"/>
  <c r="O123" i="57"/>
  <c r="P123" i="57"/>
  <c r="Q123" i="57"/>
  <c r="R123" i="57"/>
  <c r="S123" i="57"/>
  <c r="T123" i="57"/>
  <c r="U123" i="57"/>
  <c r="V123" i="57"/>
  <c r="W123" i="57"/>
  <c r="X123" i="57"/>
  <c r="Y123" i="57"/>
  <c r="Z123" i="57"/>
  <c r="L124" i="57"/>
  <c r="M124" i="57"/>
  <c r="N124" i="57"/>
  <c r="O124" i="57"/>
  <c r="P124" i="57"/>
  <c r="Q124" i="57"/>
  <c r="R124" i="57"/>
  <c r="S124" i="57"/>
  <c r="T124" i="57"/>
  <c r="U124" i="57"/>
  <c r="V124" i="57"/>
  <c r="W124" i="57"/>
  <c r="X124" i="57"/>
  <c r="Y124" i="57"/>
  <c r="Z124" i="57"/>
  <c r="L125" i="57"/>
  <c r="M125" i="57"/>
  <c r="N125" i="57"/>
  <c r="O125" i="57"/>
  <c r="P125" i="57"/>
  <c r="Q125" i="57"/>
  <c r="R125" i="57"/>
  <c r="S125" i="57"/>
  <c r="T125" i="57"/>
  <c r="U125" i="57"/>
  <c r="V125" i="57"/>
  <c r="W125" i="57"/>
  <c r="X125" i="57"/>
  <c r="Y125" i="57"/>
  <c r="Z125" i="57"/>
  <c r="L126" i="57"/>
  <c r="M126" i="57"/>
  <c r="N126" i="57"/>
  <c r="T126" i="57"/>
  <c r="T127" i="57" s="1"/>
  <c r="AH114" i="57"/>
  <c r="AI114" i="57"/>
  <c r="AH115" i="57"/>
  <c r="AH116" i="57"/>
  <c r="AH117" i="57"/>
  <c r="AH118" i="57"/>
  <c r="AH119" i="57"/>
  <c r="AE114" i="57"/>
  <c r="AE115" i="57"/>
  <c r="AE116" i="57"/>
  <c r="AE117" i="57"/>
  <c r="AE118" i="57"/>
  <c r="AE119" i="57"/>
  <c r="AF119" i="57"/>
  <c r="AA114" i="57"/>
  <c r="AF114" i="57" s="1"/>
  <c r="AA115" i="57"/>
  <c r="AI115" i="57" s="1"/>
  <c r="AA116" i="57"/>
  <c r="AI116" i="57" s="1"/>
  <c r="AA117" i="57"/>
  <c r="AA118" i="57"/>
  <c r="AF118" i="57" s="1"/>
  <c r="AA119" i="57"/>
  <c r="AI119" i="57" s="1"/>
  <c r="L114" i="57"/>
  <c r="M114" i="57"/>
  <c r="N114" i="57"/>
  <c r="L115" i="57"/>
  <c r="M115" i="57"/>
  <c r="N115" i="57"/>
  <c r="L116" i="57"/>
  <c r="M116" i="57"/>
  <c r="N116" i="57"/>
  <c r="L117" i="57"/>
  <c r="M117" i="57"/>
  <c r="N117" i="57"/>
  <c r="L118" i="57"/>
  <c r="M118" i="57"/>
  <c r="N118" i="57"/>
  <c r="L119" i="57"/>
  <c r="M119" i="57"/>
  <c r="N119" i="57"/>
  <c r="AH106" i="57"/>
  <c r="AI106" i="57"/>
  <c r="AH107" i="57"/>
  <c r="AI107" i="57"/>
  <c r="AH108" i="57"/>
  <c r="AH109" i="57"/>
  <c r="AH110" i="57"/>
  <c r="AI110" i="57"/>
  <c r="AH111" i="57"/>
  <c r="AI111" i="57"/>
  <c r="AE106" i="57"/>
  <c r="AE107" i="57"/>
  <c r="AE108" i="57"/>
  <c r="AE109" i="57"/>
  <c r="AE110" i="57"/>
  <c r="AE111" i="57"/>
  <c r="AA106" i="57"/>
  <c r="AF106" i="57" s="1"/>
  <c r="AB106" i="57"/>
  <c r="AA107" i="57"/>
  <c r="AF107" i="57" s="1"/>
  <c r="AA108" i="57"/>
  <c r="AI108" i="57" s="1"/>
  <c r="AA109" i="57"/>
  <c r="AI109" i="57" s="1"/>
  <c r="AA110" i="57"/>
  <c r="AF110" i="57" s="1"/>
  <c r="AB110" i="57"/>
  <c r="AA111" i="57"/>
  <c r="AF111" i="57" s="1"/>
  <c r="AB111" i="57"/>
  <c r="L106" i="57"/>
  <c r="M106" i="57"/>
  <c r="N106" i="57"/>
  <c r="L107" i="57"/>
  <c r="M107" i="57"/>
  <c r="N107" i="57"/>
  <c r="L108" i="57"/>
  <c r="M108" i="57"/>
  <c r="N108" i="57"/>
  <c r="L109" i="57"/>
  <c r="M109" i="57"/>
  <c r="N109" i="57"/>
  <c r="L110" i="57"/>
  <c r="M110" i="57"/>
  <c r="N110" i="57"/>
  <c r="L111" i="57"/>
  <c r="M111" i="57"/>
  <c r="N111" i="57"/>
  <c r="AH98" i="57"/>
  <c r="AH99" i="57"/>
  <c r="AH100" i="57"/>
  <c r="AH101" i="57"/>
  <c r="AH102" i="57"/>
  <c r="AH103" i="57"/>
  <c r="AE98" i="57"/>
  <c r="AE99" i="57"/>
  <c r="AE100" i="57"/>
  <c r="AE101" i="57"/>
  <c r="AF101" i="57"/>
  <c r="AE102" i="57"/>
  <c r="AE103" i="57"/>
  <c r="AA98" i="57"/>
  <c r="AI98" i="57" s="1"/>
  <c r="AA99" i="57"/>
  <c r="AA100" i="57"/>
  <c r="AF100" i="57" s="1"/>
  <c r="AA101" i="57"/>
  <c r="AI101" i="57" s="1"/>
  <c r="AA102" i="57"/>
  <c r="AI102" i="57" s="1"/>
  <c r="AA103" i="57"/>
  <c r="AF103" i="57" s="1"/>
  <c r="L98" i="57"/>
  <c r="M98" i="57"/>
  <c r="N98" i="57"/>
  <c r="L99" i="57"/>
  <c r="M99" i="57"/>
  <c r="N99" i="57"/>
  <c r="L100" i="57"/>
  <c r="M100" i="57"/>
  <c r="N100" i="57"/>
  <c r="L101" i="57"/>
  <c r="M101" i="57"/>
  <c r="N101" i="57"/>
  <c r="L102" i="57"/>
  <c r="M102" i="57"/>
  <c r="N102" i="57"/>
  <c r="L103" i="57"/>
  <c r="M103" i="57"/>
  <c r="N103" i="57"/>
  <c r="AD93" i="57"/>
  <c r="AD94" i="57"/>
  <c r="AG93" i="57"/>
  <c r="AG94" i="57"/>
  <c r="O93" i="57"/>
  <c r="P93" i="57"/>
  <c r="Q93" i="57"/>
  <c r="R93" i="57"/>
  <c r="S93" i="57"/>
  <c r="T93" i="57"/>
  <c r="U93" i="57"/>
  <c r="V93" i="57"/>
  <c r="W93" i="57"/>
  <c r="X93" i="57"/>
  <c r="Y93" i="57"/>
  <c r="Z93" i="57"/>
  <c r="O94" i="57"/>
  <c r="P94" i="57"/>
  <c r="Q94" i="57"/>
  <c r="R94" i="57"/>
  <c r="S94" i="57"/>
  <c r="T94" i="57"/>
  <c r="U94" i="57"/>
  <c r="V94" i="57"/>
  <c r="W94" i="57"/>
  <c r="X94" i="57"/>
  <c r="Y94" i="57"/>
  <c r="Z94" i="57"/>
  <c r="AA91" i="57"/>
  <c r="AA92" i="57"/>
  <c r="AF92" i="57" s="1"/>
  <c r="N91" i="57"/>
  <c r="N92" i="57"/>
  <c r="I91" i="57"/>
  <c r="J91" i="57"/>
  <c r="I92" i="57"/>
  <c r="J92" i="57"/>
  <c r="AI85" i="57"/>
  <c r="AI86" i="57"/>
  <c r="AF85" i="57"/>
  <c r="AA35" i="57"/>
  <c r="AA36" i="57"/>
  <c r="AB36" i="57" s="1"/>
  <c r="AA37" i="57"/>
  <c r="AB37" i="57" s="1"/>
  <c r="AA38" i="57"/>
  <c r="AA39" i="57"/>
  <c r="AA40" i="57"/>
  <c r="AI40" i="57" s="1"/>
  <c r="AA41" i="57"/>
  <c r="AA42" i="57"/>
  <c r="AA45" i="57"/>
  <c r="AA46" i="57"/>
  <c r="AA47" i="57"/>
  <c r="AA48" i="57"/>
  <c r="AF48" i="57" s="1"/>
  <c r="AA49" i="57"/>
  <c r="AA53" i="57" s="1"/>
  <c r="AA50" i="57"/>
  <c r="AI50" i="57" s="1"/>
  <c r="AA51" i="57"/>
  <c r="AA52" i="57"/>
  <c r="AI52" i="57" s="1"/>
  <c r="AA55" i="57"/>
  <c r="AI55" i="57" s="1"/>
  <c r="AA56" i="57"/>
  <c r="AA57" i="57"/>
  <c r="AA58" i="57"/>
  <c r="AB58" i="57" s="1"/>
  <c r="AA59" i="57"/>
  <c r="AA62" i="57" s="1"/>
  <c r="AA60" i="57"/>
  <c r="AI60" i="57" s="1"/>
  <c r="AA61" i="57"/>
  <c r="AA65" i="57"/>
  <c r="AF65" i="57" s="1"/>
  <c r="AA66" i="57"/>
  <c r="AB66" i="57" s="1"/>
  <c r="AA67" i="57"/>
  <c r="AA68" i="57"/>
  <c r="AB68" i="57" s="1"/>
  <c r="AA69" i="57"/>
  <c r="AA70" i="57"/>
  <c r="AF70" i="57" s="1"/>
  <c r="AA71" i="57"/>
  <c r="AF71" i="57" s="1"/>
  <c r="AA75" i="57"/>
  <c r="AF75" i="57" s="1"/>
  <c r="AA76" i="57"/>
  <c r="AB76" i="57" s="1"/>
  <c r="AA77" i="57"/>
  <c r="AA78" i="57"/>
  <c r="AA79" i="57"/>
  <c r="AB79" i="57" s="1"/>
  <c r="AA80" i="57"/>
  <c r="AF80" i="57" s="1"/>
  <c r="AA81" i="57"/>
  <c r="AA83" i="57"/>
  <c r="AI83" i="57" s="1"/>
  <c r="AA85" i="57"/>
  <c r="AA86" i="57"/>
  <c r="AF86" i="57" s="1"/>
  <c r="AA87" i="57"/>
  <c r="AI87" i="57" s="1"/>
  <c r="N85" i="57"/>
  <c r="N86" i="57"/>
  <c r="N87" i="57"/>
  <c r="N144" i="57" s="1"/>
  <c r="N88" i="57"/>
  <c r="N145" i="57" s="1"/>
  <c r="AH87" i="57"/>
  <c r="AE87" i="57"/>
  <c r="AH83" i="57"/>
  <c r="AH85" i="57"/>
  <c r="AE83" i="57"/>
  <c r="AE85" i="57"/>
  <c r="AB85" i="57"/>
  <c r="L85" i="57"/>
  <c r="M85" i="57"/>
  <c r="L86" i="57"/>
  <c r="M86" i="57"/>
  <c r="L87" i="57"/>
  <c r="M87" i="57"/>
  <c r="I85" i="57"/>
  <c r="J85" i="57"/>
  <c r="I86" i="57"/>
  <c r="J86" i="57"/>
  <c r="I87" i="57"/>
  <c r="J87" i="57"/>
  <c r="I88" i="57"/>
  <c r="J88" i="57"/>
  <c r="Q84" i="57"/>
  <c r="S84" i="57"/>
  <c r="AF83" i="57"/>
  <c r="L83" i="57"/>
  <c r="M83" i="57"/>
  <c r="N83" i="57"/>
  <c r="I83" i="57"/>
  <c r="J83" i="57"/>
  <c r="AG82" i="57"/>
  <c r="AH84" i="57" s="1"/>
  <c r="AD82" i="57"/>
  <c r="AE84" i="57" s="1"/>
  <c r="O82" i="57"/>
  <c r="O84" i="57" s="1"/>
  <c r="P82" i="57"/>
  <c r="P84" i="57" s="1"/>
  <c r="Q82" i="57"/>
  <c r="R82" i="57"/>
  <c r="R84" i="57" s="1"/>
  <c r="S82" i="57"/>
  <c r="T82" i="57"/>
  <c r="T84" i="57" s="1"/>
  <c r="U82" i="57"/>
  <c r="U84" i="57" s="1"/>
  <c r="V82" i="57"/>
  <c r="V84" i="57" s="1"/>
  <c r="W82" i="57"/>
  <c r="W84" i="57" s="1"/>
  <c r="X82" i="57"/>
  <c r="X84" i="57" s="1"/>
  <c r="Y82" i="57"/>
  <c r="Y84" i="57" s="1"/>
  <c r="Z82" i="57"/>
  <c r="Z84" i="57" s="1"/>
  <c r="AI77" i="57"/>
  <c r="AI78" i="57"/>
  <c r="AI80" i="57"/>
  <c r="AF77" i="57"/>
  <c r="AF78" i="57"/>
  <c r="AH75" i="57"/>
  <c r="AH76" i="57"/>
  <c r="AH77" i="57"/>
  <c r="AH78" i="57"/>
  <c r="AH79" i="57"/>
  <c r="AH80" i="57"/>
  <c r="AE75" i="57"/>
  <c r="AE76" i="57"/>
  <c r="AE77" i="57"/>
  <c r="AE78" i="57"/>
  <c r="AE79" i="57"/>
  <c r="AE80" i="57"/>
  <c r="AB77" i="57"/>
  <c r="AB78" i="57"/>
  <c r="L75" i="57"/>
  <c r="M75" i="57"/>
  <c r="N75" i="57"/>
  <c r="L76" i="57"/>
  <c r="M76" i="57"/>
  <c r="N76" i="57"/>
  <c r="L77" i="57"/>
  <c r="M77" i="57"/>
  <c r="N77" i="57"/>
  <c r="L78" i="57"/>
  <c r="M78" i="57"/>
  <c r="N78" i="57"/>
  <c r="L79" i="57"/>
  <c r="M79" i="57"/>
  <c r="N79" i="57"/>
  <c r="L80" i="57"/>
  <c r="M80" i="57"/>
  <c r="N80" i="57"/>
  <c r="L81" i="57"/>
  <c r="M81" i="57"/>
  <c r="N81" i="57"/>
  <c r="I75" i="57"/>
  <c r="J75" i="57"/>
  <c r="I76" i="57"/>
  <c r="J76" i="57"/>
  <c r="I77" i="57"/>
  <c r="J77" i="57"/>
  <c r="I78" i="57"/>
  <c r="J78" i="57"/>
  <c r="I79" i="57"/>
  <c r="J79" i="57"/>
  <c r="I80" i="57"/>
  <c r="J80" i="57"/>
  <c r="I81" i="57"/>
  <c r="J81" i="57"/>
  <c r="AG73" i="57"/>
  <c r="AH74" i="57" s="1"/>
  <c r="AD73" i="57"/>
  <c r="AE74" i="57" s="1"/>
  <c r="O73" i="57"/>
  <c r="P73" i="57"/>
  <c r="P74" i="57" s="1"/>
  <c r="Q73" i="57"/>
  <c r="Q74" i="57" s="1"/>
  <c r="R73" i="57"/>
  <c r="R74" i="57" s="1"/>
  <c r="S73" i="57"/>
  <c r="S74" i="57" s="1"/>
  <c r="T73" i="57"/>
  <c r="T74" i="57" s="1"/>
  <c r="U73" i="57"/>
  <c r="V73" i="57"/>
  <c r="W73" i="57"/>
  <c r="X73" i="57"/>
  <c r="Y73" i="57"/>
  <c r="Y74" i="57" s="1"/>
  <c r="Z73" i="57"/>
  <c r="Z74" i="57" s="1"/>
  <c r="O74" i="57"/>
  <c r="U74" i="57"/>
  <c r="V74" i="57"/>
  <c r="W74" i="57"/>
  <c r="X74" i="57"/>
  <c r="AI67" i="57"/>
  <c r="AI69" i="57"/>
  <c r="AI70" i="57"/>
  <c r="AF67" i="57"/>
  <c r="AH71" i="57"/>
  <c r="AE71" i="57"/>
  <c r="AB71" i="57"/>
  <c r="AH65" i="57"/>
  <c r="AH66" i="57"/>
  <c r="AH67" i="57"/>
  <c r="AH68" i="57"/>
  <c r="AH69" i="57"/>
  <c r="AE65" i="57"/>
  <c r="AE66" i="57"/>
  <c r="AE67" i="57"/>
  <c r="AE68" i="57"/>
  <c r="AE69" i="57"/>
  <c r="AB67" i="57"/>
  <c r="AB69" i="57"/>
  <c r="L65" i="57"/>
  <c r="M65" i="57"/>
  <c r="N65" i="57"/>
  <c r="L66" i="57"/>
  <c r="M66" i="57"/>
  <c r="N66" i="57"/>
  <c r="L67" i="57"/>
  <c r="M67" i="57"/>
  <c r="N67" i="57"/>
  <c r="L68" i="57"/>
  <c r="M68" i="57"/>
  <c r="N68" i="57"/>
  <c r="L69" i="57"/>
  <c r="M69" i="57"/>
  <c r="N69" i="57"/>
  <c r="L70" i="57"/>
  <c r="M70" i="57"/>
  <c r="N70" i="57"/>
  <c r="L71" i="57"/>
  <c r="M71" i="57"/>
  <c r="N71" i="57"/>
  <c r="L72" i="57"/>
  <c r="M72" i="57"/>
  <c r="N72" i="57"/>
  <c r="I65" i="57"/>
  <c r="J65" i="57"/>
  <c r="I66" i="57"/>
  <c r="J66" i="57"/>
  <c r="I67" i="57"/>
  <c r="J67" i="57"/>
  <c r="I68" i="57"/>
  <c r="J68" i="57"/>
  <c r="I69" i="57"/>
  <c r="J69" i="57"/>
  <c r="I70" i="57"/>
  <c r="J70" i="57"/>
  <c r="I71" i="57"/>
  <c r="J71" i="57"/>
  <c r="I72" i="57"/>
  <c r="J72" i="57"/>
  <c r="AG63" i="57"/>
  <c r="AH64" i="57" s="1"/>
  <c r="AD63" i="57"/>
  <c r="AE64" i="57" s="1"/>
  <c r="O63" i="57"/>
  <c r="P63" i="57"/>
  <c r="Q63" i="57"/>
  <c r="Q64" i="57" s="1"/>
  <c r="R63" i="57"/>
  <c r="R64" i="57" s="1"/>
  <c r="S63" i="57"/>
  <c r="S64" i="57" s="1"/>
  <c r="T63" i="57"/>
  <c r="T64" i="57" s="1"/>
  <c r="U63" i="57"/>
  <c r="U64" i="57" s="1"/>
  <c r="V63" i="57"/>
  <c r="W63" i="57"/>
  <c r="X63" i="57"/>
  <c r="Y63" i="57"/>
  <c r="Z63" i="57"/>
  <c r="Z64" i="57" s="1"/>
  <c r="O64" i="57"/>
  <c r="P64" i="57"/>
  <c r="V64" i="57"/>
  <c r="W64" i="57"/>
  <c r="X64" i="57"/>
  <c r="Y64" i="57"/>
  <c r="AI56" i="57"/>
  <c r="AI57" i="57"/>
  <c r="AI59" i="57"/>
  <c r="AI61" i="57"/>
  <c r="AF55" i="57"/>
  <c r="AF56" i="57"/>
  <c r="AF57" i="57"/>
  <c r="AF58" i="57"/>
  <c r="AF59" i="57"/>
  <c r="AF60" i="57"/>
  <c r="AF61" i="57"/>
  <c r="AH61" i="57"/>
  <c r="AE61" i="57"/>
  <c r="AB61" i="57"/>
  <c r="AH55" i="57"/>
  <c r="AH56" i="57"/>
  <c r="AH57" i="57"/>
  <c r="AH58" i="57"/>
  <c r="AH59" i="57"/>
  <c r="AE55" i="57"/>
  <c r="AE56" i="57"/>
  <c r="AE57" i="57"/>
  <c r="AE58" i="57"/>
  <c r="AE59" i="57"/>
  <c r="AB55" i="57"/>
  <c r="AB56" i="57"/>
  <c r="AB57" i="57"/>
  <c r="AB59" i="57"/>
  <c r="L55" i="57"/>
  <c r="M55" i="57"/>
  <c r="N55" i="57"/>
  <c r="L56" i="57"/>
  <c r="M56" i="57"/>
  <c r="N56" i="57"/>
  <c r="L57" i="57"/>
  <c r="M57" i="57"/>
  <c r="N57" i="57"/>
  <c r="L58" i="57"/>
  <c r="M58" i="57"/>
  <c r="N58" i="57"/>
  <c r="L59" i="57"/>
  <c r="M59" i="57"/>
  <c r="N59" i="57"/>
  <c r="L60" i="57"/>
  <c r="M60" i="57"/>
  <c r="N60" i="57"/>
  <c r="L61" i="57"/>
  <c r="M61" i="57"/>
  <c r="N61" i="57"/>
  <c r="L62" i="57"/>
  <c r="M62" i="57"/>
  <c r="N62" i="57"/>
  <c r="I55" i="57"/>
  <c r="J55" i="57"/>
  <c r="I56" i="57"/>
  <c r="J56" i="57"/>
  <c r="I57" i="57"/>
  <c r="J57" i="57"/>
  <c r="I58" i="57"/>
  <c r="J58" i="57"/>
  <c r="I59" i="57"/>
  <c r="J59" i="57"/>
  <c r="I60" i="57"/>
  <c r="J60" i="57"/>
  <c r="I61" i="57"/>
  <c r="J61" i="57"/>
  <c r="I62" i="57"/>
  <c r="J62" i="57"/>
  <c r="AG53" i="57"/>
  <c r="AH54" i="57" s="1"/>
  <c r="AD53" i="57"/>
  <c r="AE54" i="57" s="1"/>
  <c r="O53" i="57"/>
  <c r="O54" i="57" s="1"/>
  <c r="P53" i="57"/>
  <c r="Q53" i="57"/>
  <c r="Q54" i="57" s="1"/>
  <c r="R53" i="57"/>
  <c r="S53" i="57"/>
  <c r="S54" i="57" s="1"/>
  <c r="T53" i="57"/>
  <c r="T54" i="57" s="1"/>
  <c r="U53" i="57"/>
  <c r="U54" i="57" s="1"/>
  <c r="V53" i="57"/>
  <c r="V54" i="57" s="1"/>
  <c r="W53" i="57"/>
  <c r="X53" i="57"/>
  <c r="Y53" i="57"/>
  <c r="Z53" i="57"/>
  <c r="P54" i="57"/>
  <c r="R54" i="57"/>
  <c r="W54" i="57"/>
  <c r="X54" i="57"/>
  <c r="Y54" i="57"/>
  <c r="Z54" i="57"/>
  <c r="AI45" i="57"/>
  <c r="AI46" i="57"/>
  <c r="AI47" i="57"/>
  <c r="AI49" i="57"/>
  <c r="AI51" i="57"/>
  <c r="AF45" i="57"/>
  <c r="AF46" i="57"/>
  <c r="AF47" i="57"/>
  <c r="AF49" i="57"/>
  <c r="AF51" i="57"/>
  <c r="AH51" i="57"/>
  <c r="AE51" i="57"/>
  <c r="AB51" i="57"/>
  <c r="AH45" i="57"/>
  <c r="AH46" i="57"/>
  <c r="AH47" i="57"/>
  <c r="AH48" i="57"/>
  <c r="AH49" i="57"/>
  <c r="AE45" i="57"/>
  <c r="AE46" i="57"/>
  <c r="AE47" i="57"/>
  <c r="AE48" i="57"/>
  <c r="AE49" i="57"/>
  <c r="AB45" i="57"/>
  <c r="AB46" i="57"/>
  <c r="AB47" i="57"/>
  <c r="AB48" i="57"/>
  <c r="AB49" i="57"/>
  <c r="L45" i="57"/>
  <c r="M45" i="57"/>
  <c r="N45" i="57"/>
  <c r="L46" i="57"/>
  <c r="M46" i="57"/>
  <c r="N46" i="57"/>
  <c r="L47" i="57"/>
  <c r="M47" i="57"/>
  <c r="N47" i="57"/>
  <c r="L48" i="57"/>
  <c r="M48" i="57"/>
  <c r="N48" i="57"/>
  <c r="L49" i="57"/>
  <c r="M49" i="57"/>
  <c r="N49" i="57"/>
  <c r="L50" i="57"/>
  <c r="M50" i="57"/>
  <c r="N50" i="57"/>
  <c r="L51" i="57"/>
  <c r="M51" i="57"/>
  <c r="N51" i="57"/>
  <c r="L52" i="57"/>
  <c r="M52" i="57"/>
  <c r="N52" i="57"/>
  <c r="I45" i="57"/>
  <c r="J45" i="57"/>
  <c r="I46" i="57"/>
  <c r="J46" i="57"/>
  <c r="I47" i="57"/>
  <c r="J47" i="57"/>
  <c r="I48" i="57"/>
  <c r="J48" i="57"/>
  <c r="I49" i="57"/>
  <c r="J49" i="57"/>
  <c r="I50" i="57"/>
  <c r="J50" i="57"/>
  <c r="I51" i="57"/>
  <c r="J51" i="57"/>
  <c r="I52" i="57"/>
  <c r="J52" i="57"/>
  <c r="AG43" i="57"/>
  <c r="AH44" i="57" s="1"/>
  <c r="AD43" i="57"/>
  <c r="AE44" i="57" s="1"/>
  <c r="O43" i="57"/>
  <c r="O44" i="57" s="1"/>
  <c r="P43" i="57"/>
  <c r="Q43" i="57"/>
  <c r="R43" i="57"/>
  <c r="S43" i="57"/>
  <c r="S44" i="57" s="1"/>
  <c r="T43" i="57"/>
  <c r="T44" i="57" s="1"/>
  <c r="U43" i="57"/>
  <c r="U44" i="57" s="1"/>
  <c r="V43" i="57"/>
  <c r="V44" i="57" s="1"/>
  <c r="W43" i="57"/>
  <c r="W44" i="57" s="1"/>
  <c r="X43" i="57"/>
  <c r="Y43" i="57"/>
  <c r="Z43" i="57"/>
  <c r="Z44" i="57" s="1"/>
  <c r="P44" i="57"/>
  <c r="Q44" i="57"/>
  <c r="R44" i="57"/>
  <c r="X44" i="57"/>
  <c r="Y44" i="57"/>
  <c r="AI35" i="57"/>
  <c r="AI37" i="57"/>
  <c r="AI38" i="57"/>
  <c r="AI39" i="57"/>
  <c r="AI41" i="57"/>
  <c r="AF35" i="57"/>
  <c r="AF38" i="57"/>
  <c r="AF39" i="57"/>
  <c r="AF40" i="57"/>
  <c r="AF41" i="57"/>
  <c r="AH41" i="57"/>
  <c r="AE41" i="57"/>
  <c r="AB41" i="57"/>
  <c r="AH35" i="57"/>
  <c r="AH36" i="57"/>
  <c r="AH37" i="57"/>
  <c r="AH38" i="57"/>
  <c r="AH39" i="57"/>
  <c r="AE35" i="57"/>
  <c r="AE36" i="57"/>
  <c r="AE37" i="57"/>
  <c r="AE38" i="57"/>
  <c r="AE39" i="57"/>
  <c r="AB35" i="57"/>
  <c r="AB38" i="57"/>
  <c r="AB39" i="57"/>
  <c r="L35" i="57"/>
  <c r="M35" i="57"/>
  <c r="N35" i="57"/>
  <c r="L36" i="57"/>
  <c r="M36" i="57"/>
  <c r="N36" i="57"/>
  <c r="L37" i="57"/>
  <c r="M37" i="57"/>
  <c r="N37" i="57"/>
  <c r="L38" i="57"/>
  <c r="M38" i="57"/>
  <c r="N38" i="57"/>
  <c r="L39" i="57"/>
  <c r="M39" i="57"/>
  <c r="N39" i="57"/>
  <c r="L40" i="57"/>
  <c r="M40" i="57"/>
  <c r="N40" i="57"/>
  <c r="L41" i="57"/>
  <c r="M41" i="57"/>
  <c r="N41" i="57"/>
  <c r="L42" i="57"/>
  <c r="M42" i="57"/>
  <c r="N42" i="57"/>
  <c r="I35" i="57"/>
  <c r="J35" i="57"/>
  <c r="I36" i="57"/>
  <c r="J36" i="57"/>
  <c r="I37" i="57"/>
  <c r="J37" i="57"/>
  <c r="I38" i="57"/>
  <c r="J38" i="57"/>
  <c r="I39" i="57"/>
  <c r="J39" i="57"/>
  <c r="I40" i="57"/>
  <c r="J40" i="57"/>
  <c r="I41" i="57"/>
  <c r="J41" i="57"/>
  <c r="I42" i="57"/>
  <c r="J42" i="57"/>
  <c r="AG32" i="57"/>
  <c r="AD32" i="57"/>
  <c r="O32" i="57"/>
  <c r="P32" i="57"/>
  <c r="Q32" i="57"/>
  <c r="R32" i="57"/>
  <c r="S32" i="57"/>
  <c r="T32" i="57"/>
  <c r="U32" i="57"/>
  <c r="V32" i="57"/>
  <c r="W32" i="57"/>
  <c r="X32" i="57"/>
  <c r="Y32" i="57"/>
  <c r="Z32" i="57"/>
  <c r="AG31" i="57"/>
  <c r="AD31" i="57"/>
  <c r="O31" i="57"/>
  <c r="P31" i="57"/>
  <c r="Q31" i="57"/>
  <c r="R31" i="57"/>
  <c r="S31" i="57"/>
  <c r="T31" i="57"/>
  <c r="U31" i="57"/>
  <c r="V31" i="57"/>
  <c r="W31" i="57"/>
  <c r="X31" i="57"/>
  <c r="Y31" i="57"/>
  <c r="Z31" i="57"/>
  <c r="AA31" i="57"/>
  <c r="N26" i="57"/>
  <c r="N27" i="57"/>
  <c r="N28" i="57"/>
  <c r="N29" i="57"/>
  <c r="B23" i="57"/>
  <c r="AG16" i="57"/>
  <c r="AG19" i="57"/>
  <c r="AG20" i="57"/>
  <c r="AD19" i="57"/>
  <c r="AD20" i="57"/>
  <c r="G19" i="57"/>
  <c r="G20" i="57"/>
  <c r="N19" i="57"/>
  <c r="O19" i="57"/>
  <c r="P19" i="57"/>
  <c r="Q19" i="57"/>
  <c r="R19" i="57"/>
  <c r="S19" i="57"/>
  <c r="T19" i="57"/>
  <c r="U19" i="57"/>
  <c r="V19" i="57"/>
  <c r="W19" i="57"/>
  <c r="X19" i="57"/>
  <c r="Y19" i="57"/>
  <c r="Z19" i="57"/>
  <c r="N20" i="57"/>
  <c r="O20" i="57"/>
  <c r="P20" i="57"/>
  <c r="Q20" i="57"/>
  <c r="R20" i="57"/>
  <c r="S20" i="57"/>
  <c r="T20" i="57"/>
  <c r="U20" i="57"/>
  <c r="V20" i="57"/>
  <c r="W20" i="57"/>
  <c r="X20" i="57"/>
  <c r="Y20" i="57"/>
  <c r="Z20" i="57"/>
  <c r="B17" i="57"/>
  <c r="B18" i="57"/>
  <c r="B19" i="57"/>
  <c r="O16" i="57"/>
  <c r="P16" i="57"/>
  <c r="Q16" i="57"/>
  <c r="R16" i="57"/>
  <c r="S16" i="57"/>
  <c r="T16" i="57"/>
  <c r="U16" i="57"/>
  <c r="V16" i="57"/>
  <c r="W16" i="57"/>
  <c r="X16" i="57"/>
  <c r="Y16" i="57"/>
  <c r="O17" i="57"/>
  <c r="P17" i="57"/>
  <c r="Q17" i="57"/>
  <c r="R17" i="57"/>
  <c r="S17" i="57"/>
  <c r="T17" i="57"/>
  <c r="U17" i="57"/>
  <c r="V17" i="57"/>
  <c r="W17" i="57"/>
  <c r="X17" i="57"/>
  <c r="Y17" i="57"/>
  <c r="Z17" i="57"/>
  <c r="AA17" i="57" s="1"/>
  <c r="AA11" i="57" s="1"/>
  <c r="AA18" i="57" s="1"/>
  <c r="A14" i="57"/>
  <c r="AG12" i="57"/>
  <c r="AG13" i="57"/>
  <c r="AD12" i="57"/>
  <c r="AD13" i="57"/>
  <c r="B12" i="57"/>
  <c r="Z16" i="57" s="1"/>
  <c r="B13" i="57"/>
  <c r="O11" i="57"/>
  <c r="P11" i="57"/>
  <c r="Q11" i="57"/>
  <c r="R11" i="57"/>
  <c r="S11" i="57"/>
  <c r="T11" i="57"/>
  <c r="U11" i="57"/>
  <c r="V11" i="57"/>
  <c r="W11" i="57"/>
  <c r="X11" i="57"/>
  <c r="Y11" i="57"/>
  <c r="Z11" i="57"/>
  <c r="O12" i="57"/>
  <c r="P12" i="57"/>
  <c r="Q12" i="57"/>
  <c r="R12" i="57"/>
  <c r="S12" i="57"/>
  <c r="T12" i="57"/>
  <c r="U12" i="57"/>
  <c r="V12" i="57"/>
  <c r="W12" i="57"/>
  <c r="X12" i="57"/>
  <c r="Y12" i="57"/>
  <c r="Z12" i="57"/>
  <c r="AA12" i="57"/>
  <c r="O13" i="57"/>
  <c r="P13" i="57"/>
  <c r="Q13" i="57"/>
  <c r="R13" i="57"/>
  <c r="S13" i="57"/>
  <c r="T13" i="57"/>
  <c r="U13" i="57"/>
  <c r="V13" i="57"/>
  <c r="W13" i="57"/>
  <c r="X13" i="57"/>
  <c r="Y13" i="57"/>
  <c r="Z13" i="57"/>
  <c r="AA13" i="57"/>
  <c r="C10" i="57"/>
  <c r="D10" i="57"/>
  <c r="C9" i="57"/>
  <c r="C1" i="57"/>
  <c r="C2" i="57"/>
  <c r="C3" i="57"/>
  <c r="C4" i="57"/>
  <c r="C5" i="57"/>
  <c r="C6" i="57"/>
  <c r="C7" i="57"/>
  <c r="C8" i="57"/>
  <c r="E6" i="57"/>
  <c r="E4" i="57"/>
  <c r="F4" i="57"/>
  <c r="B3" i="57"/>
  <c r="B120" i="53"/>
  <c r="B114" i="53"/>
  <c r="B115" i="53"/>
  <c r="B116" i="53"/>
  <c r="A111" i="53"/>
  <c r="AG90" i="53"/>
  <c r="AD90" i="53"/>
  <c r="O90" i="53"/>
  <c r="P90" i="53"/>
  <c r="Q90" i="53"/>
  <c r="R90" i="53"/>
  <c r="S90" i="53"/>
  <c r="T90" i="53"/>
  <c r="U90" i="53"/>
  <c r="V90" i="53"/>
  <c r="W90" i="53"/>
  <c r="X90" i="53"/>
  <c r="Y90" i="53"/>
  <c r="Z90" i="53"/>
  <c r="P91" i="53"/>
  <c r="X91" i="53"/>
  <c r="B88" i="53"/>
  <c r="B89" i="53"/>
  <c r="N87" i="53"/>
  <c r="N90" i="53" s="1"/>
  <c r="N88" i="53"/>
  <c r="N91" i="53" s="1"/>
  <c r="AH87" i="53"/>
  <c r="AH88" i="53"/>
  <c r="AI88" i="53"/>
  <c r="AE87" i="53"/>
  <c r="AE88" i="53"/>
  <c r="AA87" i="53"/>
  <c r="I87" i="53"/>
  <c r="J87" i="53"/>
  <c r="I88" i="53"/>
  <c r="AA88" i="53" s="1"/>
  <c r="J88" i="53"/>
  <c r="N82" i="53"/>
  <c r="N83" i="53"/>
  <c r="N84" i="53"/>
  <c r="N85" i="53"/>
  <c r="I85" i="53"/>
  <c r="J85" i="53"/>
  <c r="B83" i="53"/>
  <c r="B84" i="53"/>
  <c r="B85" i="53"/>
  <c r="AH83" i="53"/>
  <c r="AH84" i="53"/>
  <c r="AH85" i="53"/>
  <c r="AE83" i="53"/>
  <c r="AE84" i="53"/>
  <c r="AE85" i="53"/>
  <c r="AA85" i="53"/>
  <c r="AI85" i="53" s="1"/>
  <c r="I83" i="53"/>
  <c r="AA83" i="53" s="1"/>
  <c r="J83" i="53"/>
  <c r="L83" i="53"/>
  <c r="M83" i="53"/>
  <c r="I84" i="53"/>
  <c r="AA84" i="53" s="1"/>
  <c r="J84" i="53"/>
  <c r="L84" i="53"/>
  <c r="M84" i="53"/>
  <c r="I82" i="53"/>
  <c r="J82" i="53"/>
  <c r="A80" i="53"/>
  <c r="AH76" i="53"/>
  <c r="AH77" i="53"/>
  <c r="AH78" i="53"/>
  <c r="AI78" i="53"/>
  <c r="AH79" i="53"/>
  <c r="AH80" i="53"/>
  <c r="AE76" i="53"/>
  <c r="AE77" i="53"/>
  <c r="AE78" i="53"/>
  <c r="AE79" i="53"/>
  <c r="AE80" i="53"/>
  <c r="AA78" i="53"/>
  <c r="I76" i="53"/>
  <c r="AA76" i="53" s="1"/>
  <c r="AI76" i="53" s="1"/>
  <c r="J76" i="53"/>
  <c r="L76" i="53"/>
  <c r="M76" i="53"/>
  <c r="N76" i="53"/>
  <c r="I77" i="53"/>
  <c r="AA77" i="53" s="1"/>
  <c r="J77" i="53"/>
  <c r="K77" i="53"/>
  <c r="L77" i="53"/>
  <c r="M77" i="53"/>
  <c r="N77" i="53"/>
  <c r="I78" i="53"/>
  <c r="K78" i="53" s="1"/>
  <c r="J78" i="53"/>
  <c r="L78" i="53"/>
  <c r="M78" i="53"/>
  <c r="N78" i="53"/>
  <c r="I79" i="53"/>
  <c r="J79" i="53"/>
  <c r="L79" i="53"/>
  <c r="M79" i="53"/>
  <c r="N79" i="53"/>
  <c r="I80" i="53"/>
  <c r="AA80" i="53" s="1"/>
  <c r="J80" i="53"/>
  <c r="L80" i="53"/>
  <c r="M80" i="53"/>
  <c r="N80" i="53"/>
  <c r="N74" i="53"/>
  <c r="N75" i="53"/>
  <c r="I74" i="53"/>
  <c r="J74" i="53"/>
  <c r="I75" i="53"/>
  <c r="J75" i="53"/>
  <c r="AD72" i="53"/>
  <c r="AK72" i="53" s="1"/>
  <c r="AG72" i="53"/>
  <c r="AG91" i="53" s="1"/>
  <c r="AH72" i="53"/>
  <c r="N72" i="53"/>
  <c r="O72" i="53"/>
  <c r="P72" i="53"/>
  <c r="Q72" i="53"/>
  <c r="Q91" i="53" s="1"/>
  <c r="R72" i="53"/>
  <c r="R91" i="53" s="1"/>
  <c r="S72" i="53"/>
  <c r="S91" i="53" s="1"/>
  <c r="T72" i="53"/>
  <c r="T91" i="53" s="1"/>
  <c r="U72" i="53"/>
  <c r="U91" i="53" s="1"/>
  <c r="V72" i="53"/>
  <c r="V91" i="53" s="1"/>
  <c r="W72" i="53"/>
  <c r="W91" i="53" s="1"/>
  <c r="X72" i="53"/>
  <c r="Y72" i="53"/>
  <c r="Y91" i="53" s="1"/>
  <c r="Z72" i="53"/>
  <c r="Z91" i="53" s="1"/>
  <c r="AH71" i="53"/>
  <c r="AI71" i="53"/>
  <c r="AB62" i="53"/>
  <c r="AN62" i="53" s="1"/>
  <c r="AB63" i="53"/>
  <c r="AM63" i="53" s="1"/>
  <c r="AB64" i="53"/>
  <c r="AN64" i="53" s="1"/>
  <c r="AB65" i="53"/>
  <c r="AB66" i="53"/>
  <c r="AB67" i="53"/>
  <c r="AB68" i="53"/>
  <c r="AB69" i="53"/>
  <c r="AB70" i="53"/>
  <c r="AN70" i="53" s="1"/>
  <c r="AB71" i="53"/>
  <c r="N60" i="53"/>
  <c r="N61" i="53"/>
  <c r="N62" i="53"/>
  <c r="N63" i="53"/>
  <c r="N64" i="53"/>
  <c r="N65" i="53"/>
  <c r="N66" i="53"/>
  <c r="N67" i="53"/>
  <c r="N68" i="53"/>
  <c r="N69" i="53"/>
  <c r="N70" i="53"/>
  <c r="N71" i="53"/>
  <c r="I71" i="53"/>
  <c r="J71" i="53"/>
  <c r="K71" i="53"/>
  <c r="I72" i="53"/>
  <c r="K72" i="53" s="1"/>
  <c r="J72" i="53"/>
  <c r="AA68" i="53"/>
  <c r="AI68" i="53" s="1"/>
  <c r="AH62" i="53"/>
  <c r="AK62" i="53"/>
  <c r="AM62" i="53"/>
  <c r="AH63" i="53"/>
  <c r="AL63" i="53"/>
  <c r="AN63" i="53"/>
  <c r="AH64" i="53"/>
  <c r="AH65" i="53"/>
  <c r="AN65" i="53" s="1"/>
  <c r="AH66" i="53"/>
  <c r="AH67" i="53"/>
  <c r="AH68" i="53"/>
  <c r="AN68" i="53" s="1"/>
  <c r="AK68" i="53"/>
  <c r="AH69" i="53"/>
  <c r="AN69" i="53" s="1"/>
  <c r="AL69" i="53"/>
  <c r="AH70" i="53"/>
  <c r="AE62" i="53"/>
  <c r="AE63" i="53"/>
  <c r="AE64" i="53"/>
  <c r="AE65" i="53"/>
  <c r="AE66" i="53"/>
  <c r="AE67" i="53"/>
  <c r="AE68" i="53"/>
  <c r="AM68" i="53" s="1"/>
  <c r="AE69" i="53"/>
  <c r="AE70" i="53"/>
  <c r="AE71" i="53"/>
  <c r="AF71" i="53"/>
  <c r="I62" i="53"/>
  <c r="AA62" i="53" s="1"/>
  <c r="J62" i="53"/>
  <c r="L62" i="53"/>
  <c r="M62" i="53"/>
  <c r="I63" i="53"/>
  <c r="J63" i="53"/>
  <c r="L63" i="53"/>
  <c r="M63" i="53"/>
  <c r="I64" i="53"/>
  <c r="J64" i="53"/>
  <c r="L64" i="53"/>
  <c r="M64" i="53"/>
  <c r="I65" i="53"/>
  <c r="AA65" i="53" s="1"/>
  <c r="J65" i="53"/>
  <c r="K65" i="53"/>
  <c r="L65" i="53"/>
  <c r="M65" i="53"/>
  <c r="I66" i="53"/>
  <c r="J66" i="53"/>
  <c r="L66" i="53"/>
  <c r="M66" i="53"/>
  <c r="I67" i="53"/>
  <c r="AA67" i="53" s="1"/>
  <c r="J67" i="53"/>
  <c r="K67" i="53"/>
  <c r="L67" i="53"/>
  <c r="M67" i="53"/>
  <c r="I68" i="53"/>
  <c r="K68" i="53" s="1"/>
  <c r="J68" i="53"/>
  <c r="L68" i="53"/>
  <c r="M68" i="53"/>
  <c r="I69" i="53"/>
  <c r="AA69" i="53" s="1"/>
  <c r="J69" i="53"/>
  <c r="L69" i="53"/>
  <c r="M69" i="53"/>
  <c r="I70" i="53"/>
  <c r="AA70" i="53" s="1"/>
  <c r="J70" i="53"/>
  <c r="L70" i="53"/>
  <c r="M70" i="53"/>
  <c r="I60" i="53"/>
  <c r="J60" i="53"/>
  <c r="I61" i="53"/>
  <c r="J61" i="53"/>
  <c r="B55" i="53"/>
  <c r="B56" i="53"/>
  <c r="B50" i="53"/>
  <c r="B51" i="53"/>
  <c r="B52" i="53"/>
  <c r="A47" i="53"/>
  <c r="AH35" i="53"/>
  <c r="AH36" i="53"/>
  <c r="AH37" i="53"/>
  <c r="AL37" i="53"/>
  <c r="AH38" i="53"/>
  <c r="AK38" i="53"/>
  <c r="AH39" i="53"/>
  <c r="AH40" i="53"/>
  <c r="AH41" i="53"/>
  <c r="AH42" i="53"/>
  <c r="AH43" i="53"/>
  <c r="AH44" i="53"/>
  <c r="AK44" i="53"/>
  <c r="AH45" i="53"/>
  <c r="AH46" i="53"/>
  <c r="AH47" i="53"/>
  <c r="AL47" i="53"/>
  <c r="AH48" i="53"/>
  <c r="AH49" i="53"/>
  <c r="AH50" i="53"/>
  <c r="AH51" i="53"/>
  <c r="AH52" i="53"/>
  <c r="AK52" i="53"/>
  <c r="AH53" i="53"/>
  <c r="AL53" i="53"/>
  <c r="AH54" i="53"/>
  <c r="AK54" i="53"/>
  <c r="AH55" i="53"/>
  <c r="AL55" i="53"/>
  <c r="AH56" i="53"/>
  <c r="AH57" i="53"/>
  <c r="AH58" i="53"/>
  <c r="AE35" i="53"/>
  <c r="AE36" i="53"/>
  <c r="AE37" i="53"/>
  <c r="AE38" i="53"/>
  <c r="AE39" i="53"/>
  <c r="AE40" i="53"/>
  <c r="AE41" i="53"/>
  <c r="AE42" i="53"/>
  <c r="AE43" i="53"/>
  <c r="AE44" i="53"/>
  <c r="AE45" i="53"/>
  <c r="AE46" i="53"/>
  <c r="AE47" i="53"/>
  <c r="AE48" i="53"/>
  <c r="AE49" i="53"/>
  <c r="AE50" i="53"/>
  <c r="AE51" i="53"/>
  <c r="AE52" i="53"/>
  <c r="AE53" i="53"/>
  <c r="AE54" i="53"/>
  <c r="AE55" i="53"/>
  <c r="AE56" i="53"/>
  <c r="AE57" i="53"/>
  <c r="AE58" i="53"/>
  <c r="AA40" i="53"/>
  <c r="AA48" i="53"/>
  <c r="AA56" i="53"/>
  <c r="I35" i="53"/>
  <c r="AA35" i="53" s="1"/>
  <c r="J35" i="53"/>
  <c r="K35" i="53"/>
  <c r="L35" i="53"/>
  <c r="M35" i="53"/>
  <c r="N35" i="53"/>
  <c r="I36" i="53"/>
  <c r="AA36" i="53" s="1"/>
  <c r="AI36" i="53" s="1"/>
  <c r="J36" i="53"/>
  <c r="K36" i="53"/>
  <c r="L36" i="53"/>
  <c r="M36" i="53"/>
  <c r="N36" i="53"/>
  <c r="I37" i="53"/>
  <c r="AA37" i="53" s="1"/>
  <c r="J37" i="53"/>
  <c r="L37" i="53"/>
  <c r="M37" i="53"/>
  <c r="N37" i="53"/>
  <c r="I38" i="53"/>
  <c r="J38" i="53"/>
  <c r="L38" i="53"/>
  <c r="M38" i="53"/>
  <c r="N38" i="53"/>
  <c r="I39" i="53"/>
  <c r="AA39" i="53" s="1"/>
  <c r="J39" i="53"/>
  <c r="L39" i="53"/>
  <c r="M39" i="53"/>
  <c r="N39" i="53"/>
  <c r="I40" i="53"/>
  <c r="K40" i="53" s="1"/>
  <c r="J40" i="53"/>
  <c r="L40" i="53"/>
  <c r="M40" i="53"/>
  <c r="N40" i="53"/>
  <c r="I41" i="53"/>
  <c r="AA41" i="53" s="1"/>
  <c r="J41" i="53"/>
  <c r="L41" i="53"/>
  <c r="M41" i="53"/>
  <c r="N41" i="53"/>
  <c r="I42" i="53"/>
  <c r="J42" i="53"/>
  <c r="L42" i="53"/>
  <c r="M42" i="53"/>
  <c r="N42" i="53"/>
  <c r="I43" i="53"/>
  <c r="AA43" i="53" s="1"/>
  <c r="J43" i="53"/>
  <c r="L43" i="53"/>
  <c r="M43" i="53"/>
  <c r="N43" i="53"/>
  <c r="I44" i="53"/>
  <c r="AA44" i="53" s="1"/>
  <c r="J44" i="53"/>
  <c r="L44" i="53"/>
  <c r="M44" i="53"/>
  <c r="N44" i="53"/>
  <c r="I45" i="53"/>
  <c r="AA45" i="53" s="1"/>
  <c r="J45" i="53"/>
  <c r="L45" i="53"/>
  <c r="M45" i="53"/>
  <c r="N45" i="53"/>
  <c r="I46" i="53"/>
  <c r="J46" i="53"/>
  <c r="L46" i="53"/>
  <c r="M46" i="53"/>
  <c r="N46" i="53"/>
  <c r="I47" i="53"/>
  <c r="AA47" i="53" s="1"/>
  <c r="J47" i="53"/>
  <c r="L47" i="53"/>
  <c r="M47" i="53"/>
  <c r="N47" i="53"/>
  <c r="I48" i="53"/>
  <c r="J48" i="53"/>
  <c r="K48" i="53"/>
  <c r="L48" i="53"/>
  <c r="M48" i="53"/>
  <c r="N48" i="53"/>
  <c r="I49" i="53"/>
  <c r="AA49" i="53" s="1"/>
  <c r="J49" i="53"/>
  <c r="L49" i="53"/>
  <c r="M49" i="53"/>
  <c r="N49" i="53"/>
  <c r="I50" i="53"/>
  <c r="J50" i="53"/>
  <c r="L50" i="53"/>
  <c r="M50" i="53"/>
  <c r="N50" i="53"/>
  <c r="I51" i="53"/>
  <c r="AA51" i="53" s="1"/>
  <c r="J51" i="53"/>
  <c r="K51" i="53"/>
  <c r="L51" i="53"/>
  <c r="M51" i="53"/>
  <c r="N51" i="53"/>
  <c r="I52" i="53"/>
  <c r="J52" i="53"/>
  <c r="L52" i="53"/>
  <c r="M52" i="53"/>
  <c r="N52" i="53"/>
  <c r="I53" i="53"/>
  <c r="AA53" i="53" s="1"/>
  <c r="J53" i="53"/>
  <c r="L53" i="53"/>
  <c r="M53" i="53"/>
  <c r="N53" i="53"/>
  <c r="I54" i="53"/>
  <c r="J54" i="53"/>
  <c r="L54" i="53"/>
  <c r="M54" i="53"/>
  <c r="N54" i="53"/>
  <c r="I55" i="53"/>
  <c r="AA55" i="53" s="1"/>
  <c r="J55" i="53"/>
  <c r="L55" i="53"/>
  <c r="M55" i="53"/>
  <c r="N55" i="53"/>
  <c r="I56" i="53"/>
  <c r="K56" i="53" s="1"/>
  <c r="J56" i="53"/>
  <c r="L56" i="53"/>
  <c r="M56" i="53"/>
  <c r="N56" i="53"/>
  <c r="I57" i="53"/>
  <c r="AA57" i="53" s="1"/>
  <c r="J57" i="53"/>
  <c r="L57" i="53"/>
  <c r="M57" i="53"/>
  <c r="N57" i="53"/>
  <c r="I58" i="53"/>
  <c r="J58" i="53"/>
  <c r="L58" i="53"/>
  <c r="M58" i="53"/>
  <c r="N58" i="53"/>
  <c r="N33" i="53"/>
  <c r="N34" i="53"/>
  <c r="I33" i="53"/>
  <c r="J33" i="53"/>
  <c r="I34" i="53"/>
  <c r="J34" i="53"/>
  <c r="AG32" i="53"/>
  <c r="AL32" i="53" s="1"/>
  <c r="AD32" i="53"/>
  <c r="AK32" i="53" s="1"/>
  <c r="O32" i="53"/>
  <c r="P32" i="53"/>
  <c r="Q32" i="53"/>
  <c r="R32" i="53"/>
  <c r="S32" i="53"/>
  <c r="T32" i="53"/>
  <c r="U32" i="53"/>
  <c r="V32" i="53"/>
  <c r="W32" i="53"/>
  <c r="X32" i="53"/>
  <c r="Y32" i="53"/>
  <c r="Z32" i="53"/>
  <c r="AJ32" i="53" s="1"/>
  <c r="AJ31" i="53"/>
  <c r="AK31" i="53"/>
  <c r="AM31" i="53" s="1"/>
  <c r="AL31" i="53"/>
  <c r="AN31" i="53" s="1"/>
  <c r="AG31" i="53"/>
  <c r="AD31" i="53"/>
  <c r="O31" i="53"/>
  <c r="P31" i="53"/>
  <c r="Q31" i="53"/>
  <c r="R31" i="53"/>
  <c r="S31" i="53"/>
  <c r="T31" i="53"/>
  <c r="U31" i="53"/>
  <c r="V31" i="53"/>
  <c r="W31" i="53"/>
  <c r="X31" i="53"/>
  <c r="Y31" i="53"/>
  <c r="Z31" i="53"/>
  <c r="AA31" i="53"/>
  <c r="N26" i="53"/>
  <c r="N27" i="53"/>
  <c r="N28" i="53"/>
  <c r="N29" i="53"/>
  <c r="B22" i="53"/>
  <c r="B23" i="53"/>
  <c r="AG16" i="53"/>
  <c r="AG19" i="53"/>
  <c r="AG20" i="53"/>
  <c r="AL80" i="53" s="1"/>
  <c r="AD19" i="53"/>
  <c r="AD20" i="53"/>
  <c r="AK79" i="53" s="1"/>
  <c r="G19" i="53"/>
  <c r="G20" i="53"/>
  <c r="N19" i="53"/>
  <c r="O19" i="53"/>
  <c r="P19" i="53"/>
  <c r="Q19" i="53"/>
  <c r="R19" i="53"/>
  <c r="S19" i="53"/>
  <c r="T19" i="53"/>
  <c r="U19" i="53"/>
  <c r="V19" i="53"/>
  <c r="W19" i="53"/>
  <c r="X19" i="53"/>
  <c r="Y19" i="53"/>
  <c r="Z19" i="53"/>
  <c r="N20" i="53"/>
  <c r="O20" i="53"/>
  <c r="P20" i="53"/>
  <c r="Q20" i="53"/>
  <c r="R20" i="53"/>
  <c r="S20" i="53"/>
  <c r="T20" i="53"/>
  <c r="U20" i="53"/>
  <c r="V20" i="53"/>
  <c r="W20" i="53"/>
  <c r="X20" i="53"/>
  <c r="Y20" i="53"/>
  <c r="Z20" i="53"/>
  <c r="B17" i="53"/>
  <c r="B18" i="53"/>
  <c r="B19" i="53"/>
  <c r="O16" i="53"/>
  <c r="P16" i="53"/>
  <c r="Q16" i="53"/>
  <c r="R16" i="53"/>
  <c r="S16" i="53"/>
  <c r="T16" i="53"/>
  <c r="U16" i="53"/>
  <c r="V16" i="53"/>
  <c r="W16" i="53"/>
  <c r="X16" i="53"/>
  <c r="Y16" i="53"/>
  <c r="Z16" i="53"/>
  <c r="O17" i="53"/>
  <c r="P17" i="53"/>
  <c r="Q17" i="53"/>
  <c r="R17" i="53"/>
  <c r="S17" i="53"/>
  <c r="T17" i="53"/>
  <c r="U17" i="53"/>
  <c r="V17" i="53"/>
  <c r="W17" i="53"/>
  <c r="X17" i="53"/>
  <c r="Y17" i="53"/>
  <c r="Z17" i="53"/>
  <c r="AA17" i="53" s="1"/>
  <c r="AA11" i="53" s="1"/>
  <c r="A14" i="53"/>
  <c r="AG12" i="53"/>
  <c r="AG13" i="53"/>
  <c r="AD12" i="53"/>
  <c r="AD13" i="53"/>
  <c r="B12" i="53"/>
  <c r="B13" i="53"/>
  <c r="O11" i="53"/>
  <c r="P11" i="53"/>
  <c r="Q11" i="53"/>
  <c r="R11" i="53"/>
  <c r="S11" i="53"/>
  <c r="T11" i="53"/>
  <c r="U11" i="53"/>
  <c r="V11" i="53"/>
  <c r="W11" i="53"/>
  <c r="X11" i="53"/>
  <c r="Y11" i="53"/>
  <c r="Z11" i="53"/>
  <c r="O12" i="53"/>
  <c r="P12" i="53"/>
  <c r="Q12" i="53"/>
  <c r="R12" i="53"/>
  <c r="S12" i="53"/>
  <c r="T12" i="53"/>
  <c r="U12" i="53"/>
  <c r="V12" i="53"/>
  <c r="W12" i="53"/>
  <c r="X12" i="53"/>
  <c r="Y12" i="53"/>
  <c r="Z12" i="53"/>
  <c r="AA12" i="53"/>
  <c r="O13" i="53"/>
  <c r="P13" i="53"/>
  <c r="Q13" i="53"/>
  <c r="R13" i="53"/>
  <c r="S13" i="53"/>
  <c r="T13" i="53"/>
  <c r="U13" i="53"/>
  <c r="V13" i="53"/>
  <c r="W13" i="53"/>
  <c r="X13" i="53"/>
  <c r="Y13" i="53"/>
  <c r="Z13" i="53"/>
  <c r="AA13" i="53"/>
  <c r="C10" i="53"/>
  <c r="D10" i="53"/>
  <c r="C9" i="53"/>
  <c r="C1" i="53"/>
  <c r="C2" i="53"/>
  <c r="C3" i="53"/>
  <c r="C4" i="53"/>
  <c r="C5" i="53"/>
  <c r="C6" i="53"/>
  <c r="C7" i="53"/>
  <c r="C8" i="53"/>
  <c r="E6" i="53"/>
  <c r="B62" i="53" s="1"/>
  <c r="E4" i="53"/>
  <c r="F4" i="53"/>
  <c r="B3" i="53"/>
  <c r="H2" i="53" s="1"/>
  <c r="N1" i="53"/>
  <c r="N1" i="57" s="1"/>
  <c r="AG143" i="56"/>
  <c r="AG144" i="56"/>
  <c r="AG145" i="56"/>
  <c r="AG146" i="56"/>
  <c r="AD143" i="56"/>
  <c r="AD144" i="56"/>
  <c r="AD145" i="56"/>
  <c r="AD146" i="56"/>
  <c r="O143" i="56"/>
  <c r="P143" i="56"/>
  <c r="Q143" i="56"/>
  <c r="R143" i="56"/>
  <c r="S143" i="56"/>
  <c r="T143" i="56"/>
  <c r="U143" i="56"/>
  <c r="V143" i="56"/>
  <c r="W143" i="56"/>
  <c r="X143" i="56"/>
  <c r="Y143" i="56"/>
  <c r="Z143" i="56"/>
  <c r="O144" i="56"/>
  <c r="P144" i="56"/>
  <c r="Q144" i="56"/>
  <c r="R144" i="56"/>
  <c r="S144" i="56"/>
  <c r="T144" i="56"/>
  <c r="U144" i="56"/>
  <c r="V144" i="56"/>
  <c r="W144" i="56"/>
  <c r="X144" i="56"/>
  <c r="Y144" i="56"/>
  <c r="Z144" i="56"/>
  <c r="O145" i="56"/>
  <c r="P145" i="56"/>
  <c r="Q145" i="56"/>
  <c r="R145" i="56"/>
  <c r="S145" i="56"/>
  <c r="T145" i="56"/>
  <c r="U145" i="56"/>
  <c r="V145" i="56"/>
  <c r="W145" i="56"/>
  <c r="X145" i="56"/>
  <c r="Y145" i="56"/>
  <c r="Z145" i="56"/>
  <c r="O146" i="56"/>
  <c r="P146" i="56"/>
  <c r="Q146" i="56"/>
  <c r="R146" i="56"/>
  <c r="S146" i="56"/>
  <c r="T146" i="56"/>
  <c r="U146" i="56"/>
  <c r="V146" i="56"/>
  <c r="W146" i="56"/>
  <c r="X146" i="56"/>
  <c r="Y146" i="56"/>
  <c r="Z146" i="56"/>
  <c r="AI131" i="56"/>
  <c r="AI133" i="56"/>
  <c r="AI135" i="56"/>
  <c r="AI137" i="56"/>
  <c r="AI139" i="56"/>
  <c r="AG141" i="56"/>
  <c r="AD141" i="56"/>
  <c r="O141" i="56"/>
  <c r="P141" i="56"/>
  <c r="Q141" i="56"/>
  <c r="R141" i="56"/>
  <c r="S141" i="56"/>
  <c r="T141" i="56"/>
  <c r="U141" i="56"/>
  <c r="V141" i="56"/>
  <c r="W141" i="56"/>
  <c r="X141" i="56"/>
  <c r="Y141" i="56"/>
  <c r="Z141" i="56"/>
  <c r="AH140" i="56"/>
  <c r="AE140" i="56"/>
  <c r="AA140" i="56"/>
  <c r="AF140" i="56" s="1"/>
  <c r="AB140" i="56"/>
  <c r="AF130" i="56"/>
  <c r="AF131" i="56"/>
  <c r="AF133" i="56"/>
  <c r="AF135" i="56"/>
  <c r="AF136" i="56"/>
  <c r="AF137" i="56"/>
  <c r="AF138" i="56"/>
  <c r="AF139" i="56"/>
  <c r="AH138" i="56"/>
  <c r="AE138" i="56"/>
  <c r="AA138" i="56"/>
  <c r="AI138" i="56" s="1"/>
  <c r="AB138" i="56"/>
  <c r="AH136" i="56"/>
  <c r="AE136" i="56"/>
  <c r="AA136" i="56"/>
  <c r="AI136" i="56" s="1"/>
  <c r="AB136" i="56"/>
  <c r="AH134" i="56"/>
  <c r="AE134" i="56"/>
  <c r="AA134" i="56"/>
  <c r="AI134" i="56" s="1"/>
  <c r="AB134" i="56"/>
  <c r="AH132" i="56"/>
  <c r="AE132" i="56"/>
  <c r="AA132" i="56"/>
  <c r="AI132" i="56" s="1"/>
  <c r="AB132" i="56"/>
  <c r="AH130" i="56"/>
  <c r="AE130" i="56"/>
  <c r="AA130" i="56"/>
  <c r="AI130" i="56" s="1"/>
  <c r="AB130" i="56"/>
  <c r="L130" i="56"/>
  <c r="M130" i="56"/>
  <c r="N130" i="56"/>
  <c r="L131" i="56"/>
  <c r="M131" i="56"/>
  <c r="N131" i="56"/>
  <c r="L132" i="56"/>
  <c r="M132" i="56"/>
  <c r="N132" i="56"/>
  <c r="L133" i="56"/>
  <c r="M133" i="56"/>
  <c r="N133" i="56"/>
  <c r="L134" i="56"/>
  <c r="M134" i="56"/>
  <c r="N134" i="56"/>
  <c r="L135" i="56"/>
  <c r="M135" i="56"/>
  <c r="N135" i="56"/>
  <c r="L136" i="56"/>
  <c r="M136" i="56"/>
  <c r="N136" i="56"/>
  <c r="L137" i="56"/>
  <c r="M137" i="56"/>
  <c r="N137" i="56"/>
  <c r="L138" i="56"/>
  <c r="M138" i="56"/>
  <c r="N138" i="56"/>
  <c r="L139" i="56"/>
  <c r="M139" i="56"/>
  <c r="N139" i="56"/>
  <c r="L140" i="56"/>
  <c r="M140" i="56"/>
  <c r="N140" i="56"/>
  <c r="N129" i="56"/>
  <c r="AG121" i="56"/>
  <c r="AG122" i="56"/>
  <c r="AH122" i="56" s="1"/>
  <c r="AG123" i="56"/>
  <c r="AH123" i="56" s="1"/>
  <c r="AG124" i="56"/>
  <c r="AH124" i="56" s="1"/>
  <c r="AG125" i="56"/>
  <c r="AH125" i="56" s="1"/>
  <c r="AD121" i="56"/>
  <c r="AD122" i="56"/>
  <c r="AD123" i="56"/>
  <c r="AE123" i="56" s="1"/>
  <c r="AD124" i="56"/>
  <c r="AE124" i="56" s="1"/>
  <c r="AD125" i="56"/>
  <c r="AE125" i="56" s="1"/>
  <c r="AE121" i="56"/>
  <c r="L121" i="56"/>
  <c r="M121" i="56"/>
  <c r="N121" i="56"/>
  <c r="O121" i="56"/>
  <c r="P121" i="56"/>
  <c r="Q121" i="56"/>
  <c r="R121" i="56"/>
  <c r="S121" i="56"/>
  <c r="T121" i="56"/>
  <c r="U121" i="56"/>
  <c r="V121" i="56"/>
  <c r="W121" i="56"/>
  <c r="W126" i="56" s="1"/>
  <c r="W127" i="56" s="1"/>
  <c r="X121" i="56"/>
  <c r="Y121" i="56"/>
  <c r="Z121" i="56"/>
  <c r="L122" i="56"/>
  <c r="M122" i="56"/>
  <c r="N122" i="56"/>
  <c r="O122" i="56"/>
  <c r="P122" i="56"/>
  <c r="Q122" i="56"/>
  <c r="R122" i="56"/>
  <c r="S122" i="56"/>
  <c r="T122" i="56"/>
  <c r="U122" i="56"/>
  <c r="V122" i="56"/>
  <c r="V126" i="56" s="1"/>
  <c r="V127" i="56" s="1"/>
  <c r="W122" i="56"/>
  <c r="X122" i="56"/>
  <c r="X126" i="56" s="1"/>
  <c r="X127" i="56" s="1"/>
  <c r="Y122" i="56"/>
  <c r="Z122" i="56"/>
  <c r="L123" i="56"/>
  <c r="M123" i="56"/>
  <c r="N123" i="56"/>
  <c r="O123" i="56"/>
  <c r="P123" i="56"/>
  <c r="Q123" i="56"/>
  <c r="R123" i="56"/>
  <c r="S123" i="56"/>
  <c r="T123" i="56"/>
  <c r="U123" i="56"/>
  <c r="V123" i="56"/>
  <c r="W123" i="56"/>
  <c r="X123" i="56"/>
  <c r="Y123" i="56"/>
  <c r="Z123" i="56"/>
  <c r="L124" i="56"/>
  <c r="M124" i="56"/>
  <c r="N124" i="56"/>
  <c r="O124" i="56"/>
  <c r="P124" i="56"/>
  <c r="Q124" i="56"/>
  <c r="R124" i="56"/>
  <c r="S124" i="56"/>
  <c r="T124" i="56"/>
  <c r="U124" i="56"/>
  <c r="V124" i="56"/>
  <c r="W124" i="56"/>
  <c r="X124" i="56"/>
  <c r="Y124" i="56"/>
  <c r="Z124" i="56"/>
  <c r="L125" i="56"/>
  <c r="M125" i="56"/>
  <c r="N125" i="56"/>
  <c r="O125" i="56"/>
  <c r="P125" i="56"/>
  <c r="Q125" i="56"/>
  <c r="R125" i="56"/>
  <c r="S125" i="56"/>
  <c r="T125" i="56"/>
  <c r="U125" i="56"/>
  <c r="V125" i="56"/>
  <c r="W125" i="56"/>
  <c r="X125" i="56"/>
  <c r="Y125" i="56"/>
  <c r="Z125" i="56"/>
  <c r="L126" i="56"/>
  <c r="M126" i="56"/>
  <c r="N126" i="56"/>
  <c r="AH114" i="56"/>
  <c r="AH115" i="56"/>
  <c r="AH116" i="56"/>
  <c r="AH117" i="56"/>
  <c r="AH118" i="56"/>
  <c r="AH119" i="56"/>
  <c r="AE114" i="56"/>
  <c r="AE115" i="56"/>
  <c r="AE116" i="56"/>
  <c r="AE117" i="56"/>
  <c r="AE118" i="56"/>
  <c r="AE119" i="56"/>
  <c r="AA114" i="56"/>
  <c r="AI114" i="56" s="1"/>
  <c r="AA115" i="56"/>
  <c r="AI115" i="56" s="1"/>
  <c r="AA116" i="56"/>
  <c r="AF116" i="56" s="1"/>
  <c r="AA117" i="56"/>
  <c r="AF117" i="56" s="1"/>
  <c r="AB117" i="56"/>
  <c r="AA118" i="56"/>
  <c r="AI118" i="56" s="1"/>
  <c r="AA119" i="56"/>
  <c r="AI119" i="56" s="1"/>
  <c r="L114" i="56"/>
  <c r="M114" i="56"/>
  <c r="N114" i="56"/>
  <c r="L115" i="56"/>
  <c r="M115" i="56"/>
  <c r="N115" i="56"/>
  <c r="L116" i="56"/>
  <c r="M116" i="56"/>
  <c r="N116" i="56"/>
  <c r="L117" i="56"/>
  <c r="M117" i="56"/>
  <c r="N117" i="56"/>
  <c r="L118" i="56"/>
  <c r="M118" i="56"/>
  <c r="N118" i="56"/>
  <c r="L119" i="56"/>
  <c r="M119" i="56"/>
  <c r="N119" i="56"/>
  <c r="AH106" i="56"/>
  <c r="AI106" i="56"/>
  <c r="AH107" i="56"/>
  <c r="AH108" i="56"/>
  <c r="AH109" i="56"/>
  <c r="AH110" i="56"/>
  <c r="AH111" i="56"/>
  <c r="AE106" i="56"/>
  <c r="AE107" i="56"/>
  <c r="AE108" i="56"/>
  <c r="AE109" i="56"/>
  <c r="AE110" i="56"/>
  <c r="AE111" i="56"/>
  <c r="AA106" i="56"/>
  <c r="AF106" i="56" s="1"/>
  <c r="AB106" i="56"/>
  <c r="AA107" i="56"/>
  <c r="AI107" i="56" s="1"/>
  <c r="AA108" i="56"/>
  <c r="AI108" i="56" s="1"/>
  <c r="AA109" i="56"/>
  <c r="AF109" i="56" s="1"/>
  <c r="AA110" i="56"/>
  <c r="AA111" i="56"/>
  <c r="AI111" i="56" s="1"/>
  <c r="L106" i="56"/>
  <c r="M106" i="56"/>
  <c r="N106" i="56"/>
  <c r="L107" i="56"/>
  <c r="M107" i="56"/>
  <c r="N107" i="56"/>
  <c r="L108" i="56"/>
  <c r="M108" i="56"/>
  <c r="N108" i="56"/>
  <c r="L109" i="56"/>
  <c r="M109" i="56"/>
  <c r="N109" i="56"/>
  <c r="L110" i="56"/>
  <c r="M110" i="56"/>
  <c r="N110" i="56"/>
  <c r="L111" i="56"/>
  <c r="M111" i="56"/>
  <c r="N111" i="56"/>
  <c r="AH98" i="56"/>
  <c r="AH99" i="56"/>
  <c r="AH100" i="56"/>
  <c r="AH101" i="56"/>
  <c r="AH102" i="56"/>
  <c r="AH103" i="56"/>
  <c r="AI103" i="56"/>
  <c r="AE98" i="56"/>
  <c r="AE99" i="56"/>
  <c r="AE100" i="56"/>
  <c r="AE101" i="56"/>
  <c r="AE102" i="56"/>
  <c r="AE103" i="56"/>
  <c r="AA98" i="56"/>
  <c r="AF98" i="56" s="1"/>
  <c r="AA99" i="56"/>
  <c r="AF99" i="56" s="1"/>
  <c r="AA100" i="56"/>
  <c r="AI100" i="56" s="1"/>
  <c r="AA101" i="56"/>
  <c r="AI101" i="56" s="1"/>
  <c r="AA102" i="56"/>
  <c r="AF102" i="56" s="1"/>
  <c r="AA103" i="56"/>
  <c r="AF103" i="56" s="1"/>
  <c r="AB103" i="56"/>
  <c r="L98" i="56"/>
  <c r="M98" i="56"/>
  <c r="N98" i="56"/>
  <c r="L99" i="56"/>
  <c r="M99" i="56"/>
  <c r="N99" i="56"/>
  <c r="L100" i="56"/>
  <c r="M100" i="56"/>
  <c r="N100" i="56"/>
  <c r="L101" i="56"/>
  <c r="M101" i="56"/>
  <c r="N101" i="56"/>
  <c r="L102" i="56"/>
  <c r="M102" i="56"/>
  <c r="N102" i="56"/>
  <c r="L103" i="56"/>
  <c r="M103" i="56"/>
  <c r="N103" i="56"/>
  <c r="AD93" i="56"/>
  <c r="AD94" i="56"/>
  <c r="AG93" i="56"/>
  <c r="AG94" i="56"/>
  <c r="O93" i="56"/>
  <c r="P93" i="56"/>
  <c r="Q93" i="56"/>
  <c r="R93" i="56"/>
  <c r="S93" i="56"/>
  <c r="T93" i="56"/>
  <c r="U93" i="56"/>
  <c r="V93" i="56"/>
  <c r="W93" i="56"/>
  <c r="X93" i="56"/>
  <c r="Y93" i="56"/>
  <c r="Z93" i="56"/>
  <c r="O94" i="56"/>
  <c r="P94" i="56"/>
  <c r="Q94" i="56"/>
  <c r="R94" i="56"/>
  <c r="S94" i="56"/>
  <c r="T94" i="56"/>
  <c r="U94" i="56"/>
  <c r="V94" i="56"/>
  <c r="W94" i="56"/>
  <c r="X94" i="56"/>
  <c r="Y94" i="56"/>
  <c r="Z94" i="56"/>
  <c r="AA91" i="56"/>
  <c r="AI91" i="56" s="1"/>
  <c r="AA92" i="56"/>
  <c r="AI92" i="56" s="1"/>
  <c r="N91" i="56"/>
  <c r="N92" i="56"/>
  <c r="I91" i="56"/>
  <c r="J91" i="56"/>
  <c r="I92" i="56"/>
  <c r="J92" i="56"/>
  <c r="AA35" i="56"/>
  <c r="AB35" i="56" s="1"/>
  <c r="AA36" i="56"/>
  <c r="AA37" i="56"/>
  <c r="AI37" i="56" s="1"/>
  <c r="AA38" i="56"/>
  <c r="AA39" i="56"/>
  <c r="AI39" i="56" s="1"/>
  <c r="AA40" i="56"/>
  <c r="AA41" i="56"/>
  <c r="AA45" i="56"/>
  <c r="AI45" i="56" s="1"/>
  <c r="AA46" i="56"/>
  <c r="AA47" i="56"/>
  <c r="AI47" i="56" s="1"/>
  <c r="AA48" i="56"/>
  <c r="AF48" i="56" s="1"/>
  <c r="AA49" i="56"/>
  <c r="AA50" i="56"/>
  <c r="AF50" i="56" s="1"/>
  <c r="AA51" i="56"/>
  <c r="AA52" i="56" s="1"/>
  <c r="AA55" i="56"/>
  <c r="AB55" i="56" s="1"/>
  <c r="AA56" i="56"/>
  <c r="AF56" i="56" s="1"/>
  <c r="AA57" i="56"/>
  <c r="AA58" i="56"/>
  <c r="AF58" i="56" s="1"/>
  <c r="AA59" i="56"/>
  <c r="AA62" i="56" s="1"/>
  <c r="AA60" i="56"/>
  <c r="AF60" i="56" s="1"/>
  <c r="AA61" i="56"/>
  <c r="AB61" i="56" s="1"/>
  <c r="AA63" i="56"/>
  <c r="AA65" i="56"/>
  <c r="AA66" i="56"/>
  <c r="AB66" i="56" s="1"/>
  <c r="AA67" i="56"/>
  <c r="AB67" i="56" s="1"/>
  <c r="AA68" i="56"/>
  <c r="AF68" i="56" s="1"/>
  <c r="AA69" i="56"/>
  <c r="AI69" i="56" s="1"/>
  <c r="AA70" i="56"/>
  <c r="AF70" i="56" s="1"/>
  <c r="AA71" i="56"/>
  <c r="AI71" i="56" s="1"/>
  <c r="AA75" i="56"/>
  <c r="AA76" i="56"/>
  <c r="AF76" i="56" s="1"/>
  <c r="AA77" i="56"/>
  <c r="AB77" i="56" s="1"/>
  <c r="AA78" i="56"/>
  <c r="AI78" i="56" s="1"/>
  <c r="AA79" i="56"/>
  <c r="AF79" i="56" s="1"/>
  <c r="AA80" i="56"/>
  <c r="AA83" i="56"/>
  <c r="AA85" i="56"/>
  <c r="AB85" i="56" s="1"/>
  <c r="AA86" i="56"/>
  <c r="AF86" i="56" s="1"/>
  <c r="AA87" i="56"/>
  <c r="N85" i="56"/>
  <c r="N143" i="56" s="1"/>
  <c r="N86" i="56"/>
  <c r="N87" i="56"/>
  <c r="N144" i="56" s="1"/>
  <c r="N88" i="56"/>
  <c r="N145" i="56" s="1"/>
  <c r="AH87" i="56"/>
  <c r="AE87" i="56"/>
  <c r="AB87" i="56"/>
  <c r="AH83" i="56"/>
  <c r="AH85" i="56"/>
  <c r="AE83" i="56"/>
  <c r="AE84" i="56"/>
  <c r="AE85" i="56"/>
  <c r="L85" i="56"/>
  <c r="M85" i="56"/>
  <c r="L86" i="56"/>
  <c r="M86" i="56"/>
  <c r="L87" i="56"/>
  <c r="M87" i="56"/>
  <c r="I85" i="56"/>
  <c r="J85" i="56"/>
  <c r="I86" i="56"/>
  <c r="J86" i="56"/>
  <c r="I87" i="56"/>
  <c r="J87" i="56"/>
  <c r="I88" i="56"/>
  <c r="J88" i="56"/>
  <c r="Q84" i="56"/>
  <c r="U84" i="56"/>
  <c r="V84" i="56"/>
  <c r="L83" i="56"/>
  <c r="M83" i="56"/>
  <c r="N83" i="56"/>
  <c r="I83" i="56"/>
  <c r="J83" i="56"/>
  <c r="AG82" i="56"/>
  <c r="AH84" i="56" s="1"/>
  <c r="AD82" i="56"/>
  <c r="O82" i="56"/>
  <c r="O84" i="56" s="1"/>
  <c r="P82" i="56"/>
  <c r="P84" i="56" s="1"/>
  <c r="Q82" i="56"/>
  <c r="R82" i="56"/>
  <c r="R84" i="56" s="1"/>
  <c r="S82" i="56"/>
  <c r="S84" i="56" s="1"/>
  <c r="T82" i="56"/>
  <c r="T84" i="56" s="1"/>
  <c r="U82" i="56"/>
  <c r="V82" i="56"/>
  <c r="W82" i="56"/>
  <c r="W84" i="56" s="1"/>
  <c r="X82" i="56"/>
  <c r="X84" i="56" s="1"/>
  <c r="Y82" i="56"/>
  <c r="Y84" i="56" s="1"/>
  <c r="Z82" i="56"/>
  <c r="Z84" i="56" s="1"/>
  <c r="AI80" i="56"/>
  <c r="AF78" i="56"/>
  <c r="AF80" i="56"/>
  <c r="AH75" i="56"/>
  <c r="AH76" i="56"/>
  <c r="AH77" i="56"/>
  <c r="AH78" i="56"/>
  <c r="AH79" i="56"/>
  <c r="AH80" i="56"/>
  <c r="AE75" i="56"/>
  <c r="AE76" i="56"/>
  <c r="AE77" i="56"/>
  <c r="AE78" i="56"/>
  <c r="AE79" i="56"/>
  <c r="AE80" i="56"/>
  <c r="AB76" i="56"/>
  <c r="AB78" i="56"/>
  <c r="AB80" i="56"/>
  <c r="L75" i="56"/>
  <c r="M75" i="56"/>
  <c r="N75" i="56"/>
  <c r="L76" i="56"/>
  <c r="M76" i="56"/>
  <c r="N76" i="56"/>
  <c r="L77" i="56"/>
  <c r="M77" i="56"/>
  <c r="N77" i="56"/>
  <c r="L78" i="56"/>
  <c r="M78" i="56"/>
  <c r="N78" i="56"/>
  <c r="L79" i="56"/>
  <c r="M79" i="56"/>
  <c r="N79" i="56"/>
  <c r="L80" i="56"/>
  <c r="M80" i="56"/>
  <c r="N80" i="56"/>
  <c r="L81" i="56"/>
  <c r="M81" i="56"/>
  <c r="N81" i="56"/>
  <c r="I75" i="56"/>
  <c r="J75" i="56"/>
  <c r="I76" i="56"/>
  <c r="J76" i="56"/>
  <c r="I77" i="56"/>
  <c r="J77" i="56"/>
  <c r="I78" i="56"/>
  <c r="J78" i="56"/>
  <c r="I79" i="56"/>
  <c r="J79" i="56"/>
  <c r="I80" i="56"/>
  <c r="J80" i="56"/>
  <c r="I81" i="56"/>
  <c r="J81" i="56"/>
  <c r="AG73" i="56"/>
  <c r="AH74" i="56" s="1"/>
  <c r="AD73" i="56"/>
  <c r="AE74" i="56" s="1"/>
  <c r="O73" i="56"/>
  <c r="O74" i="56" s="1"/>
  <c r="P73" i="56"/>
  <c r="P74" i="56" s="1"/>
  <c r="Q73" i="56"/>
  <c r="R73" i="56"/>
  <c r="R74" i="56" s="1"/>
  <c r="S73" i="56"/>
  <c r="S74" i="56" s="1"/>
  <c r="T73" i="56"/>
  <c r="T74" i="56" s="1"/>
  <c r="U73" i="56"/>
  <c r="U74" i="56" s="1"/>
  <c r="V73" i="56"/>
  <c r="V74" i="56" s="1"/>
  <c r="W73" i="56"/>
  <c r="W74" i="56" s="1"/>
  <c r="X73" i="56"/>
  <c r="X74" i="56" s="1"/>
  <c r="Y73" i="56"/>
  <c r="Z73" i="56"/>
  <c r="Z74" i="56" s="1"/>
  <c r="Q74" i="56"/>
  <c r="Y74" i="56"/>
  <c r="AI65" i="56"/>
  <c r="AI66" i="56"/>
  <c r="AF65" i="56"/>
  <c r="AF66" i="56"/>
  <c r="AH71" i="56"/>
  <c r="AE71" i="56"/>
  <c r="AH65" i="56"/>
  <c r="AH66" i="56"/>
  <c r="AH67" i="56"/>
  <c r="AH68" i="56"/>
  <c r="AH69" i="56"/>
  <c r="AE65" i="56"/>
  <c r="AE66" i="56"/>
  <c r="AE67" i="56"/>
  <c r="AE68" i="56"/>
  <c r="AE69" i="56"/>
  <c r="AB65" i="56"/>
  <c r="AB69" i="56"/>
  <c r="L65" i="56"/>
  <c r="M65" i="56"/>
  <c r="N65" i="56"/>
  <c r="L66" i="56"/>
  <c r="M66" i="56"/>
  <c r="N66" i="56"/>
  <c r="L67" i="56"/>
  <c r="M67" i="56"/>
  <c r="N67" i="56"/>
  <c r="L68" i="56"/>
  <c r="M68" i="56"/>
  <c r="N68" i="56"/>
  <c r="L69" i="56"/>
  <c r="M69" i="56"/>
  <c r="N69" i="56"/>
  <c r="L70" i="56"/>
  <c r="M70" i="56"/>
  <c r="N70" i="56"/>
  <c r="L71" i="56"/>
  <c r="M71" i="56"/>
  <c r="N71" i="56"/>
  <c r="L72" i="56"/>
  <c r="M72" i="56"/>
  <c r="N72" i="56"/>
  <c r="I65" i="56"/>
  <c r="J65" i="56"/>
  <c r="I66" i="56"/>
  <c r="J66" i="56"/>
  <c r="I67" i="56"/>
  <c r="J67" i="56"/>
  <c r="I68" i="56"/>
  <c r="J68" i="56"/>
  <c r="I69" i="56"/>
  <c r="J69" i="56"/>
  <c r="I70" i="56"/>
  <c r="J70" i="56"/>
  <c r="I71" i="56"/>
  <c r="J71" i="56"/>
  <c r="I72" i="56"/>
  <c r="J72" i="56"/>
  <c r="AG63" i="56"/>
  <c r="AH64" i="56" s="1"/>
  <c r="AD63" i="56"/>
  <c r="AE64" i="56" s="1"/>
  <c r="O63" i="56"/>
  <c r="O64" i="56" s="1"/>
  <c r="P63" i="56"/>
  <c r="P64" i="56" s="1"/>
  <c r="Q63" i="56"/>
  <c r="Q64" i="56" s="1"/>
  <c r="R63" i="56"/>
  <c r="S63" i="56"/>
  <c r="S64" i="56" s="1"/>
  <c r="T63" i="56"/>
  <c r="T64" i="56" s="1"/>
  <c r="U63" i="56"/>
  <c r="U64" i="56" s="1"/>
  <c r="V63" i="56"/>
  <c r="V64" i="56" s="1"/>
  <c r="W63" i="56"/>
  <c r="W64" i="56" s="1"/>
  <c r="X63" i="56"/>
  <c r="X64" i="56" s="1"/>
  <c r="Y63" i="56"/>
  <c r="Y64" i="56" s="1"/>
  <c r="Z63" i="56"/>
  <c r="R64" i="56"/>
  <c r="Z64" i="56"/>
  <c r="AI55" i="56"/>
  <c r="AI56" i="56"/>
  <c r="AI57" i="56"/>
  <c r="AI58" i="56"/>
  <c r="AI59" i="56"/>
  <c r="AI60" i="56"/>
  <c r="AI61" i="56"/>
  <c r="AF55" i="56"/>
  <c r="AF57" i="56"/>
  <c r="AF59" i="56"/>
  <c r="AF61" i="56"/>
  <c r="AH61" i="56"/>
  <c r="AE61" i="56"/>
  <c r="AH55" i="56"/>
  <c r="AH56" i="56"/>
  <c r="AH57" i="56"/>
  <c r="AH58" i="56"/>
  <c r="AH59" i="56"/>
  <c r="AE55" i="56"/>
  <c r="AE56" i="56"/>
  <c r="AE57" i="56"/>
  <c r="AE58" i="56"/>
  <c r="AE59" i="56"/>
  <c r="AB57" i="56"/>
  <c r="L55" i="56"/>
  <c r="M55" i="56"/>
  <c r="N55" i="56"/>
  <c r="L56" i="56"/>
  <c r="M56" i="56"/>
  <c r="N56" i="56"/>
  <c r="L57" i="56"/>
  <c r="M57" i="56"/>
  <c r="N57" i="56"/>
  <c r="L58" i="56"/>
  <c r="M58" i="56"/>
  <c r="N58" i="56"/>
  <c r="L59" i="56"/>
  <c r="M59" i="56"/>
  <c r="N59" i="56"/>
  <c r="L60" i="56"/>
  <c r="M60" i="56"/>
  <c r="N60" i="56"/>
  <c r="L61" i="56"/>
  <c r="M61" i="56"/>
  <c r="N61" i="56"/>
  <c r="L62" i="56"/>
  <c r="M62" i="56"/>
  <c r="N62" i="56"/>
  <c r="I55" i="56"/>
  <c r="J55" i="56"/>
  <c r="I56" i="56"/>
  <c r="J56" i="56"/>
  <c r="I57" i="56"/>
  <c r="J57" i="56"/>
  <c r="I58" i="56"/>
  <c r="J58" i="56"/>
  <c r="I59" i="56"/>
  <c r="J59" i="56"/>
  <c r="I60" i="56"/>
  <c r="J60" i="56"/>
  <c r="I61" i="56"/>
  <c r="J61" i="56"/>
  <c r="I62" i="56"/>
  <c r="J62" i="56"/>
  <c r="AG53" i="56"/>
  <c r="AH54" i="56" s="1"/>
  <c r="AD53" i="56"/>
  <c r="AE54" i="56" s="1"/>
  <c r="O53" i="56"/>
  <c r="O54" i="56" s="1"/>
  <c r="P53" i="56"/>
  <c r="Q53" i="56"/>
  <c r="Q54" i="56" s="1"/>
  <c r="R53" i="56"/>
  <c r="R54" i="56" s="1"/>
  <c r="S53" i="56"/>
  <c r="T53" i="56"/>
  <c r="T54" i="56" s="1"/>
  <c r="U53" i="56"/>
  <c r="U54" i="56" s="1"/>
  <c r="V53" i="56"/>
  <c r="V54" i="56" s="1"/>
  <c r="W53" i="56"/>
  <c r="W54" i="56" s="1"/>
  <c r="X53" i="56"/>
  <c r="Y53" i="56"/>
  <c r="Y54" i="56" s="1"/>
  <c r="Z53" i="56"/>
  <c r="Z54" i="56" s="1"/>
  <c r="P54" i="56"/>
  <c r="S54" i="56"/>
  <c r="X54" i="56"/>
  <c r="AI46" i="56"/>
  <c r="AI48" i="56"/>
  <c r="AI50" i="56"/>
  <c r="AF46" i="56"/>
  <c r="AF49" i="56"/>
  <c r="AH51" i="56"/>
  <c r="AE51" i="56"/>
  <c r="AH45" i="56"/>
  <c r="AH46" i="56"/>
  <c r="AH47" i="56"/>
  <c r="AH48" i="56"/>
  <c r="AH49" i="56"/>
  <c r="AE45" i="56"/>
  <c r="AE46" i="56"/>
  <c r="AE47" i="56"/>
  <c r="AE48" i="56"/>
  <c r="AE49" i="56"/>
  <c r="AB46" i="56"/>
  <c r="AB48" i="56"/>
  <c r="L45" i="56"/>
  <c r="M45" i="56"/>
  <c r="N45" i="56"/>
  <c r="L46" i="56"/>
  <c r="M46" i="56"/>
  <c r="N46" i="56"/>
  <c r="L47" i="56"/>
  <c r="M47" i="56"/>
  <c r="N47" i="56"/>
  <c r="L48" i="56"/>
  <c r="M48" i="56"/>
  <c r="N48" i="56"/>
  <c r="L49" i="56"/>
  <c r="M49" i="56"/>
  <c r="N49" i="56"/>
  <c r="L50" i="56"/>
  <c r="M50" i="56"/>
  <c r="N50" i="56"/>
  <c r="L51" i="56"/>
  <c r="M51" i="56"/>
  <c r="N51" i="56"/>
  <c r="L52" i="56"/>
  <c r="M52" i="56"/>
  <c r="N52" i="56"/>
  <c r="I45" i="56"/>
  <c r="J45" i="56"/>
  <c r="I46" i="56"/>
  <c r="J46" i="56"/>
  <c r="I47" i="56"/>
  <c r="J47" i="56"/>
  <c r="I48" i="56"/>
  <c r="J48" i="56"/>
  <c r="I49" i="56"/>
  <c r="J49" i="56"/>
  <c r="I50" i="56"/>
  <c r="J50" i="56"/>
  <c r="I51" i="56"/>
  <c r="J51" i="56"/>
  <c r="I52" i="56"/>
  <c r="J52" i="56"/>
  <c r="AG43" i="56"/>
  <c r="AH44" i="56" s="1"/>
  <c r="AD43" i="56"/>
  <c r="AE44" i="56" s="1"/>
  <c r="O43" i="56"/>
  <c r="O44" i="56" s="1"/>
  <c r="P43" i="56"/>
  <c r="P44" i="56" s="1"/>
  <c r="Q43" i="56"/>
  <c r="Q44" i="56" s="1"/>
  <c r="R43" i="56"/>
  <c r="R44" i="56" s="1"/>
  <c r="S43" i="56"/>
  <c r="S44" i="56" s="1"/>
  <c r="T43" i="56"/>
  <c r="U43" i="56"/>
  <c r="U44" i="56" s="1"/>
  <c r="V43" i="56"/>
  <c r="W43" i="56"/>
  <c r="W44" i="56" s="1"/>
  <c r="X43" i="56"/>
  <c r="X44" i="56" s="1"/>
  <c r="Y43" i="56"/>
  <c r="Y44" i="56" s="1"/>
  <c r="Z43" i="56"/>
  <c r="Z44" i="56" s="1"/>
  <c r="T44" i="56"/>
  <c r="V44" i="56"/>
  <c r="AI36" i="56"/>
  <c r="AI41" i="56"/>
  <c r="AF36" i="56"/>
  <c r="AF38" i="56"/>
  <c r="AF41" i="56"/>
  <c r="AH41" i="56"/>
  <c r="AE41" i="56"/>
  <c r="AB41" i="56"/>
  <c r="AH35" i="56"/>
  <c r="AH36" i="56"/>
  <c r="AH37" i="56"/>
  <c r="AH38" i="56"/>
  <c r="AH39" i="56"/>
  <c r="AE35" i="56"/>
  <c r="AE36" i="56"/>
  <c r="AE37" i="56"/>
  <c r="AE38" i="56"/>
  <c r="AE39" i="56"/>
  <c r="AB36" i="56"/>
  <c r="L35" i="56"/>
  <c r="M35" i="56"/>
  <c r="N35" i="56"/>
  <c r="L36" i="56"/>
  <c r="M36" i="56"/>
  <c r="N36" i="56"/>
  <c r="L37" i="56"/>
  <c r="M37" i="56"/>
  <c r="N37" i="56"/>
  <c r="L38" i="56"/>
  <c r="M38" i="56"/>
  <c r="N38" i="56"/>
  <c r="L39" i="56"/>
  <c r="M39" i="56"/>
  <c r="N39" i="56"/>
  <c r="L40" i="56"/>
  <c r="M40" i="56"/>
  <c r="N40" i="56"/>
  <c r="L41" i="56"/>
  <c r="M41" i="56"/>
  <c r="N41" i="56"/>
  <c r="L42" i="56"/>
  <c r="M42" i="56"/>
  <c r="N42" i="56"/>
  <c r="I35" i="56"/>
  <c r="J35" i="56"/>
  <c r="I36" i="56"/>
  <c r="J36" i="56"/>
  <c r="I37" i="56"/>
  <c r="J37" i="56"/>
  <c r="I38" i="56"/>
  <c r="J38" i="56"/>
  <c r="I39" i="56"/>
  <c r="J39" i="56"/>
  <c r="I40" i="56"/>
  <c r="J40" i="56"/>
  <c r="I41" i="56"/>
  <c r="J41" i="56"/>
  <c r="I42" i="56"/>
  <c r="J42" i="56"/>
  <c r="AG32" i="56"/>
  <c r="AD32" i="56"/>
  <c r="O32" i="56"/>
  <c r="P32" i="56"/>
  <c r="Q32" i="56"/>
  <c r="R32" i="56"/>
  <c r="S32" i="56"/>
  <c r="T32" i="56"/>
  <c r="U32" i="56"/>
  <c r="V32" i="56"/>
  <c r="W32" i="56"/>
  <c r="X32" i="56"/>
  <c r="Y32" i="56"/>
  <c r="Z32" i="56"/>
  <c r="AG31" i="56"/>
  <c r="AD31" i="56"/>
  <c r="O31" i="56"/>
  <c r="P31" i="56"/>
  <c r="Q31" i="56"/>
  <c r="R31" i="56"/>
  <c r="S31" i="56"/>
  <c r="T31" i="56"/>
  <c r="U31" i="56"/>
  <c r="V31" i="56"/>
  <c r="W31" i="56"/>
  <c r="X31" i="56"/>
  <c r="Y31" i="56"/>
  <c r="Z31" i="56"/>
  <c r="AA31" i="56"/>
  <c r="N26" i="56"/>
  <c r="N27" i="56"/>
  <c r="N28" i="56"/>
  <c r="N29" i="56"/>
  <c r="B23" i="56"/>
  <c r="AG16" i="56"/>
  <c r="AG19" i="56"/>
  <c r="AG20" i="56"/>
  <c r="AD19" i="56"/>
  <c r="AD20" i="56"/>
  <c r="G19" i="56"/>
  <c r="G20" i="56"/>
  <c r="N19" i="56"/>
  <c r="O19" i="56"/>
  <c r="P19" i="56"/>
  <c r="Q19" i="56"/>
  <c r="R19" i="56"/>
  <c r="S19" i="56"/>
  <c r="T19" i="56"/>
  <c r="U19" i="56"/>
  <c r="V19" i="56"/>
  <c r="W19" i="56"/>
  <c r="X19" i="56"/>
  <c r="Y19" i="56"/>
  <c r="Z19" i="56"/>
  <c r="N20" i="56"/>
  <c r="O20" i="56"/>
  <c r="P20" i="56"/>
  <c r="Q20" i="56"/>
  <c r="R20" i="56"/>
  <c r="S20" i="56"/>
  <c r="T20" i="56"/>
  <c r="U20" i="56"/>
  <c r="V20" i="56"/>
  <c r="W20" i="56"/>
  <c r="X20" i="56"/>
  <c r="Y20" i="56"/>
  <c r="Z20" i="56"/>
  <c r="B17" i="56"/>
  <c r="B18" i="56"/>
  <c r="B19" i="56"/>
  <c r="O16" i="56"/>
  <c r="P16" i="56"/>
  <c r="Q16" i="56"/>
  <c r="R16" i="56"/>
  <c r="S16" i="56"/>
  <c r="T16" i="56"/>
  <c r="U16" i="56"/>
  <c r="V16" i="56"/>
  <c r="W16" i="56"/>
  <c r="X16" i="56"/>
  <c r="Y16" i="56"/>
  <c r="O17" i="56"/>
  <c r="P17" i="56"/>
  <c r="Q17" i="56"/>
  <c r="R17" i="56"/>
  <c r="S17" i="56"/>
  <c r="T17" i="56"/>
  <c r="U17" i="56"/>
  <c r="V17" i="56"/>
  <c r="W17" i="56"/>
  <c r="X17" i="56"/>
  <c r="Y17" i="56"/>
  <c r="Z17" i="56"/>
  <c r="AA17" i="56" s="1"/>
  <c r="AA11" i="56" s="1"/>
  <c r="AA18" i="56" s="1"/>
  <c r="A14" i="56"/>
  <c r="AG12" i="56"/>
  <c r="AG13" i="56"/>
  <c r="AD12" i="56"/>
  <c r="AD13" i="56"/>
  <c r="B12" i="56"/>
  <c r="B13" i="56"/>
  <c r="O11" i="56"/>
  <c r="P11" i="56"/>
  <c r="Q11" i="56"/>
  <c r="R11" i="56"/>
  <c r="S11" i="56"/>
  <c r="T11" i="56"/>
  <c r="U11" i="56"/>
  <c r="V11" i="56"/>
  <c r="W11" i="56"/>
  <c r="X11" i="56"/>
  <c r="Y11" i="56"/>
  <c r="Z11" i="56"/>
  <c r="O12" i="56"/>
  <c r="P12" i="56"/>
  <c r="Q12" i="56"/>
  <c r="R12" i="56"/>
  <c r="S12" i="56"/>
  <c r="T12" i="56"/>
  <c r="U12" i="56"/>
  <c r="V12" i="56"/>
  <c r="W12" i="56"/>
  <c r="X12" i="56"/>
  <c r="Y12" i="56"/>
  <c r="Z12" i="56"/>
  <c r="AA12" i="56"/>
  <c r="O13" i="56"/>
  <c r="P13" i="56"/>
  <c r="Q13" i="56"/>
  <c r="R13" i="56"/>
  <c r="S13" i="56"/>
  <c r="T13" i="56"/>
  <c r="U13" i="56"/>
  <c r="V13" i="56"/>
  <c r="W13" i="56"/>
  <c r="X13" i="56"/>
  <c r="Y13" i="56"/>
  <c r="Z13" i="56"/>
  <c r="AA13" i="56"/>
  <c r="C10" i="56"/>
  <c r="D10" i="56"/>
  <c r="C9" i="56"/>
  <c r="C1" i="56"/>
  <c r="C2" i="56"/>
  <c r="C3" i="56"/>
  <c r="C4" i="56"/>
  <c r="C5" i="56"/>
  <c r="C6" i="56"/>
  <c r="C7" i="56"/>
  <c r="C8" i="56"/>
  <c r="E6" i="56"/>
  <c r="E4" i="56"/>
  <c r="F4" i="56"/>
  <c r="B3" i="56"/>
  <c r="B120" i="52"/>
  <c r="B114" i="52"/>
  <c r="B115" i="52"/>
  <c r="B116" i="52"/>
  <c r="A111" i="52"/>
  <c r="AG90" i="52"/>
  <c r="AD90" i="52"/>
  <c r="O90" i="52"/>
  <c r="P90" i="52"/>
  <c r="Q90" i="52"/>
  <c r="R90" i="52"/>
  <c r="S90" i="52"/>
  <c r="T90" i="52"/>
  <c r="U90" i="52"/>
  <c r="V90" i="52"/>
  <c r="W90" i="52"/>
  <c r="X90" i="52"/>
  <c r="Y90" i="52"/>
  <c r="Z90" i="52"/>
  <c r="N91" i="52"/>
  <c r="B88" i="52"/>
  <c r="B89" i="52"/>
  <c r="N87" i="52"/>
  <c r="N90" i="52" s="1"/>
  <c r="N88" i="52"/>
  <c r="AH87" i="52"/>
  <c r="AH88" i="52"/>
  <c r="AE87" i="52"/>
  <c r="AE88" i="52"/>
  <c r="I87" i="52"/>
  <c r="AA87" i="52" s="1"/>
  <c r="AI87" i="52" s="1"/>
  <c r="J87" i="52"/>
  <c r="I88" i="52"/>
  <c r="AA88" i="52" s="1"/>
  <c r="J88" i="52"/>
  <c r="N82" i="52"/>
  <c r="N83" i="52"/>
  <c r="N84" i="52"/>
  <c r="N85" i="52"/>
  <c r="I85" i="52"/>
  <c r="J85" i="52"/>
  <c r="B83" i="52"/>
  <c r="B84" i="52"/>
  <c r="B85" i="52"/>
  <c r="AH83" i="52"/>
  <c r="AH84" i="52"/>
  <c r="AH85" i="52"/>
  <c r="AL85" i="52"/>
  <c r="AE83" i="52"/>
  <c r="AE84" i="52"/>
  <c r="AE85" i="52"/>
  <c r="AF85" i="52"/>
  <c r="AA85" i="52"/>
  <c r="AI85" i="52" s="1"/>
  <c r="I83" i="52"/>
  <c r="AA83" i="52" s="1"/>
  <c r="J83" i="52"/>
  <c r="L83" i="52"/>
  <c r="M83" i="52"/>
  <c r="I84" i="52"/>
  <c r="K84" i="52" s="1"/>
  <c r="J84" i="52"/>
  <c r="L84" i="52"/>
  <c r="M84" i="52"/>
  <c r="I82" i="52"/>
  <c r="J82" i="52"/>
  <c r="A80" i="52"/>
  <c r="AH76" i="52"/>
  <c r="AH77" i="52"/>
  <c r="AH78" i="52"/>
  <c r="AH79" i="52"/>
  <c r="AH80" i="52"/>
  <c r="AE76" i="52"/>
  <c r="AE77" i="52"/>
  <c r="AE78" i="52"/>
  <c r="AE79" i="52"/>
  <c r="AE80" i="52"/>
  <c r="AA76" i="52"/>
  <c r="AA80" i="52"/>
  <c r="I76" i="52"/>
  <c r="J76" i="52"/>
  <c r="K76" i="52"/>
  <c r="L76" i="52"/>
  <c r="M76" i="52"/>
  <c r="N76" i="52"/>
  <c r="I77" i="52"/>
  <c r="AA77" i="52" s="1"/>
  <c r="J77" i="52"/>
  <c r="L77" i="52"/>
  <c r="M77" i="52"/>
  <c r="N77" i="52"/>
  <c r="I78" i="52"/>
  <c r="AA78" i="52" s="1"/>
  <c r="J78" i="52"/>
  <c r="K78" i="52"/>
  <c r="L78" i="52"/>
  <c r="M78" i="52"/>
  <c r="N78" i="52"/>
  <c r="I79" i="52"/>
  <c r="AA79" i="52" s="1"/>
  <c r="J79" i="52"/>
  <c r="L79" i="52"/>
  <c r="M79" i="52"/>
  <c r="N79" i="52"/>
  <c r="I80" i="52"/>
  <c r="K80" i="52" s="1"/>
  <c r="J80" i="52"/>
  <c r="L80" i="52"/>
  <c r="M80" i="52"/>
  <c r="N80" i="52"/>
  <c r="N74" i="52"/>
  <c r="N75" i="52"/>
  <c r="I74" i="52"/>
  <c r="J74" i="52"/>
  <c r="I75" i="52"/>
  <c r="J75" i="52"/>
  <c r="AD72" i="52"/>
  <c r="AD91" i="52" s="1"/>
  <c r="AE72" i="52"/>
  <c r="AG72" i="52"/>
  <c r="AH72" i="52" s="1"/>
  <c r="N72" i="52"/>
  <c r="O72" i="52"/>
  <c r="O91" i="52" s="1"/>
  <c r="P72" i="52"/>
  <c r="P91" i="52" s="1"/>
  <c r="Q72" i="52"/>
  <c r="Q91" i="52" s="1"/>
  <c r="R72" i="52"/>
  <c r="R91" i="52" s="1"/>
  <c r="S72" i="52"/>
  <c r="S91" i="52" s="1"/>
  <c r="T72" i="52"/>
  <c r="T91" i="52" s="1"/>
  <c r="U72" i="52"/>
  <c r="U91" i="52" s="1"/>
  <c r="V72" i="52"/>
  <c r="V91" i="52" s="1"/>
  <c r="W72" i="52"/>
  <c r="W91" i="52" s="1"/>
  <c r="X72" i="52"/>
  <c r="X91" i="52" s="1"/>
  <c r="Y72" i="52"/>
  <c r="Y91" i="52" s="1"/>
  <c r="Z72" i="52"/>
  <c r="Z91" i="52" s="1"/>
  <c r="AH71" i="52"/>
  <c r="AI71" i="52"/>
  <c r="AB62" i="52"/>
  <c r="AB63" i="52"/>
  <c r="AN63" i="52" s="1"/>
  <c r="AB64" i="52"/>
  <c r="AB65" i="52"/>
  <c r="AB66" i="52"/>
  <c r="AB67" i="52"/>
  <c r="AN67" i="52" s="1"/>
  <c r="AB68" i="52"/>
  <c r="AM68" i="52" s="1"/>
  <c r="AB69" i="52"/>
  <c r="AM69" i="52" s="1"/>
  <c r="AB70" i="52"/>
  <c r="AB71" i="52"/>
  <c r="N60" i="52"/>
  <c r="N61" i="52"/>
  <c r="N62" i="52"/>
  <c r="N63" i="52"/>
  <c r="N64" i="52"/>
  <c r="N65" i="52"/>
  <c r="N66" i="52"/>
  <c r="N67" i="52"/>
  <c r="N68" i="52"/>
  <c r="N69" i="52"/>
  <c r="N70" i="52"/>
  <c r="N71" i="52"/>
  <c r="I71" i="52"/>
  <c r="K71" i="52" s="1"/>
  <c r="J71" i="52"/>
  <c r="I72" i="52"/>
  <c r="K72" i="52" s="1"/>
  <c r="J72" i="52"/>
  <c r="AA68" i="52"/>
  <c r="AH62" i="52"/>
  <c r="AN62" i="52" s="1"/>
  <c r="AL62" i="52"/>
  <c r="AM62" i="52"/>
  <c r="AH63" i="52"/>
  <c r="AH64" i="52"/>
  <c r="AN64" i="52"/>
  <c r="AH65" i="52"/>
  <c r="AK65" i="52"/>
  <c r="AH66" i="52"/>
  <c r="AL66" i="52"/>
  <c r="AH67" i="52"/>
  <c r="AH68" i="52"/>
  <c r="AL68" i="52"/>
  <c r="AN68" i="52"/>
  <c r="AH69" i="52"/>
  <c r="AL69" i="52"/>
  <c r="AN69" i="52"/>
  <c r="AH70" i="52"/>
  <c r="AL70" i="52"/>
  <c r="AE62" i="52"/>
  <c r="AE63" i="52"/>
  <c r="AE64" i="52"/>
  <c r="AE65" i="52"/>
  <c r="AE66" i="52"/>
  <c r="AE67" i="52"/>
  <c r="AM67" i="52" s="1"/>
  <c r="AE68" i="52"/>
  <c r="AE69" i="52"/>
  <c r="AE70" i="52"/>
  <c r="AE71" i="52"/>
  <c r="AF71" i="52"/>
  <c r="I62" i="52"/>
  <c r="J62" i="52"/>
  <c r="L62" i="52"/>
  <c r="M62" i="52"/>
  <c r="I63" i="52"/>
  <c r="AA63" i="52" s="1"/>
  <c r="J63" i="52"/>
  <c r="L63" i="52"/>
  <c r="M63" i="52"/>
  <c r="I64" i="52"/>
  <c r="K64" i="52" s="1"/>
  <c r="J64" i="52"/>
  <c r="L64" i="52"/>
  <c r="M64" i="52"/>
  <c r="I65" i="52"/>
  <c r="AA65" i="52" s="1"/>
  <c r="J65" i="52"/>
  <c r="L65" i="52"/>
  <c r="M65" i="52"/>
  <c r="I66" i="52"/>
  <c r="K66" i="52" s="1"/>
  <c r="J66" i="52"/>
  <c r="L66" i="52"/>
  <c r="M66" i="52"/>
  <c r="I67" i="52"/>
  <c r="AA67" i="52" s="1"/>
  <c r="J67" i="52"/>
  <c r="L67" i="52"/>
  <c r="M67" i="52"/>
  <c r="I68" i="52"/>
  <c r="K68" i="52" s="1"/>
  <c r="J68" i="52"/>
  <c r="L68" i="52"/>
  <c r="M68" i="52"/>
  <c r="I69" i="52"/>
  <c r="AA69" i="52" s="1"/>
  <c r="J69" i="52"/>
  <c r="K69" i="52"/>
  <c r="L69" i="52"/>
  <c r="M69" i="52"/>
  <c r="I70" i="52"/>
  <c r="AA70" i="52" s="1"/>
  <c r="J70" i="52"/>
  <c r="L70" i="52"/>
  <c r="M70" i="52"/>
  <c r="B62" i="52"/>
  <c r="I60" i="52"/>
  <c r="J60" i="52"/>
  <c r="I61" i="52"/>
  <c r="J61" i="52"/>
  <c r="B55" i="52"/>
  <c r="B56" i="52"/>
  <c r="B50" i="52"/>
  <c r="B51" i="52"/>
  <c r="B52" i="52"/>
  <c r="A47" i="52"/>
  <c r="AH35" i="52"/>
  <c r="AH36" i="52"/>
  <c r="AL36" i="52"/>
  <c r="AH37" i="52"/>
  <c r="AL37" i="52"/>
  <c r="AH38" i="52"/>
  <c r="AL38" i="52"/>
  <c r="AH39" i="52"/>
  <c r="AH40" i="52"/>
  <c r="AH41" i="52"/>
  <c r="AH42" i="52"/>
  <c r="AH43" i="52"/>
  <c r="AH44" i="52"/>
  <c r="AL44" i="52"/>
  <c r="AH45" i="52"/>
  <c r="AL45" i="52"/>
  <c r="AH46" i="52"/>
  <c r="AH47" i="52"/>
  <c r="AH48" i="52"/>
  <c r="AH49" i="52"/>
  <c r="AK49" i="52"/>
  <c r="AH50" i="52"/>
  <c r="AL50" i="52"/>
  <c r="AH51" i="52"/>
  <c r="AH52" i="52"/>
  <c r="AL52" i="52"/>
  <c r="AH53" i="52"/>
  <c r="AL53" i="52"/>
  <c r="AH54" i="52"/>
  <c r="AL54" i="52"/>
  <c r="AH55" i="52"/>
  <c r="AH56" i="52"/>
  <c r="AH57" i="52"/>
  <c r="AH58" i="52"/>
  <c r="AL58" i="52"/>
  <c r="AE35" i="52"/>
  <c r="AE36" i="52"/>
  <c r="AE37" i="52"/>
  <c r="AE38" i="52"/>
  <c r="AE39" i="52"/>
  <c r="AE40" i="52"/>
  <c r="AE41" i="52"/>
  <c r="AE42" i="52"/>
  <c r="AE43" i="52"/>
  <c r="AE44" i="52"/>
  <c r="AE45" i="52"/>
  <c r="AE46" i="52"/>
  <c r="AE47" i="52"/>
  <c r="AE48" i="52"/>
  <c r="AE49" i="52"/>
  <c r="AE50" i="52"/>
  <c r="AE51" i="52"/>
  <c r="AE52" i="52"/>
  <c r="AE53" i="52"/>
  <c r="AE54" i="52"/>
  <c r="AE55" i="52"/>
  <c r="AE56" i="52"/>
  <c r="AE57" i="52"/>
  <c r="AE58" i="52"/>
  <c r="AA36" i="52"/>
  <c r="AA40" i="52"/>
  <c r="AF40" i="52" s="1"/>
  <c r="AA44" i="52"/>
  <c r="AA48" i="52"/>
  <c r="AA52" i="52"/>
  <c r="AA56" i="52"/>
  <c r="AF56" i="52" s="1"/>
  <c r="I35" i="52"/>
  <c r="AA35" i="52" s="1"/>
  <c r="J35" i="52"/>
  <c r="K35" i="52"/>
  <c r="L35" i="52"/>
  <c r="M35" i="52"/>
  <c r="N35" i="52"/>
  <c r="I36" i="52"/>
  <c r="K36" i="52" s="1"/>
  <c r="J36" i="52"/>
  <c r="L36" i="52"/>
  <c r="M36" i="52"/>
  <c r="N36" i="52"/>
  <c r="I37" i="52"/>
  <c r="AA37" i="52" s="1"/>
  <c r="J37" i="52"/>
  <c r="L37" i="52"/>
  <c r="M37" i="52"/>
  <c r="N37" i="52"/>
  <c r="I38" i="52"/>
  <c r="K38" i="52" s="1"/>
  <c r="J38" i="52"/>
  <c r="L38" i="52"/>
  <c r="M38" i="52"/>
  <c r="N38" i="52"/>
  <c r="I39" i="52"/>
  <c r="AA39" i="52" s="1"/>
  <c r="J39" i="52"/>
  <c r="K39" i="52"/>
  <c r="L39" i="52"/>
  <c r="M39" i="52"/>
  <c r="N39" i="52"/>
  <c r="I40" i="52"/>
  <c r="K40" i="52" s="1"/>
  <c r="J40" i="52"/>
  <c r="L40" i="52"/>
  <c r="M40" i="52"/>
  <c r="N40" i="52"/>
  <c r="I41" i="52"/>
  <c r="AA41" i="52" s="1"/>
  <c r="J41" i="52"/>
  <c r="L41" i="52"/>
  <c r="M41" i="52"/>
  <c r="N41" i="52"/>
  <c r="I42" i="52"/>
  <c r="K42" i="52" s="1"/>
  <c r="J42" i="52"/>
  <c r="L42" i="52"/>
  <c r="M42" i="52"/>
  <c r="N42" i="52"/>
  <c r="I43" i="52"/>
  <c r="AA43" i="52" s="1"/>
  <c r="J43" i="52"/>
  <c r="K43" i="52"/>
  <c r="L43" i="52"/>
  <c r="M43" i="52"/>
  <c r="N43" i="52"/>
  <c r="I44" i="52"/>
  <c r="K44" i="52" s="1"/>
  <c r="J44" i="52"/>
  <c r="L44" i="52"/>
  <c r="M44" i="52"/>
  <c r="N44" i="52"/>
  <c r="I45" i="52"/>
  <c r="AA45" i="52" s="1"/>
  <c r="J45" i="52"/>
  <c r="L45" i="52"/>
  <c r="M45" i="52"/>
  <c r="N45" i="52"/>
  <c r="I46" i="52"/>
  <c r="K46" i="52" s="1"/>
  <c r="J46" i="52"/>
  <c r="L46" i="52"/>
  <c r="M46" i="52"/>
  <c r="N46" i="52"/>
  <c r="I47" i="52"/>
  <c r="AA47" i="52" s="1"/>
  <c r="J47" i="52"/>
  <c r="L47" i="52"/>
  <c r="M47" i="52"/>
  <c r="N47" i="52"/>
  <c r="I48" i="52"/>
  <c r="K48" i="52" s="1"/>
  <c r="J48" i="52"/>
  <c r="L48" i="52"/>
  <c r="M48" i="52"/>
  <c r="N48" i="52"/>
  <c r="I49" i="52"/>
  <c r="AA49" i="52" s="1"/>
  <c r="J49" i="52"/>
  <c r="L49" i="52"/>
  <c r="M49" i="52"/>
  <c r="N49" i="52"/>
  <c r="I50" i="52"/>
  <c r="K50" i="52" s="1"/>
  <c r="J50" i="52"/>
  <c r="L50" i="52"/>
  <c r="M50" i="52"/>
  <c r="N50" i="52"/>
  <c r="I51" i="52"/>
  <c r="J51" i="52"/>
  <c r="L51" i="52"/>
  <c r="M51" i="52"/>
  <c r="N51" i="52"/>
  <c r="I52" i="52"/>
  <c r="K52" i="52" s="1"/>
  <c r="J52" i="52"/>
  <c r="L52" i="52"/>
  <c r="M52" i="52"/>
  <c r="N52" i="52"/>
  <c r="I53" i="52"/>
  <c r="AA53" i="52" s="1"/>
  <c r="J53" i="52"/>
  <c r="L53" i="52"/>
  <c r="M53" i="52"/>
  <c r="N53" i="52"/>
  <c r="I54" i="52"/>
  <c r="K54" i="52" s="1"/>
  <c r="J54" i="52"/>
  <c r="L54" i="52"/>
  <c r="M54" i="52"/>
  <c r="N54" i="52"/>
  <c r="I55" i="52"/>
  <c r="AA55" i="52" s="1"/>
  <c r="J55" i="52"/>
  <c r="L55" i="52"/>
  <c r="M55" i="52"/>
  <c r="N55" i="52"/>
  <c r="I56" i="52"/>
  <c r="K56" i="52" s="1"/>
  <c r="J56" i="52"/>
  <c r="L56" i="52"/>
  <c r="M56" i="52"/>
  <c r="N56" i="52"/>
  <c r="I57" i="52"/>
  <c r="AA57" i="52" s="1"/>
  <c r="J57" i="52"/>
  <c r="L57" i="52"/>
  <c r="M57" i="52"/>
  <c r="N57" i="52"/>
  <c r="I58" i="52"/>
  <c r="K58" i="52" s="1"/>
  <c r="J58" i="52"/>
  <c r="L58" i="52"/>
  <c r="M58" i="52"/>
  <c r="N58" i="52"/>
  <c r="N33" i="52"/>
  <c r="N34" i="52"/>
  <c r="I33" i="52"/>
  <c r="J33" i="52"/>
  <c r="I34" i="52"/>
  <c r="J34" i="52"/>
  <c r="AG32" i="52"/>
  <c r="AL32" i="52" s="1"/>
  <c r="AD32" i="52"/>
  <c r="AK32" i="52" s="1"/>
  <c r="O32" i="52"/>
  <c r="P32" i="52"/>
  <c r="Q32" i="52"/>
  <c r="R32" i="52"/>
  <c r="S32" i="52"/>
  <c r="T32" i="52"/>
  <c r="U32" i="52"/>
  <c r="V32" i="52"/>
  <c r="W32" i="52"/>
  <c r="X32" i="52"/>
  <c r="Y32" i="52"/>
  <c r="Z32" i="52"/>
  <c r="AJ32" i="52" s="1"/>
  <c r="AJ31" i="52"/>
  <c r="AK31" i="52"/>
  <c r="AM31" i="52" s="1"/>
  <c r="AL31" i="52"/>
  <c r="AN31" i="52" s="1"/>
  <c r="AG31" i="52"/>
  <c r="AD31" i="52"/>
  <c r="O31" i="52"/>
  <c r="P31" i="52"/>
  <c r="Q31" i="52"/>
  <c r="R31" i="52"/>
  <c r="S31" i="52"/>
  <c r="T31" i="52"/>
  <c r="U31" i="52"/>
  <c r="V31" i="52"/>
  <c r="W31" i="52"/>
  <c r="X31" i="52"/>
  <c r="Y31" i="52"/>
  <c r="Z31" i="52"/>
  <c r="AA31" i="52"/>
  <c r="N26" i="52"/>
  <c r="N27" i="52"/>
  <c r="N28" i="52"/>
  <c r="N29" i="52"/>
  <c r="B22" i="52"/>
  <c r="B23" i="52"/>
  <c r="AG16" i="52"/>
  <c r="AG19" i="52"/>
  <c r="AG20" i="52"/>
  <c r="AL80" i="52" s="1"/>
  <c r="AD19" i="52"/>
  <c r="AD20" i="52"/>
  <c r="AK79" i="52" s="1"/>
  <c r="G19" i="52"/>
  <c r="G20" i="52"/>
  <c r="N19" i="52"/>
  <c r="O19" i="52"/>
  <c r="P19" i="52"/>
  <c r="Q19" i="52"/>
  <c r="R19" i="52"/>
  <c r="S19" i="52"/>
  <c r="T19" i="52"/>
  <c r="U19" i="52"/>
  <c r="V19" i="52"/>
  <c r="W19" i="52"/>
  <c r="X19" i="52"/>
  <c r="Y19" i="52"/>
  <c r="Z19" i="52"/>
  <c r="N20" i="52"/>
  <c r="O20" i="52"/>
  <c r="P20" i="52"/>
  <c r="Q20" i="52"/>
  <c r="R20" i="52"/>
  <c r="S20" i="52"/>
  <c r="T20" i="52"/>
  <c r="U20" i="52"/>
  <c r="V20" i="52"/>
  <c r="W20" i="52"/>
  <c r="X20" i="52"/>
  <c r="Y20" i="52"/>
  <c r="Z20" i="52"/>
  <c r="B17" i="52"/>
  <c r="B18" i="52"/>
  <c r="B19" i="52"/>
  <c r="O16" i="52"/>
  <c r="P16" i="52"/>
  <c r="Q16" i="52"/>
  <c r="R16" i="52"/>
  <c r="S16" i="52"/>
  <c r="T16" i="52"/>
  <c r="U16" i="52"/>
  <c r="V16" i="52"/>
  <c r="W16" i="52"/>
  <c r="X16" i="52"/>
  <c r="Y16" i="52"/>
  <c r="AA16" i="52"/>
  <c r="O17" i="52"/>
  <c r="P17" i="52"/>
  <c r="Q17" i="52"/>
  <c r="R17" i="52"/>
  <c r="S17" i="52"/>
  <c r="T17" i="52"/>
  <c r="U17" i="52"/>
  <c r="V17" i="52"/>
  <c r="W17" i="52"/>
  <c r="X17" i="52"/>
  <c r="Y17" i="52"/>
  <c r="Z17" i="52"/>
  <c r="AA17" i="52" s="1"/>
  <c r="AA11" i="52" s="1"/>
  <c r="A14" i="52"/>
  <c r="AG12" i="52"/>
  <c r="AG13" i="52"/>
  <c r="AD12" i="52"/>
  <c r="AD13" i="52"/>
  <c r="B12" i="52"/>
  <c r="B13" i="52"/>
  <c r="O11" i="52"/>
  <c r="P11" i="52"/>
  <c r="Q11" i="52"/>
  <c r="R11" i="52"/>
  <c r="S11" i="52"/>
  <c r="T11" i="52"/>
  <c r="U11" i="52"/>
  <c r="V11" i="52"/>
  <c r="W11" i="52"/>
  <c r="X11" i="52"/>
  <c r="Y11" i="52"/>
  <c r="Z11" i="52"/>
  <c r="O12" i="52"/>
  <c r="P12" i="52"/>
  <c r="Q12" i="52"/>
  <c r="R12" i="52"/>
  <c r="S12" i="52"/>
  <c r="T12" i="52"/>
  <c r="U12" i="52"/>
  <c r="V12" i="52"/>
  <c r="W12" i="52"/>
  <c r="X12" i="52"/>
  <c r="Y12" i="52"/>
  <c r="Z12" i="52"/>
  <c r="AA12" i="52"/>
  <c r="O13" i="52"/>
  <c r="P13" i="52"/>
  <c r="Q13" i="52"/>
  <c r="R13" i="52"/>
  <c r="S13" i="52"/>
  <c r="T13" i="52"/>
  <c r="U13" i="52"/>
  <c r="V13" i="52"/>
  <c r="W13" i="52"/>
  <c r="X13" i="52"/>
  <c r="Y13" i="52"/>
  <c r="Z13" i="52"/>
  <c r="AA13" i="52"/>
  <c r="C10" i="52"/>
  <c r="D10" i="52"/>
  <c r="C9" i="52"/>
  <c r="C1" i="52"/>
  <c r="C2" i="52"/>
  <c r="C3" i="52"/>
  <c r="C4" i="52"/>
  <c r="C5" i="52"/>
  <c r="C6" i="52"/>
  <c r="C7" i="52"/>
  <c r="C8" i="52"/>
  <c r="E6" i="52"/>
  <c r="B29" i="52" s="1"/>
  <c r="E4" i="52"/>
  <c r="F4" i="52"/>
  <c r="B3" i="52"/>
  <c r="H2" i="52" s="1"/>
  <c r="N1" i="52"/>
  <c r="N1" i="56" s="1"/>
  <c r="AG143" i="55"/>
  <c r="AG144" i="55"/>
  <c r="AG145" i="55"/>
  <c r="AG146" i="55"/>
  <c r="AD143" i="55"/>
  <c r="AD144" i="55"/>
  <c r="AD145" i="55"/>
  <c r="AD146" i="55"/>
  <c r="O143" i="55"/>
  <c r="P143" i="55"/>
  <c r="Q143" i="55"/>
  <c r="R143" i="55"/>
  <c r="S143" i="55"/>
  <c r="T143" i="55"/>
  <c r="U143" i="55"/>
  <c r="V143" i="55"/>
  <c r="W143" i="55"/>
  <c r="X143" i="55"/>
  <c r="Y143" i="55"/>
  <c r="Z143" i="55"/>
  <c r="O144" i="55"/>
  <c r="P144" i="55"/>
  <c r="Q144" i="55"/>
  <c r="R144" i="55"/>
  <c r="S144" i="55"/>
  <c r="T144" i="55"/>
  <c r="U144" i="55"/>
  <c r="V144" i="55"/>
  <c r="W144" i="55"/>
  <c r="X144" i="55"/>
  <c r="Y144" i="55"/>
  <c r="Z144" i="55"/>
  <c r="O145" i="55"/>
  <c r="P145" i="55"/>
  <c r="Q145" i="55"/>
  <c r="R145" i="55"/>
  <c r="S145" i="55"/>
  <c r="T145" i="55"/>
  <c r="U145" i="55"/>
  <c r="V145" i="55"/>
  <c r="W145" i="55"/>
  <c r="X145" i="55"/>
  <c r="Y145" i="55"/>
  <c r="Z145" i="55"/>
  <c r="O146" i="55"/>
  <c r="P146" i="55"/>
  <c r="Q146" i="55"/>
  <c r="R146" i="55"/>
  <c r="S146" i="55"/>
  <c r="T146" i="55"/>
  <c r="U146" i="55"/>
  <c r="V146" i="55"/>
  <c r="W146" i="55"/>
  <c r="X146" i="55"/>
  <c r="Y146" i="55"/>
  <c r="Z146" i="55"/>
  <c r="AI131" i="55"/>
  <c r="AI133" i="55"/>
  <c r="AI135" i="55"/>
  <c r="AI137" i="55"/>
  <c r="AI139" i="55"/>
  <c r="AI140" i="55"/>
  <c r="AG141" i="55"/>
  <c r="AD141" i="55"/>
  <c r="O141" i="55"/>
  <c r="P141" i="55"/>
  <c r="Q141" i="55"/>
  <c r="R141" i="55"/>
  <c r="S141" i="55"/>
  <c r="T141" i="55"/>
  <c r="U141" i="55"/>
  <c r="V141" i="55"/>
  <c r="W141" i="55"/>
  <c r="X141" i="55"/>
  <c r="Y141" i="55"/>
  <c r="Z141" i="55"/>
  <c r="AH140" i="55"/>
  <c r="AE140" i="55"/>
  <c r="AA140" i="55"/>
  <c r="AF140" i="55" s="1"/>
  <c r="AB140" i="55"/>
  <c r="AF131" i="55"/>
  <c r="AF133" i="55"/>
  <c r="AF135" i="55"/>
  <c r="AF137" i="55"/>
  <c r="AF139" i="55"/>
  <c r="AH138" i="55"/>
  <c r="AE138" i="55"/>
  <c r="AA138" i="55"/>
  <c r="AI138" i="55" s="1"/>
  <c r="AB138" i="55"/>
  <c r="AH136" i="55"/>
  <c r="AE136" i="55"/>
  <c r="AA136" i="55"/>
  <c r="AI136" i="55" s="1"/>
  <c r="AB136" i="55"/>
  <c r="AH134" i="55"/>
  <c r="AE134" i="55"/>
  <c r="AA134" i="55"/>
  <c r="AB134" i="55"/>
  <c r="AH132" i="55"/>
  <c r="AE132" i="55"/>
  <c r="AA132" i="55"/>
  <c r="AI132" i="55" s="1"/>
  <c r="AB132" i="55"/>
  <c r="AH130" i="55"/>
  <c r="AE130" i="55"/>
  <c r="AA130" i="55"/>
  <c r="AB130" i="55"/>
  <c r="L130" i="55"/>
  <c r="M130" i="55"/>
  <c r="N130" i="55"/>
  <c r="L131" i="55"/>
  <c r="M131" i="55"/>
  <c r="N131" i="55"/>
  <c r="L132" i="55"/>
  <c r="M132" i="55"/>
  <c r="N132" i="55"/>
  <c r="L133" i="55"/>
  <c r="M133" i="55"/>
  <c r="N133" i="55"/>
  <c r="L134" i="55"/>
  <c r="M134" i="55"/>
  <c r="N134" i="55"/>
  <c r="L135" i="55"/>
  <c r="M135" i="55"/>
  <c r="N135" i="55"/>
  <c r="L136" i="55"/>
  <c r="M136" i="55"/>
  <c r="N136" i="55"/>
  <c r="L137" i="55"/>
  <c r="M137" i="55"/>
  <c r="N137" i="55"/>
  <c r="L138" i="55"/>
  <c r="M138" i="55"/>
  <c r="N138" i="55"/>
  <c r="L139" i="55"/>
  <c r="M139" i="55"/>
  <c r="N139" i="55"/>
  <c r="L140" i="55"/>
  <c r="M140" i="55"/>
  <c r="N140" i="55"/>
  <c r="N129" i="55"/>
  <c r="AG121" i="55"/>
  <c r="AG122" i="55"/>
  <c r="AG123" i="55"/>
  <c r="AH123" i="55" s="1"/>
  <c r="AG124" i="55"/>
  <c r="AH124" i="55" s="1"/>
  <c r="AG125" i="55"/>
  <c r="AH125" i="55" s="1"/>
  <c r="AD121" i="55"/>
  <c r="AD122" i="55"/>
  <c r="AE122" i="55" s="1"/>
  <c r="AD123" i="55"/>
  <c r="AD124" i="55"/>
  <c r="AE124" i="55" s="1"/>
  <c r="AD125" i="55"/>
  <c r="AE125" i="55" s="1"/>
  <c r="AE121" i="55"/>
  <c r="AE123" i="55"/>
  <c r="L121" i="55"/>
  <c r="M121" i="55"/>
  <c r="N121" i="55"/>
  <c r="O121" i="55"/>
  <c r="P121" i="55"/>
  <c r="Q121" i="55"/>
  <c r="R121" i="55"/>
  <c r="R126" i="55" s="1"/>
  <c r="R127" i="55" s="1"/>
  <c r="S121" i="55"/>
  <c r="T121" i="55"/>
  <c r="T126" i="55" s="1"/>
  <c r="T127" i="55" s="1"/>
  <c r="U121" i="55"/>
  <c r="V121" i="55"/>
  <c r="W121" i="55"/>
  <c r="X121" i="55"/>
  <c r="X126" i="55" s="1"/>
  <c r="X127" i="55" s="1"/>
  <c r="Y121" i="55"/>
  <c r="Z121" i="55"/>
  <c r="Z126" i="55" s="1"/>
  <c r="Z127" i="55" s="1"/>
  <c r="L122" i="55"/>
  <c r="M122" i="55"/>
  <c r="N122" i="55"/>
  <c r="O122" i="55"/>
  <c r="P122" i="55"/>
  <c r="Q122" i="55"/>
  <c r="R122" i="55"/>
  <c r="S122" i="55"/>
  <c r="T122" i="55"/>
  <c r="U122" i="55"/>
  <c r="AA122" i="55" s="1"/>
  <c r="AF122" i="55" s="1"/>
  <c r="V122" i="55"/>
  <c r="W122" i="55"/>
  <c r="X122" i="55"/>
  <c r="Y122" i="55"/>
  <c r="Z122" i="55"/>
  <c r="L123" i="55"/>
  <c r="M123" i="55"/>
  <c r="N123" i="55"/>
  <c r="O123" i="55"/>
  <c r="P123" i="55"/>
  <c r="Q123" i="55"/>
  <c r="R123" i="55"/>
  <c r="S123" i="55"/>
  <c r="T123" i="55"/>
  <c r="U123" i="55"/>
  <c r="V123" i="55"/>
  <c r="W123" i="55"/>
  <c r="X123" i="55"/>
  <c r="Y123" i="55"/>
  <c r="Z123" i="55"/>
  <c r="L124" i="55"/>
  <c r="M124" i="55"/>
  <c r="N124" i="55"/>
  <c r="O124" i="55"/>
  <c r="P124" i="55"/>
  <c r="Q124" i="55"/>
  <c r="R124" i="55"/>
  <c r="S124" i="55"/>
  <c r="T124" i="55"/>
  <c r="U124" i="55"/>
  <c r="V124" i="55"/>
  <c r="W124" i="55"/>
  <c r="X124" i="55"/>
  <c r="Y124" i="55"/>
  <c r="Z124" i="55"/>
  <c r="L125" i="55"/>
  <c r="M125" i="55"/>
  <c r="N125" i="55"/>
  <c r="O125" i="55"/>
  <c r="P125" i="55"/>
  <c r="Q125" i="55"/>
  <c r="R125" i="55"/>
  <c r="S125" i="55"/>
  <c r="T125" i="55"/>
  <c r="U125" i="55"/>
  <c r="V125" i="55"/>
  <c r="W125" i="55"/>
  <c r="W126" i="55" s="1"/>
  <c r="W127" i="55" s="1"/>
  <c r="X125" i="55"/>
  <c r="Y125" i="55"/>
  <c r="Z125" i="55"/>
  <c r="L126" i="55"/>
  <c r="M126" i="55"/>
  <c r="N126" i="55"/>
  <c r="AH114" i="55"/>
  <c r="AH115" i="55"/>
  <c r="AH116" i="55"/>
  <c r="AH117" i="55"/>
  <c r="AH118" i="55"/>
  <c r="AH119" i="55"/>
  <c r="AE114" i="55"/>
  <c r="AE115" i="55"/>
  <c r="AE116" i="55"/>
  <c r="AE117" i="55"/>
  <c r="AE118" i="55"/>
  <c r="AE119" i="55"/>
  <c r="AA114" i="55"/>
  <c r="AI114" i="55" s="1"/>
  <c r="AA115" i="55"/>
  <c r="AF115" i="55" s="1"/>
  <c r="AA116" i="55"/>
  <c r="AA117" i="55"/>
  <c r="AI117" i="55" s="1"/>
  <c r="AA118" i="55"/>
  <c r="AI118" i="55" s="1"/>
  <c r="AA119" i="55"/>
  <c r="AF119" i="55" s="1"/>
  <c r="L114" i="55"/>
  <c r="M114" i="55"/>
  <c r="N114" i="55"/>
  <c r="L115" i="55"/>
  <c r="M115" i="55"/>
  <c r="N115" i="55"/>
  <c r="L116" i="55"/>
  <c r="M116" i="55"/>
  <c r="N116" i="55"/>
  <c r="L117" i="55"/>
  <c r="M117" i="55"/>
  <c r="N117" i="55"/>
  <c r="L118" i="55"/>
  <c r="M118" i="55"/>
  <c r="N118" i="55"/>
  <c r="L119" i="55"/>
  <c r="M119" i="55"/>
  <c r="N119" i="55"/>
  <c r="AH106" i="55"/>
  <c r="AH108" i="55"/>
  <c r="AH109" i="55"/>
  <c r="AH110" i="55"/>
  <c r="AE106" i="55"/>
  <c r="AE107" i="55"/>
  <c r="AE108" i="55"/>
  <c r="AE109" i="55"/>
  <c r="AE110" i="55"/>
  <c r="AE111" i="55"/>
  <c r="AA106" i="55"/>
  <c r="AI106" i="55" s="1"/>
  <c r="AA107" i="55"/>
  <c r="AI107" i="55" s="1"/>
  <c r="AA108" i="55"/>
  <c r="AF108" i="55" s="1"/>
  <c r="AA109" i="55"/>
  <c r="AI109" i="55" s="1"/>
  <c r="AA110" i="55"/>
  <c r="AI110" i="55" s="1"/>
  <c r="AA111" i="55"/>
  <c r="AI111" i="55" s="1"/>
  <c r="L106" i="55"/>
  <c r="M106" i="55"/>
  <c r="N106" i="55"/>
  <c r="L107" i="55"/>
  <c r="M107" i="55"/>
  <c r="N107" i="55"/>
  <c r="L108" i="55"/>
  <c r="M108" i="55"/>
  <c r="N108" i="55"/>
  <c r="L109" i="55"/>
  <c r="M109" i="55"/>
  <c r="N109" i="55"/>
  <c r="L110" i="55"/>
  <c r="M110" i="55"/>
  <c r="N110" i="55"/>
  <c r="L111" i="55"/>
  <c r="M111" i="55"/>
  <c r="N111" i="55"/>
  <c r="AH98" i="55"/>
  <c r="AH100" i="55"/>
  <c r="AH101" i="55"/>
  <c r="AH102" i="55"/>
  <c r="AE98" i="55"/>
  <c r="AF98" i="55"/>
  <c r="AE99" i="55"/>
  <c r="AE100" i="55"/>
  <c r="AE101" i="55"/>
  <c r="AE102" i="55"/>
  <c r="AF102" i="55"/>
  <c r="AE103" i="55"/>
  <c r="AA98" i="55"/>
  <c r="AI98" i="55" s="1"/>
  <c r="AA99" i="55"/>
  <c r="AI99" i="55" s="1"/>
  <c r="AA100" i="55"/>
  <c r="AI100" i="55" s="1"/>
  <c r="AA101" i="55"/>
  <c r="AF101" i="55" s="1"/>
  <c r="AA102" i="55"/>
  <c r="AI102" i="55" s="1"/>
  <c r="AA103" i="55"/>
  <c r="AI103" i="55" s="1"/>
  <c r="L98" i="55"/>
  <c r="M98" i="55"/>
  <c r="N98" i="55"/>
  <c r="L99" i="55"/>
  <c r="M99" i="55"/>
  <c r="N99" i="55"/>
  <c r="L100" i="55"/>
  <c r="M100" i="55"/>
  <c r="N100" i="55"/>
  <c r="L101" i="55"/>
  <c r="M101" i="55"/>
  <c r="N101" i="55"/>
  <c r="L102" i="55"/>
  <c r="M102" i="55"/>
  <c r="N102" i="55"/>
  <c r="L103" i="55"/>
  <c r="M103" i="55"/>
  <c r="N103" i="55"/>
  <c r="AD93" i="55"/>
  <c r="AD94" i="55"/>
  <c r="AG93" i="55"/>
  <c r="AG94" i="55"/>
  <c r="O93" i="55"/>
  <c r="P93" i="55"/>
  <c r="Q93" i="55"/>
  <c r="R93" i="55"/>
  <c r="S93" i="55"/>
  <c r="T93" i="55"/>
  <c r="U93" i="55"/>
  <c r="V93" i="55"/>
  <c r="W93" i="55"/>
  <c r="X93" i="55"/>
  <c r="Y93" i="55"/>
  <c r="Z93" i="55"/>
  <c r="O94" i="55"/>
  <c r="P94" i="55"/>
  <c r="Q94" i="55"/>
  <c r="R94" i="55"/>
  <c r="S94" i="55"/>
  <c r="T94" i="55"/>
  <c r="U94" i="55"/>
  <c r="V94" i="55"/>
  <c r="W94" i="55"/>
  <c r="X94" i="55"/>
  <c r="Y94" i="55"/>
  <c r="Z94" i="55"/>
  <c r="AF92" i="55"/>
  <c r="AA91" i="55"/>
  <c r="AA92" i="55"/>
  <c r="AI92" i="55" s="1"/>
  <c r="N91" i="55"/>
  <c r="N92" i="55"/>
  <c r="I91" i="55"/>
  <c r="J91" i="55"/>
  <c r="I92" i="55"/>
  <c r="J92" i="55"/>
  <c r="AI87" i="55"/>
  <c r="AA35" i="55"/>
  <c r="AA36" i="55"/>
  <c r="AA37" i="55"/>
  <c r="AB37" i="55" s="1"/>
  <c r="AA38" i="55"/>
  <c r="AA39" i="55"/>
  <c r="AB39" i="55" s="1"/>
  <c r="AA40" i="55"/>
  <c r="AF40" i="55" s="1"/>
  <c r="AA41" i="55"/>
  <c r="AA45" i="55"/>
  <c r="AI45" i="55" s="1"/>
  <c r="AA46" i="55"/>
  <c r="AI46" i="55" s="1"/>
  <c r="AA47" i="55"/>
  <c r="AF47" i="55" s="1"/>
  <c r="AA48" i="55"/>
  <c r="AF48" i="55" s="1"/>
  <c r="AA49" i="55"/>
  <c r="AA50" i="55"/>
  <c r="AA51" i="55"/>
  <c r="AF51" i="55" s="1"/>
  <c r="AA53" i="55"/>
  <c r="AA55" i="55"/>
  <c r="AF55" i="55" s="1"/>
  <c r="AA56" i="55"/>
  <c r="AA57" i="55"/>
  <c r="AB57" i="55" s="1"/>
  <c r="AA58" i="55"/>
  <c r="AA59" i="55"/>
  <c r="AA60" i="55"/>
  <c r="AI60" i="55" s="1"/>
  <c r="AA61" i="55"/>
  <c r="AB61" i="55" s="1"/>
  <c r="AA65" i="55"/>
  <c r="AB65" i="55" s="1"/>
  <c r="AA66" i="55"/>
  <c r="AB66" i="55" s="1"/>
  <c r="AA67" i="55"/>
  <c r="AA68" i="55"/>
  <c r="AA69" i="55"/>
  <c r="AA73" i="55" s="1"/>
  <c r="AA70" i="55"/>
  <c r="AA71" i="55"/>
  <c r="AI71" i="55" s="1"/>
  <c r="AA75" i="55"/>
  <c r="AB75" i="55" s="1"/>
  <c r="AA76" i="55"/>
  <c r="AF76" i="55" s="1"/>
  <c r="AA77" i="55"/>
  <c r="AF77" i="55" s="1"/>
  <c r="AA78" i="55"/>
  <c r="AA79" i="55"/>
  <c r="AA81" i="55" s="1"/>
  <c r="AF81" i="55" s="1"/>
  <c r="AA80" i="55"/>
  <c r="AA83" i="55"/>
  <c r="AF83" i="55" s="1"/>
  <c r="AA85" i="55"/>
  <c r="AA86" i="55"/>
  <c r="AI86" i="55" s="1"/>
  <c r="AA87" i="55"/>
  <c r="N85" i="55"/>
  <c r="N143" i="55" s="1"/>
  <c r="N86" i="55"/>
  <c r="N87" i="55"/>
  <c r="N144" i="55" s="1"/>
  <c r="N88" i="55"/>
  <c r="N145" i="55" s="1"/>
  <c r="AE87" i="55"/>
  <c r="AE83" i="55"/>
  <c r="AE85" i="55"/>
  <c r="L85" i="55"/>
  <c r="M85" i="55"/>
  <c r="L86" i="55"/>
  <c r="M86" i="55"/>
  <c r="L87" i="55"/>
  <c r="M87" i="55"/>
  <c r="I85" i="55"/>
  <c r="J85" i="55"/>
  <c r="I86" i="55"/>
  <c r="J86" i="55"/>
  <c r="I87" i="55"/>
  <c r="J87" i="55"/>
  <c r="I88" i="55"/>
  <c r="J88" i="55"/>
  <c r="O84" i="55"/>
  <c r="T84" i="55"/>
  <c r="AI83" i="55"/>
  <c r="AB83" i="55"/>
  <c r="L83" i="55"/>
  <c r="M83" i="55"/>
  <c r="N83" i="55"/>
  <c r="I83" i="55"/>
  <c r="J83" i="55"/>
  <c r="AG82" i="55"/>
  <c r="AH84" i="55" s="1"/>
  <c r="AD82" i="55"/>
  <c r="AE84" i="55" s="1"/>
  <c r="O82" i="55"/>
  <c r="P82" i="55"/>
  <c r="P84" i="55" s="1"/>
  <c r="Q82" i="55"/>
  <c r="Q84" i="55" s="1"/>
  <c r="R82" i="55"/>
  <c r="R84" i="55" s="1"/>
  <c r="S82" i="55"/>
  <c r="S84" i="55" s="1"/>
  <c r="T82" i="55"/>
  <c r="U82" i="55"/>
  <c r="U84" i="55" s="1"/>
  <c r="V82" i="55"/>
  <c r="V84" i="55" s="1"/>
  <c r="W82" i="55"/>
  <c r="W84" i="55" s="1"/>
  <c r="X82" i="55"/>
  <c r="X84" i="55" s="1"/>
  <c r="Y82" i="55"/>
  <c r="Y84" i="55" s="1"/>
  <c r="Z82" i="55"/>
  <c r="Z84" i="55" s="1"/>
  <c r="AI76" i="55"/>
  <c r="AI79" i="55"/>
  <c r="AF79" i="55"/>
  <c r="AH75" i="55"/>
  <c r="AH76" i="55"/>
  <c r="AH77" i="55"/>
  <c r="AH78" i="55"/>
  <c r="AH79" i="55"/>
  <c r="AH80" i="55"/>
  <c r="AE75" i="55"/>
  <c r="AE76" i="55"/>
  <c r="AE77" i="55"/>
  <c r="AE78" i="55"/>
  <c r="AE79" i="55"/>
  <c r="AE80" i="55"/>
  <c r="AB76" i="55"/>
  <c r="AB79" i="55"/>
  <c r="L75" i="55"/>
  <c r="M75" i="55"/>
  <c r="N75" i="55"/>
  <c r="L76" i="55"/>
  <c r="M76" i="55"/>
  <c r="N76" i="55"/>
  <c r="L77" i="55"/>
  <c r="M77" i="55"/>
  <c r="N77" i="55"/>
  <c r="L78" i="55"/>
  <c r="M78" i="55"/>
  <c r="N78" i="55"/>
  <c r="L79" i="55"/>
  <c r="M79" i="55"/>
  <c r="N79" i="55"/>
  <c r="L80" i="55"/>
  <c r="M80" i="55"/>
  <c r="N80" i="55"/>
  <c r="L81" i="55"/>
  <c r="M81" i="55"/>
  <c r="N81" i="55"/>
  <c r="I75" i="55"/>
  <c r="J75" i="55"/>
  <c r="I76" i="55"/>
  <c r="J76" i="55"/>
  <c r="I77" i="55"/>
  <c r="J77" i="55"/>
  <c r="I78" i="55"/>
  <c r="J78" i="55"/>
  <c r="I79" i="55"/>
  <c r="J79" i="55"/>
  <c r="I80" i="55"/>
  <c r="J80" i="55"/>
  <c r="I81" i="55"/>
  <c r="J81" i="55"/>
  <c r="AG73" i="55"/>
  <c r="AH74" i="55" s="1"/>
  <c r="AD73" i="55"/>
  <c r="AE74" i="55" s="1"/>
  <c r="O73" i="55"/>
  <c r="O74" i="55" s="1"/>
  <c r="P73" i="55"/>
  <c r="P74" i="55" s="1"/>
  <c r="Q73" i="55"/>
  <c r="R73" i="55"/>
  <c r="R74" i="55" s="1"/>
  <c r="S73" i="55"/>
  <c r="S74" i="55" s="1"/>
  <c r="T73" i="55"/>
  <c r="U73" i="55"/>
  <c r="U74" i="55" s="1"/>
  <c r="V73" i="55"/>
  <c r="V74" i="55" s="1"/>
  <c r="W73" i="55"/>
  <c r="X73" i="55"/>
  <c r="X74" i="55" s="1"/>
  <c r="Y73" i="55"/>
  <c r="Z73" i="55"/>
  <c r="Z74" i="55" s="1"/>
  <c r="Q74" i="55"/>
  <c r="T74" i="55"/>
  <c r="W74" i="55"/>
  <c r="Y74" i="55"/>
  <c r="AI68" i="55"/>
  <c r="AI70" i="55"/>
  <c r="AF66" i="55"/>
  <c r="AF68" i="55"/>
  <c r="AF70" i="55"/>
  <c r="AF71" i="55"/>
  <c r="AH71" i="55"/>
  <c r="AE71" i="55"/>
  <c r="AH64" i="55"/>
  <c r="AH65" i="55"/>
  <c r="AH66" i="55"/>
  <c r="AH67" i="55"/>
  <c r="AH68" i="55"/>
  <c r="AH69" i="55"/>
  <c r="AE65" i="55"/>
  <c r="AE66" i="55"/>
  <c r="AE67" i="55"/>
  <c r="AE68" i="55"/>
  <c r="AE69" i="55"/>
  <c r="AB68" i="55"/>
  <c r="L65" i="55"/>
  <c r="M65" i="55"/>
  <c r="N65" i="55"/>
  <c r="L66" i="55"/>
  <c r="M66" i="55"/>
  <c r="N66" i="55"/>
  <c r="L67" i="55"/>
  <c r="M67" i="55"/>
  <c r="N67" i="55"/>
  <c r="L68" i="55"/>
  <c r="M68" i="55"/>
  <c r="N68" i="55"/>
  <c r="L69" i="55"/>
  <c r="M69" i="55"/>
  <c r="N69" i="55"/>
  <c r="L70" i="55"/>
  <c r="M70" i="55"/>
  <c r="N70" i="55"/>
  <c r="L71" i="55"/>
  <c r="M71" i="55"/>
  <c r="N71" i="55"/>
  <c r="L72" i="55"/>
  <c r="M72" i="55"/>
  <c r="N72" i="55"/>
  <c r="I65" i="55"/>
  <c r="J65" i="55"/>
  <c r="I66" i="55"/>
  <c r="J66" i="55"/>
  <c r="I67" i="55"/>
  <c r="J67" i="55"/>
  <c r="I68" i="55"/>
  <c r="J68" i="55"/>
  <c r="I69" i="55"/>
  <c r="J69" i="55"/>
  <c r="I70" i="55"/>
  <c r="J70" i="55"/>
  <c r="I71" i="55"/>
  <c r="J71" i="55"/>
  <c r="I72" i="55"/>
  <c r="J72" i="55"/>
  <c r="AG63" i="55"/>
  <c r="AD63" i="55"/>
  <c r="AE64" i="55" s="1"/>
  <c r="O63" i="55"/>
  <c r="O64" i="55" s="1"/>
  <c r="P63" i="55"/>
  <c r="P64" i="55" s="1"/>
  <c r="Q63" i="55"/>
  <c r="Q64" i="55" s="1"/>
  <c r="R63" i="55"/>
  <c r="R64" i="55" s="1"/>
  <c r="S63" i="55"/>
  <c r="S64" i="55" s="1"/>
  <c r="T63" i="55"/>
  <c r="T64" i="55" s="1"/>
  <c r="U63" i="55"/>
  <c r="V63" i="55"/>
  <c r="V64" i="55" s="1"/>
  <c r="W63" i="55"/>
  <c r="X63" i="55"/>
  <c r="X64" i="55" s="1"/>
  <c r="Y63" i="55"/>
  <c r="Y64" i="55" s="1"/>
  <c r="Z63" i="55"/>
  <c r="Z64" i="55" s="1"/>
  <c r="U64" i="55"/>
  <c r="W64" i="55"/>
  <c r="AI55" i="55"/>
  <c r="AI57" i="55"/>
  <c r="AI59" i="55"/>
  <c r="AI61" i="55"/>
  <c r="AF56" i="55"/>
  <c r="AF59" i="55"/>
  <c r="AF60" i="55"/>
  <c r="AH61" i="55"/>
  <c r="AE61" i="55"/>
  <c r="AH55" i="55"/>
  <c r="AH56" i="55"/>
  <c r="AH57" i="55"/>
  <c r="AH58" i="55"/>
  <c r="AH59" i="55"/>
  <c r="AE55" i="55"/>
  <c r="AE56" i="55"/>
  <c r="AE57" i="55"/>
  <c r="AE58" i="55"/>
  <c r="AE59" i="55"/>
  <c r="AB55" i="55"/>
  <c r="AB58" i="55"/>
  <c r="AB59" i="55"/>
  <c r="L55" i="55"/>
  <c r="M55" i="55"/>
  <c r="N55" i="55"/>
  <c r="L56" i="55"/>
  <c r="M56" i="55"/>
  <c r="N56" i="55"/>
  <c r="L57" i="55"/>
  <c r="M57" i="55"/>
  <c r="N57" i="55"/>
  <c r="L58" i="55"/>
  <c r="M58" i="55"/>
  <c r="N58" i="55"/>
  <c r="L59" i="55"/>
  <c r="M59" i="55"/>
  <c r="N59" i="55"/>
  <c r="L60" i="55"/>
  <c r="M60" i="55"/>
  <c r="N60" i="55"/>
  <c r="L61" i="55"/>
  <c r="M61" i="55"/>
  <c r="N61" i="55"/>
  <c r="L62" i="55"/>
  <c r="M62" i="55"/>
  <c r="N62" i="55"/>
  <c r="I55" i="55"/>
  <c r="J55" i="55"/>
  <c r="I56" i="55"/>
  <c r="J56" i="55"/>
  <c r="I57" i="55"/>
  <c r="J57" i="55"/>
  <c r="I58" i="55"/>
  <c r="J58" i="55"/>
  <c r="I59" i="55"/>
  <c r="J59" i="55"/>
  <c r="I60" i="55"/>
  <c r="J60" i="55"/>
  <c r="I61" i="55"/>
  <c r="J61" i="55"/>
  <c r="I62" i="55"/>
  <c r="J62" i="55"/>
  <c r="AG53" i="55"/>
  <c r="AH54" i="55" s="1"/>
  <c r="AD53" i="55"/>
  <c r="AE54" i="55" s="1"/>
  <c r="O53" i="55"/>
  <c r="O54" i="55" s="1"/>
  <c r="P53" i="55"/>
  <c r="Q53" i="55"/>
  <c r="Q54" i="55" s="1"/>
  <c r="R53" i="55"/>
  <c r="R54" i="55" s="1"/>
  <c r="S53" i="55"/>
  <c r="S54" i="55" s="1"/>
  <c r="T53" i="55"/>
  <c r="T54" i="55" s="1"/>
  <c r="U53" i="55"/>
  <c r="U54" i="55" s="1"/>
  <c r="V53" i="55"/>
  <c r="W53" i="55"/>
  <c r="W54" i="55" s="1"/>
  <c r="X53" i="55"/>
  <c r="Y53" i="55"/>
  <c r="Y54" i="55" s="1"/>
  <c r="Z53" i="55"/>
  <c r="Z54" i="55" s="1"/>
  <c r="P54" i="55"/>
  <c r="V54" i="55"/>
  <c r="X54" i="55"/>
  <c r="AI47" i="55"/>
  <c r="AI49" i="55"/>
  <c r="AI50" i="55"/>
  <c r="AF46" i="55"/>
  <c r="AF49" i="55"/>
  <c r="AF50" i="55"/>
  <c r="AH51" i="55"/>
  <c r="AE51" i="55"/>
  <c r="AB51" i="55"/>
  <c r="AH46" i="55"/>
  <c r="AH48" i="55"/>
  <c r="AE45" i="55"/>
  <c r="AE46" i="55"/>
  <c r="AE47" i="55"/>
  <c r="AE48" i="55"/>
  <c r="AE49" i="55"/>
  <c r="L45" i="55"/>
  <c r="M45" i="55"/>
  <c r="N45" i="55"/>
  <c r="L46" i="55"/>
  <c r="M46" i="55"/>
  <c r="N46" i="55"/>
  <c r="L47" i="55"/>
  <c r="M47" i="55"/>
  <c r="N47" i="55"/>
  <c r="L48" i="55"/>
  <c r="M48" i="55"/>
  <c r="N48" i="55"/>
  <c r="L49" i="55"/>
  <c r="M49" i="55"/>
  <c r="N49" i="55"/>
  <c r="L50" i="55"/>
  <c r="M50" i="55"/>
  <c r="N50" i="55"/>
  <c r="L51" i="55"/>
  <c r="M51" i="55"/>
  <c r="N51" i="55"/>
  <c r="L52" i="55"/>
  <c r="M52" i="55"/>
  <c r="N52" i="55"/>
  <c r="I45" i="55"/>
  <c r="J45" i="55"/>
  <c r="I46" i="55"/>
  <c r="J46" i="55"/>
  <c r="I47" i="55"/>
  <c r="J47" i="55"/>
  <c r="I48" i="55"/>
  <c r="J48" i="55"/>
  <c r="I49" i="55"/>
  <c r="J49" i="55"/>
  <c r="I50" i="55"/>
  <c r="J50" i="55"/>
  <c r="I51" i="55"/>
  <c r="J51" i="55"/>
  <c r="I52" i="55"/>
  <c r="J52" i="55"/>
  <c r="AG43" i="55"/>
  <c r="AH44" i="55" s="1"/>
  <c r="AD43" i="55"/>
  <c r="AE44" i="55" s="1"/>
  <c r="O43" i="55"/>
  <c r="O44" i="55" s="1"/>
  <c r="P43" i="55"/>
  <c r="P44" i="55" s="1"/>
  <c r="Q43" i="55"/>
  <c r="R43" i="55"/>
  <c r="R44" i="55" s="1"/>
  <c r="S43" i="55"/>
  <c r="T43" i="55"/>
  <c r="T44" i="55" s="1"/>
  <c r="U43" i="55"/>
  <c r="U44" i="55" s="1"/>
  <c r="V43" i="55"/>
  <c r="V44" i="55" s="1"/>
  <c r="W43" i="55"/>
  <c r="X43" i="55"/>
  <c r="X44" i="55" s="1"/>
  <c r="Y43" i="55"/>
  <c r="Z43" i="55"/>
  <c r="Z44" i="55" s="1"/>
  <c r="Q44" i="55"/>
  <c r="S44" i="55"/>
  <c r="W44" i="55"/>
  <c r="Y44" i="55"/>
  <c r="AI36" i="55"/>
  <c r="AI38" i="55"/>
  <c r="AI39" i="55"/>
  <c r="AI40" i="55"/>
  <c r="AI41" i="55"/>
  <c r="AF36" i="55"/>
  <c r="AF38" i="55"/>
  <c r="AF39" i="55"/>
  <c r="AH41" i="55"/>
  <c r="AE41" i="55"/>
  <c r="AH35" i="55"/>
  <c r="AH36" i="55"/>
  <c r="AH37" i="55"/>
  <c r="AH38" i="55"/>
  <c r="AH39" i="55"/>
  <c r="AE35" i="55"/>
  <c r="AE36" i="55"/>
  <c r="AE37" i="55"/>
  <c r="AE38" i="55"/>
  <c r="AE39" i="55"/>
  <c r="AB35" i="55"/>
  <c r="AB36" i="55"/>
  <c r="AB38" i="55"/>
  <c r="L35" i="55"/>
  <c r="M35" i="55"/>
  <c r="N35" i="55"/>
  <c r="L36" i="55"/>
  <c r="M36" i="55"/>
  <c r="N36" i="55"/>
  <c r="L37" i="55"/>
  <c r="M37" i="55"/>
  <c r="N37" i="55"/>
  <c r="L38" i="55"/>
  <c r="M38" i="55"/>
  <c r="N38" i="55"/>
  <c r="L39" i="55"/>
  <c r="M39" i="55"/>
  <c r="N39" i="55"/>
  <c r="L40" i="55"/>
  <c r="M40" i="55"/>
  <c r="N40" i="55"/>
  <c r="L41" i="55"/>
  <c r="M41" i="55"/>
  <c r="N41" i="55"/>
  <c r="L42" i="55"/>
  <c r="M42" i="55"/>
  <c r="N42" i="55"/>
  <c r="I35" i="55"/>
  <c r="J35" i="55"/>
  <c r="I36" i="55"/>
  <c r="J36" i="55"/>
  <c r="I37" i="55"/>
  <c r="J37" i="55"/>
  <c r="I38" i="55"/>
  <c r="J38" i="55"/>
  <c r="I39" i="55"/>
  <c r="J39" i="55"/>
  <c r="I40" i="55"/>
  <c r="J40" i="55"/>
  <c r="I41" i="55"/>
  <c r="J41" i="55"/>
  <c r="I42" i="55"/>
  <c r="J42" i="55"/>
  <c r="AG32" i="55"/>
  <c r="AD32" i="55"/>
  <c r="O32" i="55"/>
  <c r="P32" i="55"/>
  <c r="Q32" i="55"/>
  <c r="R32" i="55"/>
  <c r="S32" i="55"/>
  <c r="T32" i="55"/>
  <c r="U32" i="55"/>
  <c r="V32" i="55"/>
  <c r="W32" i="55"/>
  <c r="X32" i="55"/>
  <c r="Y32" i="55"/>
  <c r="Z32" i="55"/>
  <c r="AG31" i="55"/>
  <c r="AD31" i="55"/>
  <c r="O31" i="55"/>
  <c r="P31" i="55"/>
  <c r="Q31" i="55"/>
  <c r="R31" i="55"/>
  <c r="S31" i="55"/>
  <c r="T31" i="55"/>
  <c r="U31" i="55"/>
  <c r="V31" i="55"/>
  <c r="W31" i="55"/>
  <c r="X31" i="55"/>
  <c r="Y31" i="55"/>
  <c r="Z31" i="55"/>
  <c r="AA31" i="55"/>
  <c r="N26" i="55"/>
  <c r="N27" i="55"/>
  <c r="N28" i="55"/>
  <c r="N29" i="55"/>
  <c r="B23" i="55"/>
  <c r="AG16" i="55"/>
  <c r="AG19" i="55"/>
  <c r="AH99" i="55" s="1"/>
  <c r="AG20" i="55"/>
  <c r="AH87" i="55" s="1"/>
  <c r="AD19" i="55"/>
  <c r="AD20" i="55"/>
  <c r="G19" i="55"/>
  <c r="G20" i="55"/>
  <c r="N19" i="55"/>
  <c r="O19" i="55"/>
  <c r="P19" i="55"/>
  <c r="Q19" i="55"/>
  <c r="R19" i="55"/>
  <c r="S19" i="55"/>
  <c r="T19" i="55"/>
  <c r="U19" i="55"/>
  <c r="V19" i="55"/>
  <c r="W19" i="55"/>
  <c r="X19" i="55"/>
  <c r="Y19" i="55"/>
  <c r="Z19" i="55"/>
  <c r="N20" i="55"/>
  <c r="O20" i="55"/>
  <c r="P20" i="55"/>
  <c r="Q20" i="55"/>
  <c r="R20" i="55"/>
  <c r="S20" i="55"/>
  <c r="T20" i="55"/>
  <c r="U20" i="55"/>
  <c r="V20" i="55"/>
  <c r="W20" i="55"/>
  <c r="X20" i="55"/>
  <c r="Y20" i="55"/>
  <c r="Z20" i="55"/>
  <c r="B17" i="55"/>
  <c r="B18" i="55"/>
  <c r="B19" i="55"/>
  <c r="O16" i="55"/>
  <c r="P16" i="55"/>
  <c r="Q16" i="55"/>
  <c r="R16" i="55"/>
  <c r="S16" i="55"/>
  <c r="T16" i="55"/>
  <c r="U16" i="55"/>
  <c r="V16" i="55"/>
  <c r="W16" i="55"/>
  <c r="X16" i="55"/>
  <c r="Y16" i="55"/>
  <c r="O17" i="55"/>
  <c r="P17" i="55"/>
  <c r="Q17" i="55"/>
  <c r="R17" i="55"/>
  <c r="S17" i="55"/>
  <c r="T17" i="55"/>
  <c r="U17" i="55"/>
  <c r="V17" i="55"/>
  <c r="W17" i="55"/>
  <c r="X17" i="55"/>
  <c r="Y17" i="55"/>
  <c r="Z17" i="55"/>
  <c r="AA17" i="55" s="1"/>
  <c r="AA11" i="55" s="1"/>
  <c r="AA18" i="55" s="1"/>
  <c r="A14" i="55"/>
  <c r="AG12" i="55"/>
  <c r="AG13" i="55"/>
  <c r="AD12" i="55"/>
  <c r="AD13" i="55"/>
  <c r="B12" i="55"/>
  <c r="Z16" i="55" s="1"/>
  <c r="B13" i="55"/>
  <c r="O11" i="55"/>
  <c r="P11" i="55"/>
  <c r="Q11" i="55"/>
  <c r="R11" i="55"/>
  <c r="S11" i="55"/>
  <c r="T11" i="55"/>
  <c r="U11" i="55"/>
  <c r="V11" i="55"/>
  <c r="W11" i="55"/>
  <c r="X11" i="55"/>
  <c r="Y11" i="55"/>
  <c r="Z11" i="55"/>
  <c r="O12" i="55"/>
  <c r="P12" i="55"/>
  <c r="Q12" i="55"/>
  <c r="R12" i="55"/>
  <c r="S12" i="55"/>
  <c r="T12" i="55"/>
  <c r="U12" i="55"/>
  <c r="V12" i="55"/>
  <c r="W12" i="55"/>
  <c r="X12" i="55"/>
  <c r="Y12" i="55"/>
  <c r="Z12" i="55"/>
  <c r="AA12" i="55"/>
  <c r="O13" i="55"/>
  <c r="P13" i="55"/>
  <c r="Q13" i="55"/>
  <c r="R13" i="55"/>
  <c r="S13" i="55"/>
  <c r="T13" i="55"/>
  <c r="U13" i="55"/>
  <c r="V13" i="55"/>
  <c r="W13" i="55"/>
  <c r="X13" i="55"/>
  <c r="Y13" i="55"/>
  <c r="Z13" i="55"/>
  <c r="AA13" i="55"/>
  <c r="C10" i="55"/>
  <c r="D10" i="55"/>
  <c r="C9" i="55"/>
  <c r="C1" i="55"/>
  <c r="C2" i="55"/>
  <c r="C3" i="55"/>
  <c r="C4" i="55"/>
  <c r="C5" i="55"/>
  <c r="C6" i="55"/>
  <c r="C7" i="55"/>
  <c r="C8" i="55"/>
  <c r="E6" i="55"/>
  <c r="E4" i="55"/>
  <c r="F4" i="55"/>
  <c r="B3" i="55"/>
  <c r="B120" i="51"/>
  <c r="B114" i="51"/>
  <c r="B115" i="51"/>
  <c r="B116" i="51"/>
  <c r="A111" i="51"/>
  <c r="AG103" i="51"/>
  <c r="AD103" i="51"/>
  <c r="O103" i="51"/>
  <c r="P103" i="51"/>
  <c r="Q103" i="51"/>
  <c r="R103" i="51"/>
  <c r="S103" i="51"/>
  <c r="T103" i="51"/>
  <c r="U103" i="51"/>
  <c r="V103" i="51"/>
  <c r="W103" i="51"/>
  <c r="X103" i="51"/>
  <c r="Y103" i="51"/>
  <c r="Z103" i="51"/>
  <c r="N104" i="51"/>
  <c r="S104" i="51"/>
  <c r="N100" i="51"/>
  <c r="N103" i="51" s="1"/>
  <c r="N101" i="51"/>
  <c r="AE100" i="51"/>
  <c r="AE101" i="51"/>
  <c r="AA101" i="51"/>
  <c r="I100" i="51"/>
  <c r="AA100" i="51" s="1"/>
  <c r="J100" i="51"/>
  <c r="I101" i="51"/>
  <c r="J101" i="51"/>
  <c r="N90" i="51"/>
  <c r="N91" i="51"/>
  <c r="N92" i="51"/>
  <c r="N93" i="51"/>
  <c r="N94" i="51"/>
  <c r="N95" i="51"/>
  <c r="N96" i="51"/>
  <c r="N97" i="51"/>
  <c r="N98" i="51"/>
  <c r="I98" i="51"/>
  <c r="AA98" i="51" s="1"/>
  <c r="AF98" i="51" s="1"/>
  <c r="J98" i="51"/>
  <c r="AH96" i="51"/>
  <c r="AE91" i="51"/>
  <c r="AE92" i="51"/>
  <c r="AE93" i="51"/>
  <c r="AE94" i="51"/>
  <c r="AE95" i="51"/>
  <c r="AE96" i="51"/>
  <c r="AE97" i="51"/>
  <c r="AE98" i="51"/>
  <c r="AA92" i="51"/>
  <c r="AA95" i="51"/>
  <c r="I91" i="51"/>
  <c r="J91" i="51"/>
  <c r="L91" i="51"/>
  <c r="M91" i="51"/>
  <c r="I92" i="51"/>
  <c r="J92" i="51"/>
  <c r="L92" i="51"/>
  <c r="M92" i="51"/>
  <c r="I93" i="51"/>
  <c r="AA93" i="51" s="1"/>
  <c r="J93" i="51"/>
  <c r="K93" i="51" s="1"/>
  <c r="L93" i="51"/>
  <c r="M93" i="51"/>
  <c r="I94" i="51"/>
  <c r="AA94" i="51" s="1"/>
  <c r="AI94" i="51" s="1"/>
  <c r="J94" i="51"/>
  <c r="L94" i="51"/>
  <c r="M94" i="51"/>
  <c r="I95" i="51"/>
  <c r="J95" i="51"/>
  <c r="K95" i="51" s="1"/>
  <c r="L95" i="51"/>
  <c r="M95" i="51"/>
  <c r="I96" i="51"/>
  <c r="AA96" i="51" s="1"/>
  <c r="J96" i="51"/>
  <c r="L96" i="51"/>
  <c r="M96" i="51"/>
  <c r="I97" i="51"/>
  <c r="J97" i="51"/>
  <c r="L97" i="51"/>
  <c r="M97" i="51"/>
  <c r="I90" i="51"/>
  <c r="J90" i="51"/>
  <c r="B88" i="51"/>
  <c r="B89" i="51"/>
  <c r="B83" i="51"/>
  <c r="B84" i="51"/>
  <c r="B85" i="51"/>
  <c r="A80" i="51"/>
  <c r="AH76" i="51"/>
  <c r="AH77" i="51"/>
  <c r="AH78" i="51"/>
  <c r="AE76" i="51"/>
  <c r="AE77" i="51"/>
  <c r="AE78" i="51"/>
  <c r="AE79" i="51"/>
  <c r="AE80" i="51"/>
  <c r="AE81" i="51"/>
  <c r="AE82" i="51"/>
  <c r="AE83" i="51"/>
  <c r="AE84" i="51"/>
  <c r="AE85" i="51"/>
  <c r="AE86" i="51"/>
  <c r="AE87" i="51"/>
  <c r="AE88" i="51"/>
  <c r="AA80" i="51"/>
  <c r="AI80" i="51" s="1"/>
  <c r="AA83" i="51"/>
  <c r="AI83" i="51" s="1"/>
  <c r="AA84" i="51"/>
  <c r="AA88" i="51"/>
  <c r="I76" i="51"/>
  <c r="K76" i="51" s="1"/>
  <c r="J76" i="51"/>
  <c r="L76" i="51"/>
  <c r="M76" i="51"/>
  <c r="N76" i="51"/>
  <c r="I77" i="51"/>
  <c r="J77" i="51"/>
  <c r="L77" i="51"/>
  <c r="M77" i="51"/>
  <c r="N77" i="51"/>
  <c r="I78" i="51"/>
  <c r="AA78" i="51" s="1"/>
  <c r="J78" i="51"/>
  <c r="L78" i="51"/>
  <c r="M78" i="51"/>
  <c r="N78" i="51"/>
  <c r="I79" i="51"/>
  <c r="J79" i="51"/>
  <c r="L79" i="51"/>
  <c r="M79" i="51"/>
  <c r="N79" i="51"/>
  <c r="I80" i="51"/>
  <c r="K80" i="51" s="1"/>
  <c r="J80" i="51"/>
  <c r="L80" i="51"/>
  <c r="M80" i="51"/>
  <c r="N80" i="51"/>
  <c r="I81" i="51"/>
  <c r="J81" i="51"/>
  <c r="L81" i="51"/>
  <c r="M81" i="51"/>
  <c r="N81" i="51"/>
  <c r="I82" i="51"/>
  <c r="J82" i="51"/>
  <c r="L82" i="51"/>
  <c r="M82" i="51"/>
  <c r="N82" i="51"/>
  <c r="I83" i="51"/>
  <c r="J83" i="51"/>
  <c r="K83" i="51"/>
  <c r="L83" i="51"/>
  <c r="M83" i="51"/>
  <c r="N83" i="51"/>
  <c r="I84" i="51"/>
  <c r="K84" i="51" s="1"/>
  <c r="J84" i="51"/>
  <c r="L84" i="51"/>
  <c r="M84" i="51"/>
  <c r="N84" i="51"/>
  <c r="I85" i="51"/>
  <c r="J85" i="51"/>
  <c r="L85" i="51"/>
  <c r="M85" i="51"/>
  <c r="N85" i="51"/>
  <c r="I86" i="51"/>
  <c r="AA86" i="51" s="1"/>
  <c r="J86" i="51"/>
  <c r="K86" i="51"/>
  <c r="L86" i="51"/>
  <c r="M86" i="51"/>
  <c r="N86" i="51"/>
  <c r="I87" i="51"/>
  <c r="AA87" i="51" s="1"/>
  <c r="J87" i="51"/>
  <c r="L87" i="51"/>
  <c r="M87" i="51"/>
  <c r="N87" i="51"/>
  <c r="I88" i="51"/>
  <c r="K88" i="51" s="1"/>
  <c r="J88" i="51"/>
  <c r="L88" i="51"/>
  <c r="M88" i="51"/>
  <c r="N88" i="51"/>
  <c r="N74" i="51"/>
  <c r="N75" i="51"/>
  <c r="I74" i="51"/>
  <c r="J74" i="51"/>
  <c r="I75" i="51"/>
  <c r="J75" i="51"/>
  <c r="AD72" i="51"/>
  <c r="AD104" i="51" s="1"/>
  <c r="AG72" i="51"/>
  <c r="N72" i="51"/>
  <c r="O72" i="51"/>
  <c r="O104" i="51" s="1"/>
  <c r="P72" i="51"/>
  <c r="P104" i="51" s="1"/>
  <c r="Q72" i="51"/>
  <c r="Q104" i="51" s="1"/>
  <c r="R72" i="51"/>
  <c r="R104" i="51" s="1"/>
  <c r="S72" i="51"/>
  <c r="T72" i="51"/>
  <c r="T104" i="51" s="1"/>
  <c r="U72" i="51"/>
  <c r="U104" i="51" s="1"/>
  <c r="V72" i="51"/>
  <c r="V104" i="51" s="1"/>
  <c r="W72" i="51"/>
  <c r="W104" i="51" s="1"/>
  <c r="X72" i="51"/>
  <c r="X104" i="51" s="1"/>
  <c r="Y72" i="51"/>
  <c r="Y104" i="51" s="1"/>
  <c r="Z72" i="51"/>
  <c r="Z104" i="51" s="1"/>
  <c r="AH71" i="51"/>
  <c r="AI71" i="51"/>
  <c r="AB62" i="51"/>
  <c r="AB63" i="51"/>
  <c r="AB64" i="51"/>
  <c r="AN64" i="51" s="1"/>
  <c r="AB65" i="51"/>
  <c r="AM65" i="51" s="1"/>
  <c r="AB66" i="51"/>
  <c r="AB67" i="51"/>
  <c r="AB68" i="51"/>
  <c r="AB69" i="51"/>
  <c r="AB70" i="51"/>
  <c r="AB71" i="51"/>
  <c r="N60" i="51"/>
  <c r="N61" i="51"/>
  <c r="N62" i="51"/>
  <c r="N63" i="51"/>
  <c r="N64" i="51"/>
  <c r="N65" i="51"/>
  <c r="N66" i="51"/>
  <c r="N67" i="51"/>
  <c r="N68" i="51"/>
  <c r="N69" i="51"/>
  <c r="N70" i="51"/>
  <c r="N71" i="51"/>
  <c r="I71" i="51"/>
  <c r="K71" i="51" s="1"/>
  <c r="J71" i="51"/>
  <c r="I72" i="51"/>
  <c r="K72" i="51" s="1"/>
  <c r="J72" i="51"/>
  <c r="AA64" i="51"/>
  <c r="AI64" i="51" s="1"/>
  <c r="AH62" i="51"/>
  <c r="AH63" i="51"/>
  <c r="AH64" i="51"/>
  <c r="AH65" i="51"/>
  <c r="AN65" i="51"/>
  <c r="AH66" i="51"/>
  <c r="AN66" i="51"/>
  <c r="AH67" i="51"/>
  <c r="AH68" i="51"/>
  <c r="AH69" i="51"/>
  <c r="AN69" i="51" s="1"/>
  <c r="AH70" i="51"/>
  <c r="AE62" i="51"/>
  <c r="AE63" i="51"/>
  <c r="AM63" i="51" s="1"/>
  <c r="AE64" i="51"/>
  <c r="AE65" i="51"/>
  <c r="AE66" i="51"/>
  <c r="AE67" i="51"/>
  <c r="AM67" i="51" s="1"/>
  <c r="AE68" i="51"/>
  <c r="AM68" i="51" s="1"/>
  <c r="AE69" i="51"/>
  <c r="AE70" i="51"/>
  <c r="AE71" i="51"/>
  <c r="AF71" i="51"/>
  <c r="I62" i="51"/>
  <c r="K62" i="51" s="1"/>
  <c r="J62" i="51"/>
  <c r="L62" i="51"/>
  <c r="M62" i="51"/>
  <c r="I63" i="51"/>
  <c r="AA63" i="51" s="1"/>
  <c r="J63" i="51"/>
  <c r="L63" i="51"/>
  <c r="M63" i="51"/>
  <c r="I64" i="51"/>
  <c r="K64" i="51" s="1"/>
  <c r="J64" i="51"/>
  <c r="L64" i="51"/>
  <c r="M64" i="51"/>
  <c r="I65" i="51"/>
  <c r="K65" i="51" s="1"/>
  <c r="J65" i="51"/>
  <c r="L65" i="51"/>
  <c r="M65" i="51"/>
  <c r="I66" i="51"/>
  <c r="K66" i="51" s="1"/>
  <c r="J66" i="51"/>
  <c r="L66" i="51"/>
  <c r="M66" i="51"/>
  <c r="I67" i="51"/>
  <c r="K67" i="51" s="1"/>
  <c r="J67" i="51"/>
  <c r="L67" i="51"/>
  <c r="M67" i="51"/>
  <c r="I68" i="51"/>
  <c r="AA68" i="51" s="1"/>
  <c r="AF68" i="51" s="1"/>
  <c r="J68" i="51"/>
  <c r="K68" i="51"/>
  <c r="L68" i="51"/>
  <c r="M68" i="51"/>
  <c r="I69" i="51"/>
  <c r="AA69" i="51" s="1"/>
  <c r="AF69" i="51" s="1"/>
  <c r="J69" i="51"/>
  <c r="K69" i="51"/>
  <c r="L69" i="51"/>
  <c r="M69" i="51"/>
  <c r="I70" i="51"/>
  <c r="AA70" i="51" s="1"/>
  <c r="J70" i="51"/>
  <c r="L70" i="51"/>
  <c r="M70" i="51"/>
  <c r="I60" i="51"/>
  <c r="J60" i="51"/>
  <c r="I61" i="51"/>
  <c r="J61" i="51"/>
  <c r="B55" i="51"/>
  <c r="B56" i="51"/>
  <c r="B50" i="51"/>
  <c r="B51" i="51"/>
  <c r="B52" i="51"/>
  <c r="A47" i="51"/>
  <c r="AH35" i="51"/>
  <c r="AH37" i="51"/>
  <c r="AH38" i="51"/>
  <c r="AH39" i="51"/>
  <c r="AK39" i="51"/>
  <c r="AH41" i="51"/>
  <c r="AH42" i="51"/>
  <c r="AH44" i="51"/>
  <c r="AK44" i="51"/>
  <c r="AH45" i="51"/>
  <c r="AH46" i="51"/>
  <c r="AH50" i="51"/>
  <c r="AH51" i="51"/>
  <c r="AH52" i="51"/>
  <c r="AK52" i="51"/>
  <c r="AH53" i="51"/>
  <c r="AH55" i="51"/>
  <c r="AH56" i="51"/>
  <c r="AE35" i="51"/>
  <c r="AE36" i="51"/>
  <c r="AE37" i="51"/>
  <c r="AE38" i="51"/>
  <c r="AE39" i="51"/>
  <c r="AE40" i="51"/>
  <c r="AE41" i="51"/>
  <c r="AE42" i="51"/>
  <c r="AE43" i="51"/>
  <c r="AE44" i="51"/>
  <c r="AE45" i="51"/>
  <c r="AE46" i="51"/>
  <c r="AE47" i="51"/>
  <c r="AE48" i="51"/>
  <c r="AE49" i="51"/>
  <c r="AE50" i="51"/>
  <c r="AE51" i="51"/>
  <c r="AE52" i="51"/>
  <c r="AE53" i="51"/>
  <c r="AE54" i="51"/>
  <c r="AE55" i="51"/>
  <c r="AE56" i="51"/>
  <c r="AE57" i="51"/>
  <c r="AE58" i="51"/>
  <c r="AA38" i="51"/>
  <c r="AI38" i="51" s="1"/>
  <c r="AA50" i="51"/>
  <c r="AF50" i="51" s="1"/>
  <c r="AA54" i="51"/>
  <c r="AF54" i="51" s="1"/>
  <c r="AA58" i="51"/>
  <c r="AF58" i="51" s="1"/>
  <c r="I35" i="51"/>
  <c r="AA35" i="51" s="1"/>
  <c r="J35" i="51"/>
  <c r="L35" i="51"/>
  <c r="M35" i="51"/>
  <c r="N35" i="51"/>
  <c r="I36" i="51"/>
  <c r="K36" i="51" s="1"/>
  <c r="J36" i="51"/>
  <c r="L36" i="51"/>
  <c r="M36" i="51"/>
  <c r="N36" i="51"/>
  <c r="I37" i="51"/>
  <c r="AA37" i="51" s="1"/>
  <c r="J37" i="51"/>
  <c r="K37" i="51"/>
  <c r="L37" i="51"/>
  <c r="M37" i="51"/>
  <c r="N37" i="51"/>
  <c r="I38" i="51"/>
  <c r="K38" i="51" s="1"/>
  <c r="J38" i="51"/>
  <c r="L38" i="51"/>
  <c r="M38" i="51"/>
  <c r="N38" i="51"/>
  <c r="I39" i="51"/>
  <c r="AA39" i="51" s="1"/>
  <c r="J39" i="51"/>
  <c r="K39" i="51"/>
  <c r="L39" i="51"/>
  <c r="M39" i="51"/>
  <c r="N39" i="51"/>
  <c r="I40" i="51"/>
  <c r="K40" i="51" s="1"/>
  <c r="J40" i="51"/>
  <c r="L40" i="51"/>
  <c r="M40" i="51"/>
  <c r="N40" i="51"/>
  <c r="I41" i="51"/>
  <c r="AA41" i="51" s="1"/>
  <c r="J41" i="51"/>
  <c r="K41" i="51"/>
  <c r="L41" i="51"/>
  <c r="M41" i="51"/>
  <c r="N41" i="51"/>
  <c r="I42" i="51"/>
  <c r="J42" i="51"/>
  <c r="L42" i="51"/>
  <c r="M42" i="51"/>
  <c r="N42" i="51"/>
  <c r="I43" i="51"/>
  <c r="AA43" i="51" s="1"/>
  <c r="J43" i="51"/>
  <c r="L43" i="51"/>
  <c r="M43" i="51"/>
  <c r="N43" i="51"/>
  <c r="I44" i="51"/>
  <c r="K44" i="51" s="1"/>
  <c r="J44" i="51"/>
  <c r="L44" i="51"/>
  <c r="M44" i="51"/>
  <c r="N44" i="51"/>
  <c r="I45" i="51"/>
  <c r="J45" i="51"/>
  <c r="L45" i="51"/>
  <c r="M45" i="51"/>
  <c r="N45" i="51"/>
  <c r="I46" i="51"/>
  <c r="K46" i="51" s="1"/>
  <c r="J46" i="51"/>
  <c r="L46" i="51"/>
  <c r="M46" i="51"/>
  <c r="N46" i="51"/>
  <c r="I47" i="51"/>
  <c r="AA47" i="51" s="1"/>
  <c r="J47" i="51"/>
  <c r="K47" i="51"/>
  <c r="L47" i="51"/>
  <c r="M47" i="51"/>
  <c r="N47" i="51"/>
  <c r="I48" i="51"/>
  <c r="K48" i="51" s="1"/>
  <c r="J48" i="51"/>
  <c r="L48" i="51"/>
  <c r="M48" i="51"/>
  <c r="N48" i="51"/>
  <c r="I49" i="51"/>
  <c r="AA49" i="51" s="1"/>
  <c r="J49" i="51"/>
  <c r="L49" i="51"/>
  <c r="M49" i="51"/>
  <c r="N49" i="51"/>
  <c r="I50" i="51"/>
  <c r="K50" i="51" s="1"/>
  <c r="J50" i="51"/>
  <c r="L50" i="51"/>
  <c r="M50" i="51"/>
  <c r="N50" i="51"/>
  <c r="I51" i="51"/>
  <c r="AA51" i="51" s="1"/>
  <c r="J51" i="51"/>
  <c r="L51" i="51"/>
  <c r="M51" i="51"/>
  <c r="N51" i="51"/>
  <c r="I52" i="51"/>
  <c r="K52" i="51" s="1"/>
  <c r="J52" i="51"/>
  <c r="L52" i="51"/>
  <c r="M52" i="51"/>
  <c r="N52" i="51"/>
  <c r="I53" i="51"/>
  <c r="AA53" i="51" s="1"/>
  <c r="J53" i="51"/>
  <c r="K53" i="51"/>
  <c r="L53" i="51"/>
  <c r="M53" i="51"/>
  <c r="N53" i="51"/>
  <c r="I54" i="51"/>
  <c r="K54" i="51" s="1"/>
  <c r="J54" i="51"/>
  <c r="L54" i="51"/>
  <c r="M54" i="51"/>
  <c r="N54" i="51"/>
  <c r="I55" i="51"/>
  <c r="AA55" i="51" s="1"/>
  <c r="J55" i="51"/>
  <c r="K55" i="51"/>
  <c r="L55" i="51"/>
  <c r="M55" i="51"/>
  <c r="N55" i="51"/>
  <c r="I56" i="51"/>
  <c r="K56" i="51" s="1"/>
  <c r="J56" i="51"/>
  <c r="L56" i="51"/>
  <c r="M56" i="51"/>
  <c r="N56" i="51"/>
  <c r="I57" i="51"/>
  <c r="AA57" i="51" s="1"/>
  <c r="J57" i="51"/>
  <c r="K57" i="51"/>
  <c r="L57" i="51"/>
  <c r="M57" i="51"/>
  <c r="N57" i="51"/>
  <c r="I58" i="51"/>
  <c r="K58" i="51" s="1"/>
  <c r="J58" i="51"/>
  <c r="L58" i="51"/>
  <c r="M58" i="51"/>
  <c r="N58" i="51"/>
  <c r="N33" i="51"/>
  <c r="N34" i="51"/>
  <c r="I33" i="51"/>
  <c r="J33" i="51"/>
  <c r="I34" i="51"/>
  <c r="J34" i="51"/>
  <c r="AG32" i="51"/>
  <c r="AL32" i="51" s="1"/>
  <c r="AD32" i="51"/>
  <c r="AK32" i="51" s="1"/>
  <c r="O32" i="51"/>
  <c r="P32" i="51"/>
  <c r="Q32" i="51"/>
  <c r="R32" i="51"/>
  <c r="S32" i="51"/>
  <c r="T32" i="51"/>
  <c r="U32" i="51"/>
  <c r="V32" i="51"/>
  <c r="W32" i="51"/>
  <c r="X32" i="51"/>
  <c r="Y32" i="51"/>
  <c r="Z32" i="51"/>
  <c r="AJ32" i="51" s="1"/>
  <c r="AJ31" i="51"/>
  <c r="AK31" i="51"/>
  <c r="AL31" i="51"/>
  <c r="AN31" i="51" s="1"/>
  <c r="AM31" i="51"/>
  <c r="AG31" i="51"/>
  <c r="AD31" i="51"/>
  <c r="O31" i="51"/>
  <c r="P31" i="51"/>
  <c r="Q31" i="51"/>
  <c r="R31" i="51"/>
  <c r="S31" i="51"/>
  <c r="T31" i="51"/>
  <c r="U31" i="51"/>
  <c r="V31" i="51"/>
  <c r="W31" i="51"/>
  <c r="X31" i="51"/>
  <c r="Y31" i="51"/>
  <c r="Z31" i="51"/>
  <c r="AA31" i="51"/>
  <c r="N26" i="51"/>
  <c r="N27" i="51"/>
  <c r="N28" i="51"/>
  <c r="N29" i="51"/>
  <c r="B22" i="51"/>
  <c r="B23" i="51"/>
  <c r="AG16" i="51"/>
  <c r="AG19" i="51"/>
  <c r="AH79" i="51" s="1"/>
  <c r="AG20" i="51"/>
  <c r="AL48" i="51" s="1"/>
  <c r="AD19" i="51"/>
  <c r="AD20" i="51"/>
  <c r="G19" i="51"/>
  <c r="G20" i="51"/>
  <c r="N19" i="51"/>
  <c r="O19" i="51"/>
  <c r="P19" i="51"/>
  <c r="Q19" i="51"/>
  <c r="R19" i="51"/>
  <c r="S19" i="51"/>
  <c r="T19" i="51"/>
  <c r="U19" i="51"/>
  <c r="V19" i="51"/>
  <c r="W19" i="51"/>
  <c r="X19" i="51"/>
  <c r="Y19" i="51"/>
  <c r="Z19" i="51"/>
  <c r="N20" i="51"/>
  <c r="O20" i="51"/>
  <c r="P20" i="51"/>
  <c r="Q20" i="51"/>
  <c r="R20" i="51"/>
  <c r="S20" i="51"/>
  <c r="T20" i="51"/>
  <c r="U20" i="51"/>
  <c r="V20" i="51"/>
  <c r="W20" i="51"/>
  <c r="X20" i="51"/>
  <c r="Y20" i="51"/>
  <c r="Z20" i="51"/>
  <c r="B17" i="51"/>
  <c r="B18" i="51"/>
  <c r="B19" i="51"/>
  <c r="O16" i="51"/>
  <c r="P16" i="51"/>
  <c r="Q16" i="51"/>
  <c r="R16" i="51"/>
  <c r="S16" i="51"/>
  <c r="T16" i="51"/>
  <c r="U16" i="51"/>
  <c r="V16" i="51"/>
  <c r="W16" i="51"/>
  <c r="X16" i="51"/>
  <c r="Y16" i="51"/>
  <c r="O17" i="51"/>
  <c r="P17" i="51"/>
  <c r="Q17" i="51"/>
  <c r="R17" i="51"/>
  <c r="S17" i="51"/>
  <c r="T17" i="51"/>
  <c r="U17" i="51"/>
  <c r="V17" i="51"/>
  <c r="W17" i="51"/>
  <c r="X17" i="51"/>
  <c r="Y17" i="51"/>
  <c r="Z17" i="51"/>
  <c r="AA17" i="51" s="1"/>
  <c r="AA11" i="51" s="1"/>
  <c r="A14" i="51"/>
  <c r="AG12" i="51"/>
  <c r="AG13" i="51"/>
  <c r="AD12" i="51"/>
  <c r="AD13" i="51"/>
  <c r="B12" i="51"/>
  <c r="B13" i="51"/>
  <c r="O11" i="51"/>
  <c r="P11" i="51"/>
  <c r="Q11" i="51"/>
  <c r="R11" i="51"/>
  <c r="S11" i="51"/>
  <c r="T11" i="51"/>
  <c r="U11" i="51"/>
  <c r="V11" i="51"/>
  <c r="W11" i="51"/>
  <c r="X11" i="51"/>
  <c r="Y11" i="51"/>
  <c r="Z11" i="51"/>
  <c r="O12" i="51"/>
  <c r="P12" i="51"/>
  <c r="Q12" i="51"/>
  <c r="R12" i="51"/>
  <c r="S12" i="51"/>
  <c r="T12" i="51"/>
  <c r="U12" i="51"/>
  <c r="V12" i="51"/>
  <c r="W12" i="51"/>
  <c r="X12" i="51"/>
  <c r="Y12" i="51"/>
  <c r="Z12" i="51"/>
  <c r="AA12" i="51"/>
  <c r="O13" i="51"/>
  <c r="P13" i="51"/>
  <c r="Q13" i="51"/>
  <c r="R13" i="51"/>
  <c r="S13" i="51"/>
  <c r="T13" i="51"/>
  <c r="U13" i="51"/>
  <c r="V13" i="51"/>
  <c r="W13" i="51"/>
  <c r="X13" i="51"/>
  <c r="Y13" i="51"/>
  <c r="Z13" i="51"/>
  <c r="AA13" i="51"/>
  <c r="C10" i="51"/>
  <c r="D10" i="51"/>
  <c r="Z16" i="51" s="1"/>
  <c r="C9" i="51"/>
  <c r="C1" i="51"/>
  <c r="C2" i="51"/>
  <c r="C3" i="51"/>
  <c r="C4" i="51"/>
  <c r="C5" i="51"/>
  <c r="C6" i="51"/>
  <c r="C7" i="51"/>
  <c r="C8" i="51"/>
  <c r="E6" i="51"/>
  <c r="B62" i="51" s="1"/>
  <c r="E4" i="51"/>
  <c r="F4" i="51"/>
  <c r="B3" i="51"/>
  <c r="H2" i="51" s="1"/>
  <c r="N1" i="51"/>
  <c r="N1" i="55" s="1"/>
  <c r="AG143" i="39"/>
  <c r="AG144" i="39"/>
  <c r="AG145" i="39"/>
  <c r="AG146" i="39"/>
  <c r="AD143" i="39"/>
  <c r="AD144" i="39"/>
  <c r="AD145" i="39"/>
  <c r="AD146" i="39"/>
  <c r="O143" i="39"/>
  <c r="P143" i="39"/>
  <c r="Q143" i="39"/>
  <c r="R143" i="39"/>
  <c r="S143" i="39"/>
  <c r="T143" i="39"/>
  <c r="U143" i="39"/>
  <c r="V143" i="39"/>
  <c r="W143" i="39"/>
  <c r="X143" i="39"/>
  <c r="Y143" i="39"/>
  <c r="Z143" i="39"/>
  <c r="O144" i="39"/>
  <c r="P144" i="39"/>
  <c r="Q144" i="39"/>
  <c r="R144" i="39"/>
  <c r="S144" i="39"/>
  <c r="T144" i="39"/>
  <c r="U144" i="39"/>
  <c r="V144" i="39"/>
  <c r="W144" i="39"/>
  <c r="X144" i="39"/>
  <c r="Y144" i="39"/>
  <c r="Z144" i="39"/>
  <c r="O145" i="39"/>
  <c r="P145" i="39"/>
  <c r="Q145" i="39"/>
  <c r="R145" i="39"/>
  <c r="S145" i="39"/>
  <c r="T145" i="39"/>
  <c r="U145" i="39"/>
  <c r="V145" i="39"/>
  <c r="W145" i="39"/>
  <c r="X145" i="39"/>
  <c r="Y145" i="39"/>
  <c r="Z145" i="39"/>
  <c r="O146" i="39"/>
  <c r="P146" i="39"/>
  <c r="Q146" i="39"/>
  <c r="R146" i="39"/>
  <c r="S146" i="39"/>
  <c r="T146" i="39"/>
  <c r="U146" i="39"/>
  <c r="V146" i="39"/>
  <c r="W146" i="39"/>
  <c r="X146" i="39"/>
  <c r="Y146" i="39"/>
  <c r="Z146" i="39"/>
  <c r="AI131" i="39"/>
  <c r="AI133" i="39"/>
  <c r="AI135" i="39"/>
  <c r="AI136" i="39"/>
  <c r="AI137" i="39"/>
  <c r="AI139" i="39"/>
  <c r="AG141" i="39"/>
  <c r="AD141" i="39"/>
  <c r="O141" i="39"/>
  <c r="P141" i="39"/>
  <c r="Q141" i="39"/>
  <c r="R141" i="39"/>
  <c r="S141" i="39"/>
  <c r="T141" i="39"/>
  <c r="U141" i="39"/>
  <c r="V141" i="39"/>
  <c r="W141" i="39"/>
  <c r="X141" i="39"/>
  <c r="Y141" i="39"/>
  <c r="Z141" i="39"/>
  <c r="AH140" i="39"/>
  <c r="AE140" i="39"/>
  <c r="AA140" i="39"/>
  <c r="AI140" i="39" s="1"/>
  <c r="AB140" i="39"/>
  <c r="AF131" i="39"/>
  <c r="AF133" i="39"/>
  <c r="AF135" i="39"/>
  <c r="AF137" i="39"/>
  <c r="AF139" i="39"/>
  <c r="AH138" i="39"/>
  <c r="AE138" i="39"/>
  <c r="AA138" i="39"/>
  <c r="AI138" i="39" s="1"/>
  <c r="AB138" i="39"/>
  <c r="AH136" i="39"/>
  <c r="AE136" i="39"/>
  <c r="AA136" i="39"/>
  <c r="AF136" i="39" s="1"/>
  <c r="AB136" i="39"/>
  <c r="AH134" i="39"/>
  <c r="AE134" i="39"/>
  <c r="AA134" i="39"/>
  <c r="AI134" i="39" s="1"/>
  <c r="AB134" i="39"/>
  <c r="AH132" i="39"/>
  <c r="AE132" i="39"/>
  <c r="AA132" i="39"/>
  <c r="AI132" i="39" s="1"/>
  <c r="AB132" i="39"/>
  <c r="AH130" i="39"/>
  <c r="AE130" i="39"/>
  <c r="AA130" i="39"/>
  <c r="AB130" i="39"/>
  <c r="L130" i="39"/>
  <c r="M130" i="39"/>
  <c r="N130" i="39"/>
  <c r="L131" i="39"/>
  <c r="M131" i="39"/>
  <c r="N131" i="39"/>
  <c r="L132" i="39"/>
  <c r="M132" i="39"/>
  <c r="N132" i="39"/>
  <c r="L133" i="39"/>
  <c r="M133" i="39"/>
  <c r="N133" i="39"/>
  <c r="L134" i="39"/>
  <c r="M134" i="39"/>
  <c r="N134" i="39"/>
  <c r="L135" i="39"/>
  <c r="M135" i="39"/>
  <c r="N135" i="39"/>
  <c r="L136" i="39"/>
  <c r="M136" i="39"/>
  <c r="N136" i="39"/>
  <c r="L137" i="39"/>
  <c r="M137" i="39"/>
  <c r="N137" i="39"/>
  <c r="L138" i="39"/>
  <c r="M138" i="39"/>
  <c r="N138" i="39"/>
  <c r="L139" i="39"/>
  <c r="M139" i="39"/>
  <c r="N139" i="39"/>
  <c r="L140" i="39"/>
  <c r="M140" i="39"/>
  <c r="N140" i="39"/>
  <c r="N129" i="39"/>
  <c r="AG121" i="39"/>
  <c r="AG122" i="39"/>
  <c r="AG123" i="39"/>
  <c r="AG124" i="39"/>
  <c r="AG125" i="39"/>
  <c r="AH125" i="39" s="1"/>
  <c r="AD121" i="39"/>
  <c r="AD126" i="39" s="1"/>
  <c r="AD127" i="39" s="1"/>
  <c r="AD122" i="39"/>
  <c r="AD123" i="39"/>
  <c r="AD124" i="39"/>
  <c r="AD125" i="39"/>
  <c r="AE125" i="39"/>
  <c r="L121" i="39"/>
  <c r="M121" i="39"/>
  <c r="N121" i="39"/>
  <c r="O121" i="39"/>
  <c r="P121" i="39"/>
  <c r="Q121" i="39"/>
  <c r="R121" i="39"/>
  <c r="S121" i="39"/>
  <c r="T121" i="39"/>
  <c r="U121" i="39"/>
  <c r="V121" i="39"/>
  <c r="W121" i="39"/>
  <c r="X121" i="39"/>
  <c r="Y121" i="39"/>
  <c r="Z121" i="39"/>
  <c r="L122" i="39"/>
  <c r="M122" i="39"/>
  <c r="N122" i="39"/>
  <c r="O122" i="39"/>
  <c r="P122" i="39"/>
  <c r="P126" i="39" s="1"/>
  <c r="P127" i="39" s="1"/>
  <c r="Q122" i="39"/>
  <c r="R122" i="39"/>
  <c r="S122" i="39"/>
  <c r="T122" i="39"/>
  <c r="T126" i="39" s="1"/>
  <c r="T127" i="39" s="1"/>
  <c r="U122" i="39"/>
  <c r="V122" i="39"/>
  <c r="W122" i="39"/>
  <c r="X122" i="39"/>
  <c r="X126" i="39" s="1"/>
  <c r="X127" i="39" s="1"/>
  <c r="Y122" i="39"/>
  <c r="Z122" i="39"/>
  <c r="L123" i="39"/>
  <c r="M123" i="39"/>
  <c r="N123" i="39"/>
  <c r="O123" i="39"/>
  <c r="AA123" i="39" s="1"/>
  <c r="AF123" i="39" s="1"/>
  <c r="P123" i="39"/>
  <c r="Q123" i="39"/>
  <c r="R123" i="39"/>
  <c r="S123" i="39"/>
  <c r="T123" i="39"/>
  <c r="U123" i="39"/>
  <c r="V123" i="39"/>
  <c r="W123" i="39"/>
  <c r="X123" i="39"/>
  <c r="Y123" i="39"/>
  <c r="Z123" i="39"/>
  <c r="L124" i="39"/>
  <c r="M124" i="39"/>
  <c r="N124" i="39"/>
  <c r="O124" i="39"/>
  <c r="P124" i="39"/>
  <c r="Q124" i="39"/>
  <c r="R124" i="39"/>
  <c r="S124" i="39"/>
  <c r="T124" i="39"/>
  <c r="U124" i="39"/>
  <c r="V124" i="39"/>
  <c r="W124" i="39"/>
  <c r="X124" i="39"/>
  <c r="Y124" i="39"/>
  <c r="Z124" i="39"/>
  <c r="L125" i="39"/>
  <c r="M125" i="39"/>
  <c r="N125" i="39"/>
  <c r="O125" i="39"/>
  <c r="P125" i="39"/>
  <c r="Q125" i="39"/>
  <c r="R125" i="39"/>
  <c r="S125" i="39"/>
  <c r="T125" i="39"/>
  <c r="U125" i="39"/>
  <c r="V125" i="39"/>
  <c r="W125" i="39"/>
  <c r="X125" i="39"/>
  <c r="Y125" i="39"/>
  <c r="Z125" i="39"/>
  <c r="L126" i="39"/>
  <c r="M126" i="39"/>
  <c r="N126" i="39"/>
  <c r="AH118" i="39"/>
  <c r="AI119" i="39"/>
  <c r="AE118" i="39"/>
  <c r="AF119" i="39"/>
  <c r="AA114" i="39"/>
  <c r="AF114" i="39" s="1"/>
  <c r="AA115" i="39"/>
  <c r="AF115" i="39" s="1"/>
  <c r="AA116" i="39"/>
  <c r="AI116" i="39" s="1"/>
  <c r="AA117" i="39"/>
  <c r="AI117" i="39" s="1"/>
  <c r="AA118" i="39"/>
  <c r="AF118" i="39" s="1"/>
  <c r="AA119" i="39"/>
  <c r="L114" i="39"/>
  <c r="M114" i="39"/>
  <c r="N114" i="39"/>
  <c r="L115" i="39"/>
  <c r="M115" i="39"/>
  <c r="N115" i="39"/>
  <c r="L116" i="39"/>
  <c r="M116" i="39"/>
  <c r="N116" i="39"/>
  <c r="L117" i="39"/>
  <c r="M117" i="39"/>
  <c r="N117" i="39"/>
  <c r="L118" i="39"/>
  <c r="M118" i="39"/>
  <c r="N118" i="39"/>
  <c r="L119" i="39"/>
  <c r="M119" i="39"/>
  <c r="N119" i="39"/>
  <c r="AH110" i="39"/>
  <c r="AI110" i="39"/>
  <c r="AE106" i="39"/>
  <c r="AE110" i="39"/>
  <c r="AA106" i="39"/>
  <c r="AF106" i="39" s="1"/>
  <c r="AA107" i="39"/>
  <c r="AF107" i="39" s="1"/>
  <c r="AA108" i="39"/>
  <c r="AF108" i="39" s="1"/>
  <c r="AA109" i="39"/>
  <c r="AI109" i="39" s="1"/>
  <c r="AA110" i="39"/>
  <c r="AB110" i="39" s="1"/>
  <c r="AA111" i="39"/>
  <c r="AF111" i="39" s="1"/>
  <c r="L106" i="39"/>
  <c r="M106" i="39"/>
  <c r="N106" i="39"/>
  <c r="L107" i="39"/>
  <c r="M107" i="39"/>
  <c r="N107" i="39"/>
  <c r="L108" i="39"/>
  <c r="M108" i="39"/>
  <c r="N108" i="39"/>
  <c r="L109" i="39"/>
  <c r="M109" i="39"/>
  <c r="N109" i="39"/>
  <c r="L110" i="39"/>
  <c r="M110" i="39"/>
  <c r="N110" i="39"/>
  <c r="L111" i="39"/>
  <c r="M111" i="39"/>
  <c r="N111" i="39"/>
  <c r="AI101" i="39"/>
  <c r="AH102" i="39"/>
  <c r="AI103" i="39"/>
  <c r="AF101" i="39"/>
  <c r="AE102" i="39"/>
  <c r="AF103" i="39"/>
  <c r="AA98" i="39"/>
  <c r="AI98" i="39" s="1"/>
  <c r="AA99" i="39"/>
  <c r="AF99" i="39" s="1"/>
  <c r="AA100" i="39"/>
  <c r="AF100" i="39" s="1"/>
  <c r="AA101" i="39"/>
  <c r="AB101" i="39" s="1"/>
  <c r="AA102" i="39"/>
  <c r="AI102" i="39" s="1"/>
  <c r="AA103" i="39"/>
  <c r="L98" i="39"/>
  <c r="M98" i="39"/>
  <c r="N98" i="39"/>
  <c r="L99" i="39"/>
  <c r="M99" i="39"/>
  <c r="N99" i="39"/>
  <c r="L100" i="39"/>
  <c r="M100" i="39"/>
  <c r="N100" i="39"/>
  <c r="L101" i="39"/>
  <c r="M101" i="39"/>
  <c r="N101" i="39"/>
  <c r="L102" i="39"/>
  <c r="M102" i="39"/>
  <c r="N102" i="39"/>
  <c r="L103" i="39"/>
  <c r="M103" i="39"/>
  <c r="N103" i="39"/>
  <c r="AD93" i="39"/>
  <c r="AD94" i="39"/>
  <c r="AG93" i="39"/>
  <c r="AG94" i="39"/>
  <c r="O93" i="39"/>
  <c r="P93" i="39"/>
  <c r="Q93" i="39"/>
  <c r="R93" i="39"/>
  <c r="S93" i="39"/>
  <c r="T93" i="39"/>
  <c r="U93" i="39"/>
  <c r="V93" i="39"/>
  <c r="W93" i="39"/>
  <c r="X93" i="39"/>
  <c r="Y93" i="39"/>
  <c r="Z93" i="39"/>
  <c r="O94" i="39"/>
  <c r="P94" i="39"/>
  <c r="Q94" i="39"/>
  <c r="R94" i="39"/>
  <c r="S94" i="39"/>
  <c r="T94" i="39"/>
  <c r="U94" i="39"/>
  <c r="V94" i="39"/>
  <c r="W94" i="39"/>
  <c r="X94" i="39"/>
  <c r="Y94" i="39"/>
  <c r="Z94" i="39"/>
  <c r="AF91" i="39"/>
  <c r="AA91" i="39"/>
  <c r="AI91" i="39" s="1"/>
  <c r="AA92" i="39"/>
  <c r="AF92" i="39" s="1"/>
  <c r="N91" i="39"/>
  <c r="N92" i="39"/>
  <c r="I91" i="39"/>
  <c r="J91" i="39"/>
  <c r="I92" i="39"/>
  <c r="J92" i="39"/>
  <c r="AA35" i="39"/>
  <c r="AI35" i="39" s="1"/>
  <c r="AA36" i="39"/>
  <c r="AA37" i="39"/>
  <c r="AF37" i="39" s="1"/>
  <c r="AA38" i="39"/>
  <c r="AA39" i="39"/>
  <c r="AA40" i="39"/>
  <c r="AA41" i="39"/>
  <c r="AB41" i="39" s="1"/>
  <c r="AA45" i="39"/>
  <c r="AA46" i="39"/>
  <c r="AF46" i="39" s="1"/>
  <c r="AA47" i="39"/>
  <c r="AI47" i="39" s="1"/>
  <c r="AA48" i="39"/>
  <c r="AA49" i="39"/>
  <c r="AA53" i="39" s="1"/>
  <c r="AA50" i="39"/>
  <c r="AI50" i="39" s="1"/>
  <c r="AA51" i="39"/>
  <c r="AF51" i="39" s="1"/>
  <c r="AA55" i="39"/>
  <c r="AI55" i="39" s="1"/>
  <c r="AA56" i="39"/>
  <c r="AA57" i="39"/>
  <c r="AI57" i="39" s="1"/>
  <c r="AA58" i="39"/>
  <c r="AA59" i="39"/>
  <c r="AI59" i="39" s="1"/>
  <c r="AA60" i="39"/>
  <c r="AA61" i="39"/>
  <c r="AI61" i="39" s="1"/>
  <c r="AA65" i="39"/>
  <c r="AA66" i="39"/>
  <c r="AF66" i="39" s="1"/>
  <c r="AA67" i="39"/>
  <c r="AA68" i="39"/>
  <c r="AI68" i="39" s="1"/>
  <c r="AA69" i="39"/>
  <c r="AA70" i="39"/>
  <c r="AI70" i="39" s="1"/>
  <c r="AA71" i="39"/>
  <c r="AA75" i="39"/>
  <c r="AF75" i="39" s="1"/>
  <c r="AA76" i="39"/>
  <c r="AA77" i="39"/>
  <c r="AF77" i="39" s="1"/>
  <c r="AA78" i="39"/>
  <c r="AF78" i="39" s="1"/>
  <c r="AA79" i="39"/>
  <c r="AB79" i="39" s="1"/>
  <c r="AA80" i="39"/>
  <c r="AA83" i="39"/>
  <c r="AF83" i="39" s="1"/>
  <c r="AA85" i="39"/>
  <c r="AA88" i="39" s="1"/>
  <c r="AA86" i="39"/>
  <c r="AF86" i="39" s="1"/>
  <c r="AA87" i="39"/>
  <c r="AI87" i="39" s="1"/>
  <c r="N85" i="39"/>
  <c r="N143" i="39" s="1"/>
  <c r="N86" i="39"/>
  <c r="N87" i="39"/>
  <c r="N144" i="39" s="1"/>
  <c r="N88" i="39"/>
  <c r="N145" i="39" s="1"/>
  <c r="AE83" i="39"/>
  <c r="L85" i="39"/>
  <c r="M85" i="39"/>
  <c r="L86" i="39"/>
  <c r="M86" i="39"/>
  <c r="L87" i="39"/>
  <c r="M87" i="39"/>
  <c r="I85" i="39"/>
  <c r="J85" i="39"/>
  <c r="I86" i="39"/>
  <c r="J86" i="39"/>
  <c r="I87" i="39"/>
  <c r="J87" i="39"/>
  <c r="I88" i="39"/>
  <c r="J88" i="39"/>
  <c r="Q84" i="39"/>
  <c r="X84" i="39"/>
  <c r="AI83" i="39"/>
  <c r="L83" i="39"/>
  <c r="M83" i="39"/>
  <c r="N83" i="39"/>
  <c r="I83" i="39"/>
  <c r="J83" i="39"/>
  <c r="AG82" i="39"/>
  <c r="AH84" i="39" s="1"/>
  <c r="AD82" i="39"/>
  <c r="AE84" i="39" s="1"/>
  <c r="O82" i="39"/>
  <c r="O84" i="39" s="1"/>
  <c r="P82" i="39"/>
  <c r="P84" i="39" s="1"/>
  <c r="Q82" i="39"/>
  <c r="R82" i="39"/>
  <c r="R84" i="39" s="1"/>
  <c r="S82" i="39"/>
  <c r="S84" i="39" s="1"/>
  <c r="T82" i="39"/>
  <c r="T84" i="39" s="1"/>
  <c r="U82" i="39"/>
  <c r="U84" i="39" s="1"/>
  <c r="V82" i="39"/>
  <c r="V84" i="39" s="1"/>
  <c r="W82" i="39"/>
  <c r="W84" i="39" s="1"/>
  <c r="X82" i="39"/>
  <c r="Y82" i="39"/>
  <c r="Y84" i="39" s="1"/>
  <c r="Z82" i="39"/>
  <c r="Z84" i="39" s="1"/>
  <c r="AI76" i="39"/>
  <c r="AI80" i="39"/>
  <c r="AF76" i="39"/>
  <c r="AF80" i="39"/>
  <c r="AH75" i="39"/>
  <c r="AH76" i="39"/>
  <c r="AH77" i="39"/>
  <c r="AH78" i="39"/>
  <c r="AH79" i="39"/>
  <c r="AH80" i="39"/>
  <c r="AE75" i="39"/>
  <c r="AE76" i="39"/>
  <c r="AE77" i="39"/>
  <c r="AE78" i="39"/>
  <c r="AE79" i="39"/>
  <c r="AE80" i="39"/>
  <c r="AB76" i="39"/>
  <c r="AB78" i="39"/>
  <c r="AB80" i="39"/>
  <c r="L75" i="39"/>
  <c r="M75" i="39"/>
  <c r="N75" i="39"/>
  <c r="L76" i="39"/>
  <c r="M76" i="39"/>
  <c r="N76" i="39"/>
  <c r="L77" i="39"/>
  <c r="M77" i="39"/>
  <c r="N77" i="39"/>
  <c r="L78" i="39"/>
  <c r="M78" i="39"/>
  <c r="N78" i="39"/>
  <c r="L79" i="39"/>
  <c r="M79" i="39"/>
  <c r="N79" i="39"/>
  <c r="L80" i="39"/>
  <c r="M80" i="39"/>
  <c r="N80" i="39"/>
  <c r="L81" i="39"/>
  <c r="M81" i="39"/>
  <c r="N81" i="39"/>
  <c r="I75" i="39"/>
  <c r="J75" i="39"/>
  <c r="I76" i="39"/>
  <c r="J76" i="39"/>
  <c r="I77" i="39"/>
  <c r="J77" i="39"/>
  <c r="I78" i="39"/>
  <c r="J78" i="39"/>
  <c r="I79" i="39"/>
  <c r="J79" i="39"/>
  <c r="I80" i="39"/>
  <c r="J80" i="39"/>
  <c r="I81" i="39"/>
  <c r="J81" i="39"/>
  <c r="AG73" i="39"/>
  <c r="AH74" i="39" s="1"/>
  <c r="AD73" i="39"/>
  <c r="AE74" i="39" s="1"/>
  <c r="O73" i="39"/>
  <c r="O74" i="39" s="1"/>
  <c r="P73" i="39"/>
  <c r="Q73" i="39"/>
  <c r="Q74" i="39" s="1"/>
  <c r="R73" i="39"/>
  <c r="S73" i="39"/>
  <c r="S74" i="39" s="1"/>
  <c r="T73" i="39"/>
  <c r="T74" i="39" s="1"/>
  <c r="U73" i="39"/>
  <c r="U74" i="39" s="1"/>
  <c r="V73" i="39"/>
  <c r="V74" i="39" s="1"/>
  <c r="W73" i="39"/>
  <c r="W74" i="39" s="1"/>
  <c r="X73" i="39"/>
  <c r="Y73" i="39"/>
  <c r="Y74" i="39" s="1"/>
  <c r="Z73" i="39"/>
  <c r="P74" i="39"/>
  <c r="R74" i="39"/>
  <c r="X74" i="39"/>
  <c r="Z74" i="39"/>
  <c r="AI65" i="39"/>
  <c r="AI67" i="39"/>
  <c r="AI69" i="39"/>
  <c r="AI71" i="39"/>
  <c r="AF65" i="39"/>
  <c r="AF67" i="39"/>
  <c r="AF69" i="39"/>
  <c r="AH71" i="39"/>
  <c r="AE71" i="39"/>
  <c r="AE64" i="39"/>
  <c r="AB66" i="39"/>
  <c r="AB67" i="39"/>
  <c r="L65" i="39"/>
  <c r="M65" i="39"/>
  <c r="N65" i="39"/>
  <c r="L66" i="39"/>
  <c r="M66" i="39"/>
  <c r="N66" i="39"/>
  <c r="L67" i="39"/>
  <c r="M67" i="39"/>
  <c r="N67" i="39"/>
  <c r="L68" i="39"/>
  <c r="M68" i="39"/>
  <c r="N68" i="39"/>
  <c r="L69" i="39"/>
  <c r="M69" i="39"/>
  <c r="N69" i="39"/>
  <c r="L70" i="39"/>
  <c r="M70" i="39"/>
  <c r="N70" i="39"/>
  <c r="L71" i="39"/>
  <c r="M71" i="39"/>
  <c r="N71" i="39"/>
  <c r="L72" i="39"/>
  <c r="M72" i="39"/>
  <c r="N72" i="39"/>
  <c r="I65" i="39"/>
  <c r="J65" i="39"/>
  <c r="I66" i="39"/>
  <c r="J66" i="39"/>
  <c r="I67" i="39"/>
  <c r="J67" i="39"/>
  <c r="I68" i="39"/>
  <c r="J68" i="39"/>
  <c r="I69" i="39"/>
  <c r="J69" i="39"/>
  <c r="I70" i="39"/>
  <c r="J70" i="39"/>
  <c r="I71" i="39"/>
  <c r="J71" i="39"/>
  <c r="I72" i="39"/>
  <c r="J72" i="39"/>
  <c r="AG63" i="39"/>
  <c r="AH64" i="39" s="1"/>
  <c r="AD63" i="39"/>
  <c r="O63" i="39"/>
  <c r="O64" i="39" s="1"/>
  <c r="P63" i="39"/>
  <c r="P64" i="39" s="1"/>
  <c r="Q63" i="39"/>
  <c r="R63" i="39"/>
  <c r="R64" i="39" s="1"/>
  <c r="S63" i="39"/>
  <c r="S64" i="39" s="1"/>
  <c r="T63" i="39"/>
  <c r="U63" i="39"/>
  <c r="U64" i="39" s="1"/>
  <c r="V63" i="39"/>
  <c r="W63" i="39"/>
  <c r="W64" i="39" s="1"/>
  <c r="X63" i="39"/>
  <c r="X64" i="39" s="1"/>
  <c r="Y63" i="39"/>
  <c r="Z63" i="39"/>
  <c r="Z64" i="39" s="1"/>
  <c r="Q64" i="39"/>
  <c r="T64" i="39"/>
  <c r="V64" i="39"/>
  <c r="Y64" i="39"/>
  <c r="AI56" i="39"/>
  <c r="AI58" i="39"/>
  <c r="AI60" i="39"/>
  <c r="AF56" i="39"/>
  <c r="AF58" i="39"/>
  <c r="AF60" i="39"/>
  <c r="AH61" i="39"/>
  <c r="AE61" i="39"/>
  <c r="AH58" i="39"/>
  <c r="L55" i="39"/>
  <c r="M55" i="39"/>
  <c r="N55" i="39"/>
  <c r="L56" i="39"/>
  <c r="M56" i="39"/>
  <c r="N56" i="39"/>
  <c r="L57" i="39"/>
  <c r="M57" i="39"/>
  <c r="N57" i="39"/>
  <c r="L58" i="39"/>
  <c r="M58" i="39"/>
  <c r="N58" i="39"/>
  <c r="L59" i="39"/>
  <c r="M59" i="39"/>
  <c r="N59" i="39"/>
  <c r="L60" i="39"/>
  <c r="M60" i="39"/>
  <c r="N60" i="39"/>
  <c r="L61" i="39"/>
  <c r="M61" i="39"/>
  <c r="N61" i="39"/>
  <c r="L62" i="39"/>
  <c r="M62" i="39"/>
  <c r="N62" i="39"/>
  <c r="I55" i="39"/>
  <c r="J55" i="39"/>
  <c r="I56" i="39"/>
  <c r="J56" i="39"/>
  <c r="I57" i="39"/>
  <c r="J57" i="39"/>
  <c r="I58" i="39"/>
  <c r="J58" i="39"/>
  <c r="I59" i="39"/>
  <c r="J59" i="39"/>
  <c r="I60" i="39"/>
  <c r="J60" i="39"/>
  <c r="I61" i="39"/>
  <c r="J61" i="39"/>
  <c r="I62" i="39"/>
  <c r="J62" i="39"/>
  <c r="AG53" i="39"/>
  <c r="AH54" i="39" s="1"/>
  <c r="AD53" i="39"/>
  <c r="AE54" i="39" s="1"/>
  <c r="O53" i="39"/>
  <c r="P53" i="39"/>
  <c r="P54" i="39" s="1"/>
  <c r="Q53" i="39"/>
  <c r="Q54" i="39" s="1"/>
  <c r="R53" i="39"/>
  <c r="S53" i="39"/>
  <c r="S54" i="39" s="1"/>
  <c r="T53" i="39"/>
  <c r="U53" i="39"/>
  <c r="U54" i="39" s="1"/>
  <c r="V53" i="39"/>
  <c r="V54" i="39" s="1"/>
  <c r="W53" i="39"/>
  <c r="X53" i="39"/>
  <c r="X54" i="39" s="1"/>
  <c r="Y53" i="39"/>
  <c r="Y54" i="39" s="1"/>
  <c r="Z53" i="39"/>
  <c r="O54" i="39"/>
  <c r="R54" i="39"/>
  <c r="T54" i="39"/>
  <c r="W54" i="39"/>
  <c r="Z54" i="39"/>
  <c r="AI45" i="39"/>
  <c r="AI48" i="39"/>
  <c r="AI51" i="39"/>
  <c r="AF45" i="39"/>
  <c r="AF48" i="39"/>
  <c r="AF50" i="39"/>
  <c r="AH51" i="39"/>
  <c r="AE51" i="39"/>
  <c r="AH49" i="39"/>
  <c r="AE44" i="39"/>
  <c r="L45" i="39"/>
  <c r="M45" i="39"/>
  <c r="N45" i="39"/>
  <c r="L46" i="39"/>
  <c r="M46" i="39"/>
  <c r="N46" i="39"/>
  <c r="L47" i="39"/>
  <c r="M47" i="39"/>
  <c r="N47" i="39"/>
  <c r="L48" i="39"/>
  <c r="M48" i="39"/>
  <c r="N48" i="39"/>
  <c r="L49" i="39"/>
  <c r="M49" i="39"/>
  <c r="N49" i="39"/>
  <c r="L50" i="39"/>
  <c r="M50" i="39"/>
  <c r="N50" i="39"/>
  <c r="L51" i="39"/>
  <c r="M51" i="39"/>
  <c r="N51" i="39"/>
  <c r="L52" i="39"/>
  <c r="M52" i="39"/>
  <c r="N52" i="39"/>
  <c r="I45" i="39"/>
  <c r="J45" i="39"/>
  <c r="I46" i="39"/>
  <c r="J46" i="39"/>
  <c r="I47" i="39"/>
  <c r="J47" i="39"/>
  <c r="I48" i="39"/>
  <c r="J48" i="39"/>
  <c r="I49" i="39"/>
  <c r="J49" i="39"/>
  <c r="I50" i="39"/>
  <c r="J50" i="39"/>
  <c r="I51" i="39"/>
  <c r="J51" i="39"/>
  <c r="I52" i="39"/>
  <c r="J52" i="39"/>
  <c r="AG43" i="39"/>
  <c r="AH44" i="39" s="1"/>
  <c r="AD43" i="39"/>
  <c r="O43" i="39"/>
  <c r="O44" i="39" s="1"/>
  <c r="P43" i="39"/>
  <c r="Q43" i="39"/>
  <c r="Q44" i="39" s="1"/>
  <c r="R43" i="39"/>
  <c r="R44" i="39" s="1"/>
  <c r="S43" i="39"/>
  <c r="S44" i="39" s="1"/>
  <c r="T43" i="39"/>
  <c r="T44" i="39" s="1"/>
  <c r="U43" i="39"/>
  <c r="V43" i="39"/>
  <c r="W43" i="39"/>
  <c r="W44" i="39" s="1"/>
  <c r="X43" i="39"/>
  <c r="Y43" i="39"/>
  <c r="Y44" i="39" s="1"/>
  <c r="Z43" i="39"/>
  <c r="Z44" i="39" s="1"/>
  <c r="P44" i="39"/>
  <c r="U44" i="39"/>
  <c r="V44" i="39"/>
  <c r="X44" i="39"/>
  <c r="AI36" i="39"/>
  <c r="AI37" i="39"/>
  <c r="AI39" i="39"/>
  <c r="AI40" i="39"/>
  <c r="AI41" i="39"/>
  <c r="AF36" i="39"/>
  <c r="AF40" i="39"/>
  <c r="AF41" i="39"/>
  <c r="AH41" i="39"/>
  <c r="AE41" i="39"/>
  <c r="AH36" i="39"/>
  <c r="AE37" i="39"/>
  <c r="L35" i="39"/>
  <c r="M35" i="39"/>
  <c r="N35" i="39"/>
  <c r="L36" i="39"/>
  <c r="M36" i="39"/>
  <c r="N36" i="39"/>
  <c r="L37" i="39"/>
  <c r="M37" i="39"/>
  <c r="N37" i="39"/>
  <c r="L38" i="39"/>
  <c r="M38" i="39"/>
  <c r="N38" i="39"/>
  <c r="L39" i="39"/>
  <c r="M39" i="39"/>
  <c r="N39" i="39"/>
  <c r="L40" i="39"/>
  <c r="M40" i="39"/>
  <c r="N40" i="39"/>
  <c r="L41" i="39"/>
  <c r="M41" i="39"/>
  <c r="N41" i="39"/>
  <c r="L42" i="39"/>
  <c r="M42" i="39"/>
  <c r="N42" i="39"/>
  <c r="I35" i="39"/>
  <c r="J35" i="39"/>
  <c r="I36" i="39"/>
  <c r="J36" i="39"/>
  <c r="I37" i="39"/>
  <c r="J37" i="39"/>
  <c r="I38" i="39"/>
  <c r="J38" i="39"/>
  <c r="I39" i="39"/>
  <c r="J39" i="39"/>
  <c r="I40" i="39"/>
  <c r="J40" i="39"/>
  <c r="I41" i="39"/>
  <c r="J41" i="39"/>
  <c r="I42" i="39"/>
  <c r="J42" i="39"/>
  <c r="AG32" i="39"/>
  <c r="AD32" i="39"/>
  <c r="O32" i="39"/>
  <c r="P32" i="39"/>
  <c r="Q32" i="39"/>
  <c r="R32" i="39"/>
  <c r="S32" i="39"/>
  <c r="T32" i="39"/>
  <c r="U32" i="39"/>
  <c r="V32" i="39"/>
  <c r="W32" i="39"/>
  <c r="X32" i="39"/>
  <c r="Y32" i="39"/>
  <c r="Z32" i="39"/>
  <c r="AG31" i="39"/>
  <c r="AD31" i="39"/>
  <c r="O31" i="39"/>
  <c r="P31" i="39"/>
  <c r="Q31" i="39"/>
  <c r="R31" i="39"/>
  <c r="S31" i="39"/>
  <c r="T31" i="39"/>
  <c r="U31" i="39"/>
  <c r="V31" i="39"/>
  <c r="W31" i="39"/>
  <c r="X31" i="39"/>
  <c r="Y31" i="39"/>
  <c r="Z31" i="39"/>
  <c r="AA31" i="39"/>
  <c r="N26" i="39"/>
  <c r="N27" i="39"/>
  <c r="N28" i="39"/>
  <c r="N29" i="39"/>
  <c r="B23" i="39"/>
  <c r="AG16" i="39"/>
  <c r="AG19" i="39"/>
  <c r="AH115" i="39" s="1"/>
  <c r="AG20" i="39"/>
  <c r="AH87" i="39" s="1"/>
  <c r="AD19" i="39"/>
  <c r="AE123" i="39" s="1"/>
  <c r="AD20" i="39"/>
  <c r="AE87" i="39" s="1"/>
  <c r="G19" i="39"/>
  <c r="G20" i="39"/>
  <c r="N19" i="39"/>
  <c r="O19" i="39"/>
  <c r="P19" i="39"/>
  <c r="Q19" i="39"/>
  <c r="R19" i="39"/>
  <c r="S19" i="39"/>
  <c r="T19" i="39"/>
  <c r="U19" i="39"/>
  <c r="V19" i="39"/>
  <c r="W19" i="39"/>
  <c r="X19" i="39"/>
  <c r="Y19" i="39"/>
  <c r="Z19" i="39"/>
  <c r="N20" i="39"/>
  <c r="O20" i="39"/>
  <c r="P20" i="39"/>
  <c r="Q20" i="39"/>
  <c r="R20" i="39"/>
  <c r="S20" i="39"/>
  <c r="T20" i="39"/>
  <c r="U20" i="39"/>
  <c r="V20" i="39"/>
  <c r="W20" i="39"/>
  <c r="X20" i="39"/>
  <c r="Y20" i="39"/>
  <c r="Z20" i="39"/>
  <c r="B17" i="39"/>
  <c r="B18" i="39"/>
  <c r="B19" i="39"/>
  <c r="O16" i="39"/>
  <c r="P16" i="39"/>
  <c r="Q16" i="39"/>
  <c r="R16" i="39"/>
  <c r="S16" i="39"/>
  <c r="T16" i="39"/>
  <c r="U16" i="39"/>
  <c r="V16" i="39"/>
  <c r="W16" i="39"/>
  <c r="X16" i="39"/>
  <c r="Y16" i="39"/>
  <c r="Z16" i="39"/>
  <c r="O17" i="39"/>
  <c r="P17" i="39"/>
  <c r="Q17" i="39"/>
  <c r="R17" i="39"/>
  <c r="S17" i="39"/>
  <c r="T17" i="39"/>
  <c r="U17" i="39"/>
  <c r="V17" i="39"/>
  <c r="W17" i="39"/>
  <c r="X17" i="39"/>
  <c r="Y17" i="39"/>
  <c r="Z17" i="39"/>
  <c r="AA17" i="39" s="1"/>
  <c r="AA11" i="39" s="1"/>
  <c r="AA18" i="39" s="1"/>
  <c r="A14" i="39"/>
  <c r="AG12" i="39"/>
  <c r="AG13" i="39"/>
  <c r="AD12" i="39"/>
  <c r="AD13" i="39"/>
  <c r="B12" i="39"/>
  <c r="B13" i="39"/>
  <c r="O11" i="39"/>
  <c r="P11" i="39"/>
  <c r="Q11" i="39"/>
  <c r="R11" i="39"/>
  <c r="S11" i="39"/>
  <c r="T11" i="39"/>
  <c r="U11" i="39"/>
  <c r="V11" i="39"/>
  <c r="W11" i="39"/>
  <c r="X11" i="39"/>
  <c r="Y11" i="39"/>
  <c r="Z11" i="39"/>
  <c r="O12" i="39"/>
  <c r="P12" i="39"/>
  <c r="Q12" i="39"/>
  <c r="R12" i="39"/>
  <c r="S12" i="39"/>
  <c r="T12" i="39"/>
  <c r="U12" i="39"/>
  <c r="V12" i="39"/>
  <c r="W12" i="39"/>
  <c r="X12" i="39"/>
  <c r="Y12" i="39"/>
  <c r="Z12" i="39"/>
  <c r="AA12" i="39"/>
  <c r="O13" i="39"/>
  <c r="P13" i="39"/>
  <c r="Q13" i="39"/>
  <c r="R13" i="39"/>
  <c r="S13" i="39"/>
  <c r="T13" i="39"/>
  <c r="U13" i="39"/>
  <c r="V13" i="39"/>
  <c r="W13" i="39"/>
  <c r="X13" i="39"/>
  <c r="Y13" i="39"/>
  <c r="Z13" i="39"/>
  <c r="AA13" i="39"/>
  <c r="C10" i="39"/>
  <c r="D10" i="39"/>
  <c r="C9" i="39"/>
  <c r="C1" i="39"/>
  <c r="C2" i="39"/>
  <c r="C3" i="39"/>
  <c r="C4" i="39"/>
  <c r="C5" i="39"/>
  <c r="C6" i="39"/>
  <c r="C7" i="39"/>
  <c r="C8" i="39"/>
  <c r="E6" i="39"/>
  <c r="E4" i="39"/>
  <c r="F4" i="39"/>
  <c r="B3" i="39"/>
  <c r="AG121" i="9"/>
  <c r="AD121" i="9"/>
  <c r="O121" i="9"/>
  <c r="P121" i="9"/>
  <c r="Q121" i="9"/>
  <c r="R121" i="9"/>
  <c r="S121" i="9"/>
  <c r="T121" i="9"/>
  <c r="U121" i="9"/>
  <c r="V121" i="9"/>
  <c r="W121" i="9"/>
  <c r="X121" i="9"/>
  <c r="Y121" i="9"/>
  <c r="Z121" i="9"/>
  <c r="B120" i="9"/>
  <c r="N118" i="9"/>
  <c r="N121" i="9" s="1"/>
  <c r="N119" i="9"/>
  <c r="N122" i="9" s="1"/>
  <c r="AA118" i="9"/>
  <c r="AI118" i="9" s="1"/>
  <c r="I118" i="9"/>
  <c r="J118" i="9"/>
  <c r="I119" i="9"/>
  <c r="AA119" i="9" s="1"/>
  <c r="J119" i="9"/>
  <c r="N92" i="9"/>
  <c r="N93" i="9"/>
  <c r="N94" i="9"/>
  <c r="N95" i="9"/>
  <c r="N96" i="9"/>
  <c r="N97" i="9"/>
  <c r="N98" i="9"/>
  <c r="N99" i="9"/>
  <c r="N100" i="9"/>
  <c r="N101" i="9"/>
  <c r="N102" i="9"/>
  <c r="N103" i="9"/>
  <c r="N104" i="9"/>
  <c r="N105" i="9"/>
  <c r="N106" i="9"/>
  <c r="N107" i="9"/>
  <c r="N108" i="9"/>
  <c r="N109" i="9"/>
  <c r="N110" i="9"/>
  <c r="N111" i="9"/>
  <c r="N112" i="9"/>
  <c r="N113" i="9"/>
  <c r="N114" i="9"/>
  <c r="N115" i="9"/>
  <c r="N116" i="9"/>
  <c r="I116" i="9"/>
  <c r="AA116" i="9" s="1"/>
  <c r="J116" i="9"/>
  <c r="B114" i="9"/>
  <c r="B115" i="9"/>
  <c r="B116" i="9"/>
  <c r="A111" i="9"/>
  <c r="AH100" i="9"/>
  <c r="AH101" i="9"/>
  <c r="AH109" i="9"/>
  <c r="AH111" i="9"/>
  <c r="AE100" i="9"/>
  <c r="AE103" i="9"/>
  <c r="AE104" i="9"/>
  <c r="AE109" i="9"/>
  <c r="AE110" i="9"/>
  <c r="AE111" i="9"/>
  <c r="AE112" i="9"/>
  <c r="AE115" i="9"/>
  <c r="AA99" i="9"/>
  <c r="AI99" i="9" s="1"/>
  <c r="AA104" i="9"/>
  <c r="AI104" i="9" s="1"/>
  <c r="AA107" i="9"/>
  <c r="AI107" i="9" s="1"/>
  <c r="AA114" i="9"/>
  <c r="AF114" i="9" s="1"/>
  <c r="AA115" i="9"/>
  <c r="AI115" i="9" s="1"/>
  <c r="I93" i="9"/>
  <c r="AA93" i="9" s="1"/>
  <c r="J93" i="9"/>
  <c r="L93" i="9"/>
  <c r="M93" i="9"/>
  <c r="I94" i="9"/>
  <c r="K94" i="9" s="1"/>
  <c r="J94" i="9"/>
  <c r="L94" i="9"/>
  <c r="M94" i="9"/>
  <c r="I95" i="9"/>
  <c r="AA95" i="9" s="1"/>
  <c r="J95" i="9"/>
  <c r="L95" i="9"/>
  <c r="M95" i="9"/>
  <c r="I96" i="9"/>
  <c r="AA96" i="9" s="1"/>
  <c r="AI96" i="9" s="1"/>
  <c r="J96" i="9"/>
  <c r="K96" i="9"/>
  <c r="L96" i="9"/>
  <c r="M96" i="9"/>
  <c r="I97" i="9"/>
  <c r="AA97" i="9" s="1"/>
  <c r="J97" i="9"/>
  <c r="L97" i="9"/>
  <c r="M97" i="9"/>
  <c r="I98" i="9"/>
  <c r="J98" i="9"/>
  <c r="L98" i="9"/>
  <c r="M98" i="9"/>
  <c r="I99" i="9"/>
  <c r="J99" i="9"/>
  <c r="L99" i="9"/>
  <c r="M99" i="9"/>
  <c r="I100" i="9"/>
  <c r="J100" i="9"/>
  <c r="L100" i="9"/>
  <c r="M100" i="9"/>
  <c r="I101" i="9"/>
  <c r="AA101" i="9" s="1"/>
  <c r="J101" i="9"/>
  <c r="K101" i="9" s="1"/>
  <c r="L101" i="9"/>
  <c r="M101" i="9"/>
  <c r="I102" i="9"/>
  <c r="K102" i="9" s="1"/>
  <c r="J102" i="9"/>
  <c r="L102" i="9"/>
  <c r="M102" i="9"/>
  <c r="I103" i="9"/>
  <c r="AA103" i="9" s="1"/>
  <c r="J103" i="9"/>
  <c r="L103" i="9"/>
  <c r="M103" i="9"/>
  <c r="I104" i="9"/>
  <c r="J104" i="9"/>
  <c r="K104" i="9"/>
  <c r="L104" i="9"/>
  <c r="M104" i="9"/>
  <c r="I105" i="9"/>
  <c r="AA105" i="9" s="1"/>
  <c r="J105" i="9"/>
  <c r="L105" i="9"/>
  <c r="M105" i="9"/>
  <c r="I106" i="9"/>
  <c r="AA106" i="9" s="1"/>
  <c r="AF106" i="9" s="1"/>
  <c r="J106" i="9"/>
  <c r="L106" i="9"/>
  <c r="M106" i="9"/>
  <c r="I107" i="9"/>
  <c r="J107" i="9"/>
  <c r="L107" i="9"/>
  <c r="M107" i="9"/>
  <c r="I108" i="9"/>
  <c r="J108" i="9"/>
  <c r="L108" i="9"/>
  <c r="M108" i="9"/>
  <c r="I109" i="9"/>
  <c r="AA109" i="9" s="1"/>
  <c r="J109" i="9"/>
  <c r="K109" i="9" s="1"/>
  <c r="L109" i="9"/>
  <c r="M109" i="9"/>
  <c r="I110" i="9"/>
  <c r="K110" i="9" s="1"/>
  <c r="J110" i="9"/>
  <c r="L110" i="9"/>
  <c r="M110" i="9"/>
  <c r="I111" i="9"/>
  <c r="AA111" i="9" s="1"/>
  <c r="J111" i="9"/>
  <c r="L111" i="9"/>
  <c r="M111" i="9"/>
  <c r="I112" i="9"/>
  <c r="AA112" i="9" s="1"/>
  <c r="AI112" i="9" s="1"/>
  <c r="J112" i="9"/>
  <c r="K112" i="9"/>
  <c r="L112" i="9"/>
  <c r="M112" i="9"/>
  <c r="I113" i="9"/>
  <c r="AA113" i="9" s="1"/>
  <c r="J113" i="9"/>
  <c r="L113" i="9"/>
  <c r="M113" i="9"/>
  <c r="I114" i="9"/>
  <c r="J114" i="9"/>
  <c r="L114" i="9"/>
  <c r="M114" i="9"/>
  <c r="I115" i="9"/>
  <c r="J115" i="9"/>
  <c r="L115" i="9"/>
  <c r="M115" i="9"/>
  <c r="I92" i="9"/>
  <c r="J92" i="9"/>
  <c r="B88" i="9"/>
  <c r="B89" i="9"/>
  <c r="B83" i="9"/>
  <c r="B84" i="9"/>
  <c r="B85" i="9"/>
  <c r="A80" i="9"/>
  <c r="AH78" i="9"/>
  <c r="AK80" i="9"/>
  <c r="AK88" i="9"/>
  <c r="AE78" i="9"/>
  <c r="AE83" i="9"/>
  <c r="AA77" i="9"/>
  <c r="AI77" i="9" s="1"/>
  <c r="AA85" i="9"/>
  <c r="AI85" i="9" s="1"/>
  <c r="AA89" i="9"/>
  <c r="I76" i="9"/>
  <c r="AA76" i="9" s="1"/>
  <c r="J76" i="9"/>
  <c r="L76" i="9"/>
  <c r="M76" i="9"/>
  <c r="N76" i="9"/>
  <c r="I77" i="9"/>
  <c r="K77" i="9" s="1"/>
  <c r="J77" i="9"/>
  <c r="L77" i="9"/>
  <c r="M77" i="9"/>
  <c r="N77" i="9"/>
  <c r="I78" i="9"/>
  <c r="AA78" i="9" s="1"/>
  <c r="J78" i="9"/>
  <c r="L78" i="9"/>
  <c r="M78" i="9"/>
  <c r="N78" i="9"/>
  <c r="I79" i="9"/>
  <c r="AA79" i="9" s="1"/>
  <c r="J79" i="9"/>
  <c r="L79" i="9"/>
  <c r="M79" i="9"/>
  <c r="N79" i="9"/>
  <c r="I80" i="9"/>
  <c r="AA80" i="9" s="1"/>
  <c r="AI80" i="9" s="1"/>
  <c r="J80" i="9"/>
  <c r="K80" i="9"/>
  <c r="L80" i="9"/>
  <c r="M80" i="9"/>
  <c r="N80" i="9"/>
  <c r="I81" i="9"/>
  <c r="K81" i="9" s="1"/>
  <c r="J81" i="9"/>
  <c r="L81" i="9"/>
  <c r="M81" i="9"/>
  <c r="N81" i="9"/>
  <c r="I82" i="9"/>
  <c r="AA82" i="9" s="1"/>
  <c r="J82" i="9"/>
  <c r="L82" i="9"/>
  <c r="M82" i="9"/>
  <c r="N82" i="9"/>
  <c r="I83" i="9"/>
  <c r="AA83" i="9" s="1"/>
  <c r="J83" i="9"/>
  <c r="L83" i="9"/>
  <c r="M83" i="9"/>
  <c r="N83" i="9"/>
  <c r="I84" i="9"/>
  <c r="AA84" i="9" s="1"/>
  <c r="J84" i="9"/>
  <c r="K84" i="9"/>
  <c r="L84" i="9"/>
  <c r="M84" i="9"/>
  <c r="N84" i="9"/>
  <c r="I85" i="9"/>
  <c r="K85" i="9" s="1"/>
  <c r="J85" i="9"/>
  <c r="L85" i="9"/>
  <c r="M85" i="9"/>
  <c r="N85" i="9"/>
  <c r="I86" i="9"/>
  <c r="AA86" i="9" s="1"/>
  <c r="J86" i="9"/>
  <c r="L86" i="9"/>
  <c r="M86" i="9"/>
  <c r="N86" i="9"/>
  <c r="I87" i="9"/>
  <c r="AA87" i="9" s="1"/>
  <c r="J87" i="9"/>
  <c r="L87" i="9"/>
  <c r="M87" i="9"/>
  <c r="N87" i="9"/>
  <c r="I88" i="9"/>
  <c r="AA88" i="9" s="1"/>
  <c r="AI88" i="9" s="1"/>
  <c r="J88" i="9"/>
  <c r="K88" i="9"/>
  <c r="L88" i="9"/>
  <c r="M88" i="9"/>
  <c r="N88" i="9"/>
  <c r="I89" i="9"/>
  <c r="K89" i="9" s="1"/>
  <c r="J89" i="9"/>
  <c r="L89" i="9"/>
  <c r="M89" i="9"/>
  <c r="N89" i="9"/>
  <c r="I90" i="9"/>
  <c r="AA90" i="9" s="1"/>
  <c r="J90" i="9"/>
  <c r="L90" i="9"/>
  <c r="M90" i="9"/>
  <c r="N90" i="9"/>
  <c r="N74" i="9"/>
  <c r="N75" i="9"/>
  <c r="I74" i="9"/>
  <c r="J74" i="9"/>
  <c r="I75" i="9"/>
  <c r="J75" i="9"/>
  <c r="AD72" i="9"/>
  <c r="AD122" i="9" s="1"/>
  <c r="AG72" i="9"/>
  <c r="N72" i="9"/>
  <c r="O72" i="9"/>
  <c r="O122" i="9" s="1"/>
  <c r="P72" i="9"/>
  <c r="P122" i="9" s="1"/>
  <c r="Q72" i="9"/>
  <c r="Q122" i="9" s="1"/>
  <c r="R72" i="9"/>
  <c r="R122" i="9" s="1"/>
  <c r="S72" i="9"/>
  <c r="S122" i="9" s="1"/>
  <c r="T72" i="9"/>
  <c r="T122" i="9" s="1"/>
  <c r="U72" i="9"/>
  <c r="U122" i="9" s="1"/>
  <c r="V72" i="9"/>
  <c r="V122" i="9" s="1"/>
  <c r="W72" i="9"/>
  <c r="W122" i="9" s="1"/>
  <c r="X72" i="9"/>
  <c r="X122" i="9" s="1"/>
  <c r="Y72" i="9"/>
  <c r="Y122" i="9" s="1"/>
  <c r="Z72" i="9"/>
  <c r="Z122" i="9" s="1"/>
  <c r="AH71" i="9"/>
  <c r="AI71" i="9"/>
  <c r="AB62" i="9"/>
  <c r="AM62" i="9" s="1"/>
  <c r="AB63" i="9"/>
  <c r="AN63" i="9" s="1"/>
  <c r="AB64" i="9"/>
  <c r="AN64" i="9" s="1"/>
  <c r="AB65" i="9"/>
  <c r="AN65" i="9" s="1"/>
  <c r="AB66" i="9"/>
  <c r="AM66" i="9" s="1"/>
  <c r="AB67" i="9"/>
  <c r="AN67" i="9" s="1"/>
  <c r="AB68" i="9"/>
  <c r="AB69" i="9"/>
  <c r="AB70" i="9"/>
  <c r="AM70" i="9" s="1"/>
  <c r="AB71" i="9"/>
  <c r="N60" i="9"/>
  <c r="N61" i="9"/>
  <c r="N62" i="9"/>
  <c r="N63" i="9"/>
  <c r="N64" i="9"/>
  <c r="N65" i="9"/>
  <c r="N66" i="9"/>
  <c r="N67" i="9"/>
  <c r="N68" i="9"/>
  <c r="N69" i="9"/>
  <c r="N70" i="9"/>
  <c r="N71" i="9"/>
  <c r="I71" i="9"/>
  <c r="K71" i="9" s="1"/>
  <c r="J71" i="9"/>
  <c r="I72" i="9"/>
  <c r="J72" i="9"/>
  <c r="AA66" i="9"/>
  <c r="AF66" i="9" s="1"/>
  <c r="AH62" i="9"/>
  <c r="AK62" i="9"/>
  <c r="AH63" i="9"/>
  <c r="AH64" i="9"/>
  <c r="AK64" i="9"/>
  <c r="AH65" i="9"/>
  <c r="AK65" i="9"/>
  <c r="AH66" i="9"/>
  <c r="AN66" i="9" s="1"/>
  <c r="AH67" i="9"/>
  <c r="AH68" i="9"/>
  <c r="AH69" i="9"/>
  <c r="AH70" i="9"/>
  <c r="AK70" i="9"/>
  <c r="AE62" i="9"/>
  <c r="AE63" i="9"/>
  <c r="AE64" i="9"/>
  <c r="AE65" i="9"/>
  <c r="AE66" i="9"/>
  <c r="AE67" i="9"/>
  <c r="AE68" i="9"/>
  <c r="AE69" i="9"/>
  <c r="AE70" i="9"/>
  <c r="AE71" i="9"/>
  <c r="AF71" i="9"/>
  <c r="I62" i="9"/>
  <c r="AA62" i="9" s="1"/>
  <c r="J62" i="9"/>
  <c r="L62" i="9"/>
  <c r="M62" i="9"/>
  <c r="I63" i="9"/>
  <c r="AA63" i="9" s="1"/>
  <c r="J63" i="9"/>
  <c r="L63" i="9"/>
  <c r="M63" i="9"/>
  <c r="I64" i="9"/>
  <c r="K64" i="9" s="1"/>
  <c r="J64" i="9"/>
  <c r="L64" i="9"/>
  <c r="M64" i="9"/>
  <c r="I65" i="9"/>
  <c r="AA65" i="9" s="1"/>
  <c r="J65" i="9"/>
  <c r="L65" i="9"/>
  <c r="M65" i="9"/>
  <c r="I66" i="9"/>
  <c r="J66" i="9"/>
  <c r="K66" i="9"/>
  <c r="L66" i="9"/>
  <c r="M66" i="9"/>
  <c r="I67" i="9"/>
  <c r="AA67" i="9" s="1"/>
  <c r="J67" i="9"/>
  <c r="L67" i="9"/>
  <c r="M67" i="9"/>
  <c r="I68" i="9"/>
  <c r="K68" i="9" s="1"/>
  <c r="J68" i="9"/>
  <c r="L68" i="9"/>
  <c r="M68" i="9"/>
  <c r="I69" i="9"/>
  <c r="AA69" i="9" s="1"/>
  <c r="J69" i="9"/>
  <c r="K69" i="9"/>
  <c r="L69" i="9"/>
  <c r="M69" i="9"/>
  <c r="I70" i="9"/>
  <c r="AA70" i="9" s="1"/>
  <c r="J70" i="9"/>
  <c r="L70" i="9"/>
  <c r="M70" i="9"/>
  <c r="B62" i="9"/>
  <c r="I60" i="9"/>
  <c r="J60" i="9"/>
  <c r="I61" i="9"/>
  <c r="J61" i="9"/>
  <c r="B55" i="9"/>
  <c r="B56" i="9"/>
  <c r="B50" i="9"/>
  <c r="B51" i="9"/>
  <c r="B52" i="9"/>
  <c r="A47" i="9"/>
  <c r="AK36" i="9"/>
  <c r="AK38" i="9"/>
  <c r="AH39" i="9"/>
  <c r="AK39" i="9"/>
  <c r="AK40" i="9"/>
  <c r="AH41" i="9"/>
  <c r="AK41" i="9"/>
  <c r="AK44" i="9"/>
  <c r="AH45" i="9"/>
  <c r="AH46" i="9"/>
  <c r="AK46" i="9"/>
  <c r="AK47" i="9"/>
  <c r="AK48" i="9"/>
  <c r="AK49" i="9"/>
  <c r="AH50" i="9"/>
  <c r="AH51" i="9"/>
  <c r="AH52" i="9"/>
  <c r="AH53" i="9"/>
  <c r="AK54" i="9"/>
  <c r="AH55" i="9"/>
  <c r="AK55" i="9"/>
  <c r="AH56" i="9"/>
  <c r="AK56" i="9"/>
  <c r="AK57" i="9"/>
  <c r="AE39" i="9"/>
  <c r="AE41" i="9"/>
  <c r="AE46" i="9"/>
  <c r="AE47" i="9"/>
  <c r="AE48" i="9"/>
  <c r="AE50" i="9"/>
  <c r="AE51" i="9"/>
  <c r="AE52" i="9"/>
  <c r="AE53" i="9"/>
  <c r="AE55" i="9"/>
  <c r="AE56" i="9"/>
  <c r="AA46" i="9"/>
  <c r="AI46" i="9" s="1"/>
  <c r="AA50" i="9"/>
  <c r="AF50" i="9" s="1"/>
  <c r="AA54" i="9"/>
  <c r="AI54" i="9" s="1"/>
  <c r="AA58" i="9"/>
  <c r="AF58" i="9" s="1"/>
  <c r="I35" i="9"/>
  <c r="AA35" i="9" s="1"/>
  <c r="J35" i="9"/>
  <c r="L35" i="9"/>
  <c r="M35" i="9"/>
  <c r="N35" i="9"/>
  <c r="I36" i="9"/>
  <c r="K36" i="9" s="1"/>
  <c r="J36" i="9"/>
  <c r="L36" i="9"/>
  <c r="M36" i="9"/>
  <c r="N36" i="9"/>
  <c r="I37" i="9"/>
  <c r="AA37" i="9" s="1"/>
  <c r="J37" i="9"/>
  <c r="K37" i="9"/>
  <c r="L37" i="9"/>
  <c r="M37" i="9"/>
  <c r="N37" i="9"/>
  <c r="I38" i="9"/>
  <c r="J38" i="9"/>
  <c r="L38" i="9"/>
  <c r="M38" i="9"/>
  <c r="N38" i="9"/>
  <c r="I39" i="9"/>
  <c r="AA39" i="9" s="1"/>
  <c r="J39" i="9"/>
  <c r="L39" i="9"/>
  <c r="M39" i="9"/>
  <c r="N39" i="9"/>
  <c r="I40" i="9"/>
  <c r="K40" i="9" s="1"/>
  <c r="J40" i="9"/>
  <c r="L40" i="9"/>
  <c r="M40" i="9"/>
  <c r="N40" i="9"/>
  <c r="I41" i="9"/>
  <c r="AA41" i="9" s="1"/>
  <c r="J41" i="9"/>
  <c r="L41" i="9"/>
  <c r="M41" i="9"/>
  <c r="N41" i="9"/>
  <c r="I42" i="9"/>
  <c r="K42" i="9" s="1"/>
  <c r="J42" i="9"/>
  <c r="L42" i="9"/>
  <c r="M42" i="9"/>
  <c r="N42" i="9"/>
  <c r="I43" i="9"/>
  <c r="AA43" i="9" s="1"/>
  <c r="J43" i="9"/>
  <c r="L43" i="9"/>
  <c r="M43" i="9"/>
  <c r="N43" i="9"/>
  <c r="I44" i="9"/>
  <c r="K44" i="9" s="1"/>
  <c r="J44" i="9"/>
  <c r="L44" i="9"/>
  <c r="M44" i="9"/>
  <c r="N44" i="9"/>
  <c r="I45" i="9"/>
  <c r="AA45" i="9" s="1"/>
  <c r="J45" i="9"/>
  <c r="K45" i="9"/>
  <c r="L45" i="9"/>
  <c r="M45" i="9"/>
  <c r="N45" i="9"/>
  <c r="I46" i="9"/>
  <c r="K46" i="9" s="1"/>
  <c r="J46" i="9"/>
  <c r="L46" i="9"/>
  <c r="M46" i="9"/>
  <c r="N46" i="9"/>
  <c r="I47" i="9"/>
  <c r="AA47" i="9" s="1"/>
  <c r="J47" i="9"/>
  <c r="L47" i="9"/>
  <c r="M47" i="9"/>
  <c r="N47" i="9"/>
  <c r="I48" i="9"/>
  <c r="K48" i="9" s="1"/>
  <c r="J48" i="9"/>
  <c r="L48" i="9"/>
  <c r="M48" i="9"/>
  <c r="N48" i="9"/>
  <c r="I49" i="9"/>
  <c r="AA49" i="9" s="1"/>
  <c r="J49" i="9"/>
  <c r="K49" i="9"/>
  <c r="L49" i="9"/>
  <c r="M49" i="9"/>
  <c r="N49" i="9"/>
  <c r="I50" i="9"/>
  <c r="K50" i="9" s="1"/>
  <c r="J50" i="9"/>
  <c r="L50" i="9"/>
  <c r="M50" i="9"/>
  <c r="N50" i="9"/>
  <c r="I51" i="9"/>
  <c r="AA51" i="9" s="1"/>
  <c r="J51" i="9"/>
  <c r="L51" i="9"/>
  <c r="M51" i="9"/>
  <c r="N51" i="9"/>
  <c r="I52" i="9"/>
  <c r="K52" i="9" s="1"/>
  <c r="J52" i="9"/>
  <c r="L52" i="9"/>
  <c r="M52" i="9"/>
  <c r="N52" i="9"/>
  <c r="I53" i="9"/>
  <c r="AA53" i="9" s="1"/>
  <c r="J53" i="9"/>
  <c r="K53" i="9"/>
  <c r="L53" i="9"/>
  <c r="M53" i="9"/>
  <c r="N53" i="9"/>
  <c r="I54" i="9"/>
  <c r="K54" i="9" s="1"/>
  <c r="J54" i="9"/>
  <c r="L54" i="9"/>
  <c r="M54" i="9"/>
  <c r="N54" i="9"/>
  <c r="I55" i="9"/>
  <c r="AA55" i="9" s="1"/>
  <c r="J55" i="9"/>
  <c r="L55" i="9"/>
  <c r="M55" i="9"/>
  <c r="N55" i="9"/>
  <c r="I56" i="9"/>
  <c r="K56" i="9" s="1"/>
  <c r="J56" i="9"/>
  <c r="L56" i="9"/>
  <c r="M56" i="9"/>
  <c r="N56" i="9"/>
  <c r="I57" i="9"/>
  <c r="AA57" i="9" s="1"/>
  <c r="J57" i="9"/>
  <c r="K57" i="9"/>
  <c r="L57" i="9"/>
  <c r="M57" i="9"/>
  <c r="N57" i="9"/>
  <c r="I58" i="9"/>
  <c r="K58" i="9" s="1"/>
  <c r="J58" i="9"/>
  <c r="L58" i="9"/>
  <c r="M58" i="9"/>
  <c r="N58" i="9"/>
  <c r="N33" i="9"/>
  <c r="N34" i="9"/>
  <c r="I33" i="9"/>
  <c r="J33" i="9"/>
  <c r="I34" i="9"/>
  <c r="J34" i="9"/>
  <c r="AK32" i="9"/>
  <c r="AG32" i="9"/>
  <c r="AL32" i="9" s="1"/>
  <c r="AD32" i="9"/>
  <c r="O32" i="9"/>
  <c r="P32" i="9"/>
  <c r="Q32" i="9"/>
  <c r="R32" i="9"/>
  <c r="S32" i="9"/>
  <c r="T32" i="9"/>
  <c r="U32" i="9"/>
  <c r="V32" i="9"/>
  <c r="W32" i="9"/>
  <c r="X32" i="9"/>
  <c r="Y32" i="9"/>
  <c r="Z32" i="9"/>
  <c r="AJ32" i="9" s="1"/>
  <c r="AJ31" i="9"/>
  <c r="AK31" i="9"/>
  <c r="AM31" i="9" s="1"/>
  <c r="AL31" i="9"/>
  <c r="AN31" i="9" s="1"/>
  <c r="AG31" i="9"/>
  <c r="AD31" i="9"/>
  <c r="O31" i="9"/>
  <c r="P31" i="9"/>
  <c r="Q31" i="9"/>
  <c r="R31" i="9"/>
  <c r="S31" i="9"/>
  <c r="T31" i="9"/>
  <c r="U31" i="9"/>
  <c r="V31" i="9"/>
  <c r="W31" i="9"/>
  <c r="X31" i="9"/>
  <c r="Y31" i="9"/>
  <c r="Z31" i="9"/>
  <c r="AA31" i="9"/>
  <c r="N26" i="9"/>
  <c r="N27" i="9"/>
  <c r="N28" i="9"/>
  <c r="N29" i="9"/>
  <c r="B29" i="9"/>
  <c r="B22" i="9"/>
  <c r="B23" i="9"/>
  <c r="AG16" i="9"/>
  <c r="AG19" i="9"/>
  <c r="AH93" i="9" s="1"/>
  <c r="AG20" i="9"/>
  <c r="AL97" i="9" s="1"/>
  <c r="AD19" i="9"/>
  <c r="AD20" i="9"/>
  <c r="AK96" i="9" s="1"/>
  <c r="G19" i="9"/>
  <c r="G20" i="9"/>
  <c r="N19" i="9"/>
  <c r="O19" i="9"/>
  <c r="P19" i="9"/>
  <c r="Q19" i="9"/>
  <c r="R19" i="9"/>
  <c r="S19" i="9"/>
  <c r="T19" i="9"/>
  <c r="U19" i="9"/>
  <c r="V19" i="9"/>
  <c r="W19" i="9"/>
  <c r="X19" i="9"/>
  <c r="Y19" i="9"/>
  <c r="Z19" i="9"/>
  <c r="N20" i="9"/>
  <c r="O20" i="9"/>
  <c r="P20" i="9"/>
  <c r="Q20" i="9"/>
  <c r="R20" i="9"/>
  <c r="S20" i="9"/>
  <c r="T20" i="9"/>
  <c r="U20" i="9"/>
  <c r="V20" i="9"/>
  <c r="W20" i="9"/>
  <c r="X20" i="9"/>
  <c r="Y20" i="9"/>
  <c r="Z20" i="9"/>
  <c r="B17" i="9"/>
  <c r="B18" i="9"/>
  <c r="B19" i="9"/>
  <c r="O16" i="9"/>
  <c r="P16" i="9"/>
  <c r="Q16" i="9"/>
  <c r="R16" i="9"/>
  <c r="S16" i="9"/>
  <c r="T16" i="9"/>
  <c r="U16" i="9"/>
  <c r="V16" i="9"/>
  <c r="W16" i="9"/>
  <c r="X16" i="9"/>
  <c r="Y16" i="9"/>
  <c r="O17" i="9"/>
  <c r="P17" i="9"/>
  <c r="Q17" i="9"/>
  <c r="R17" i="9"/>
  <c r="S17" i="9"/>
  <c r="T17" i="9"/>
  <c r="U17" i="9"/>
  <c r="V17" i="9"/>
  <c r="W17" i="9"/>
  <c r="X17" i="9"/>
  <c r="Y17" i="9"/>
  <c r="Z17" i="9"/>
  <c r="AA17" i="9"/>
  <c r="AA11" i="9" s="1"/>
  <c r="A14" i="9"/>
  <c r="AG12" i="9"/>
  <c r="AG13" i="9"/>
  <c r="AD12" i="9"/>
  <c r="AD13" i="9"/>
  <c r="B12" i="9"/>
  <c r="B13" i="9"/>
  <c r="O11" i="9"/>
  <c r="P11" i="9"/>
  <c r="Q11" i="9"/>
  <c r="R11" i="9"/>
  <c r="S11" i="9"/>
  <c r="T11" i="9"/>
  <c r="U11" i="9"/>
  <c r="V11" i="9"/>
  <c r="W11" i="9"/>
  <c r="X11" i="9"/>
  <c r="Y11" i="9"/>
  <c r="Z11" i="9"/>
  <c r="O12" i="9"/>
  <c r="P12" i="9"/>
  <c r="Q12" i="9"/>
  <c r="R12" i="9"/>
  <c r="S12" i="9"/>
  <c r="T12" i="9"/>
  <c r="U12" i="9"/>
  <c r="V12" i="9"/>
  <c r="W12" i="9"/>
  <c r="X12" i="9"/>
  <c r="Y12" i="9"/>
  <c r="Z12" i="9"/>
  <c r="AA12" i="9"/>
  <c r="O13" i="9"/>
  <c r="P13" i="9"/>
  <c r="Q13" i="9"/>
  <c r="R13" i="9"/>
  <c r="S13" i="9"/>
  <c r="T13" i="9"/>
  <c r="U13" i="9"/>
  <c r="V13" i="9"/>
  <c r="W13" i="9"/>
  <c r="X13" i="9"/>
  <c r="Y13" i="9"/>
  <c r="Z13" i="9"/>
  <c r="AA13" i="9"/>
  <c r="C10" i="9"/>
  <c r="D10" i="9"/>
  <c r="C9" i="9"/>
  <c r="C1" i="9"/>
  <c r="C2" i="9"/>
  <c r="C3" i="9"/>
  <c r="C4" i="9"/>
  <c r="C5" i="9"/>
  <c r="C6" i="9"/>
  <c r="C7" i="9"/>
  <c r="C8" i="9"/>
  <c r="E6" i="9"/>
  <c r="E4" i="9"/>
  <c r="F4" i="9"/>
  <c r="B3" i="9"/>
  <c r="H2" i="9" s="1"/>
  <c r="N1" i="9"/>
  <c r="N1" i="39" s="1"/>
  <c r="AG173" i="17"/>
  <c r="AG174" i="17"/>
  <c r="AG175" i="17"/>
  <c r="AD173" i="17"/>
  <c r="AD174" i="17"/>
  <c r="AD175" i="17"/>
  <c r="O173" i="17"/>
  <c r="P173" i="17"/>
  <c r="Q173" i="17"/>
  <c r="R173" i="17"/>
  <c r="S173" i="17"/>
  <c r="T173" i="17"/>
  <c r="U173" i="17"/>
  <c r="V173" i="17"/>
  <c r="W173" i="17"/>
  <c r="X173" i="17"/>
  <c r="Y173" i="17"/>
  <c r="Z173" i="17"/>
  <c r="O174" i="17"/>
  <c r="P174" i="17"/>
  <c r="Q174" i="17"/>
  <c r="R174" i="17"/>
  <c r="S174" i="17"/>
  <c r="T174" i="17"/>
  <c r="U174" i="17"/>
  <c r="V174" i="17"/>
  <c r="W174" i="17"/>
  <c r="X174" i="17"/>
  <c r="Y174" i="17"/>
  <c r="Z174" i="17"/>
  <c r="O175" i="17"/>
  <c r="P175" i="17"/>
  <c r="Q175" i="17"/>
  <c r="R175" i="17"/>
  <c r="S175" i="17"/>
  <c r="T175" i="17"/>
  <c r="U175" i="17"/>
  <c r="V175" i="17"/>
  <c r="W175" i="17"/>
  <c r="X175" i="17"/>
  <c r="Y175" i="17"/>
  <c r="Z175" i="17"/>
  <c r="AG171" i="17"/>
  <c r="AD171" i="17"/>
  <c r="O171" i="17"/>
  <c r="P171" i="17"/>
  <c r="Q171" i="17"/>
  <c r="R171" i="17"/>
  <c r="S171" i="17"/>
  <c r="T171" i="17"/>
  <c r="U171" i="17"/>
  <c r="V171" i="17"/>
  <c r="W171" i="17"/>
  <c r="X171" i="17"/>
  <c r="Y171" i="17"/>
  <c r="Z171" i="17"/>
  <c r="AH170" i="17"/>
  <c r="AE170" i="17"/>
  <c r="AA170" i="17"/>
  <c r="AF170" i="17" s="1"/>
  <c r="AB170" i="17"/>
  <c r="L170" i="17"/>
  <c r="M170" i="17"/>
  <c r="N170" i="17"/>
  <c r="AI160" i="17"/>
  <c r="AI161" i="17"/>
  <c r="AI162" i="17"/>
  <c r="AI164" i="17"/>
  <c r="AI166" i="17"/>
  <c r="AG168" i="17"/>
  <c r="AD168" i="17"/>
  <c r="O168" i="17"/>
  <c r="P168" i="17"/>
  <c r="Q168" i="17"/>
  <c r="R168" i="17"/>
  <c r="S168" i="17"/>
  <c r="T168" i="17"/>
  <c r="U168" i="17"/>
  <c r="V168" i="17"/>
  <c r="W168" i="17"/>
  <c r="X168" i="17"/>
  <c r="Y168" i="17"/>
  <c r="Z168" i="17"/>
  <c r="AH167" i="17"/>
  <c r="AE167" i="17"/>
  <c r="AA167" i="17"/>
  <c r="AA168" i="17" s="1"/>
  <c r="AB167" i="17"/>
  <c r="AF160" i="17"/>
  <c r="AF162" i="17"/>
  <c r="AF164" i="17"/>
  <c r="AF166" i="17"/>
  <c r="AH165" i="17"/>
  <c r="AE165" i="17"/>
  <c r="AA165" i="17"/>
  <c r="AI165" i="17" s="1"/>
  <c r="AB165" i="17"/>
  <c r="AH163" i="17"/>
  <c r="AE163" i="17"/>
  <c r="AA163" i="17"/>
  <c r="AF163" i="17" s="1"/>
  <c r="AB163" i="17"/>
  <c r="AH161" i="17"/>
  <c r="AE161" i="17"/>
  <c r="AA161" i="17"/>
  <c r="AF161" i="17" s="1"/>
  <c r="AB161" i="17"/>
  <c r="AH159" i="17"/>
  <c r="AE159" i="17"/>
  <c r="AA159" i="17"/>
  <c r="AB159" i="17"/>
  <c r="L159" i="17"/>
  <c r="M159" i="17"/>
  <c r="N159" i="17"/>
  <c r="L160" i="17"/>
  <c r="M160" i="17"/>
  <c r="N160" i="17"/>
  <c r="L161" i="17"/>
  <c r="M161" i="17"/>
  <c r="N161" i="17"/>
  <c r="L162" i="17"/>
  <c r="M162" i="17"/>
  <c r="N162" i="17"/>
  <c r="L163" i="17"/>
  <c r="M163" i="17"/>
  <c r="N163" i="17"/>
  <c r="L164" i="17"/>
  <c r="M164" i="17"/>
  <c r="N164" i="17"/>
  <c r="L165" i="17"/>
  <c r="M165" i="17"/>
  <c r="N165" i="17"/>
  <c r="L166" i="17"/>
  <c r="M166" i="17"/>
  <c r="N166" i="17"/>
  <c r="L167" i="17"/>
  <c r="M167" i="17"/>
  <c r="N167" i="17"/>
  <c r="AI152" i="17"/>
  <c r="AI153" i="17"/>
  <c r="AI155" i="17"/>
  <c r="AI157" i="17"/>
  <c r="AF153" i="17"/>
  <c r="AF155" i="17"/>
  <c r="AF156" i="17"/>
  <c r="AF157" i="17"/>
  <c r="AH156" i="17"/>
  <c r="AE156" i="17"/>
  <c r="AA156" i="17"/>
  <c r="AI156" i="17" s="1"/>
  <c r="AB156" i="17"/>
  <c r="AH154" i="17"/>
  <c r="AE154" i="17"/>
  <c r="AA154" i="17"/>
  <c r="AI154" i="17" s="1"/>
  <c r="AB154" i="17"/>
  <c r="AH152" i="17"/>
  <c r="AE152" i="17"/>
  <c r="AA152" i="17"/>
  <c r="AF152" i="17" s="1"/>
  <c r="AB152" i="17"/>
  <c r="L152" i="17"/>
  <c r="M152" i="17"/>
  <c r="N152" i="17"/>
  <c r="L153" i="17"/>
  <c r="M153" i="17"/>
  <c r="N153" i="17"/>
  <c r="L154" i="17"/>
  <c r="M154" i="17"/>
  <c r="N154" i="17"/>
  <c r="L155" i="17"/>
  <c r="M155" i="17"/>
  <c r="N155" i="17"/>
  <c r="L156" i="17"/>
  <c r="M156" i="17"/>
  <c r="N156" i="17"/>
  <c r="L157" i="17"/>
  <c r="M157" i="17"/>
  <c r="N157" i="17"/>
  <c r="N151" i="17"/>
  <c r="AD141" i="17"/>
  <c r="AE141" i="17" s="1"/>
  <c r="AG141" i="17"/>
  <c r="AD142" i="17"/>
  <c r="AE142" i="17" s="1"/>
  <c r="AG142" i="17"/>
  <c r="AD143" i="17"/>
  <c r="AG143" i="17"/>
  <c r="AD144" i="17"/>
  <c r="AE144" i="17" s="1"/>
  <c r="AG144" i="17"/>
  <c r="AD145" i="17"/>
  <c r="AE145" i="17" s="1"/>
  <c r="AG145" i="17"/>
  <c r="AD146" i="17"/>
  <c r="AE146" i="17" s="1"/>
  <c r="AG146" i="17"/>
  <c r="AD147" i="17"/>
  <c r="AG147" i="17"/>
  <c r="AG148" i="17"/>
  <c r="L141" i="17"/>
  <c r="M141" i="17"/>
  <c r="N141" i="17"/>
  <c r="O141" i="17"/>
  <c r="P141" i="17"/>
  <c r="Q141" i="17"/>
  <c r="R141" i="17"/>
  <c r="S141" i="17"/>
  <c r="T141" i="17"/>
  <c r="U141" i="17"/>
  <c r="U148" i="17" s="1"/>
  <c r="V141" i="17"/>
  <c r="W141" i="17"/>
  <c r="X141" i="17"/>
  <c r="Y141" i="17"/>
  <c r="Z141" i="17"/>
  <c r="L142" i="17"/>
  <c r="M142" i="17"/>
  <c r="N142" i="17"/>
  <c r="O142" i="17"/>
  <c r="AA142" i="17" s="1"/>
  <c r="AF142" i="17" s="1"/>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4" i="17"/>
  <c r="M144" i="17"/>
  <c r="N144" i="17"/>
  <c r="O144" i="17"/>
  <c r="P144" i="17"/>
  <c r="Q144" i="17"/>
  <c r="R144" i="17"/>
  <c r="S144" i="17"/>
  <c r="T144" i="17"/>
  <c r="U144" i="17"/>
  <c r="V144" i="17"/>
  <c r="W144" i="17"/>
  <c r="X144" i="17"/>
  <c r="Y144" i="17"/>
  <c r="Z144" i="17"/>
  <c r="L145" i="17"/>
  <c r="M145" i="17"/>
  <c r="N145" i="17"/>
  <c r="O145" i="17"/>
  <c r="P145" i="17"/>
  <c r="Q145" i="17"/>
  <c r="R145" i="17"/>
  <c r="S145" i="17"/>
  <c r="T145" i="17"/>
  <c r="U145" i="17"/>
  <c r="V145" i="17"/>
  <c r="W145" i="17"/>
  <c r="X145" i="17"/>
  <c r="Y145" i="17"/>
  <c r="Z145" i="17"/>
  <c r="L146" i="17"/>
  <c r="M146" i="17"/>
  <c r="N146" i="17"/>
  <c r="O146" i="17"/>
  <c r="P146" i="17"/>
  <c r="Q146" i="17"/>
  <c r="R146" i="17"/>
  <c r="S146" i="17"/>
  <c r="T146" i="17"/>
  <c r="U146" i="17"/>
  <c r="V146" i="17"/>
  <c r="W146" i="17"/>
  <c r="X146" i="17"/>
  <c r="Y146" i="17"/>
  <c r="Z146" i="17"/>
  <c r="L147" i="17"/>
  <c r="M147" i="17"/>
  <c r="N147" i="17"/>
  <c r="O147" i="17"/>
  <c r="P147" i="17"/>
  <c r="Q147" i="17"/>
  <c r="R147" i="17"/>
  <c r="S147" i="17"/>
  <c r="T147" i="17"/>
  <c r="AA147" i="17" s="1"/>
  <c r="U147" i="17"/>
  <c r="V147" i="17"/>
  <c r="W147" i="17"/>
  <c r="X147" i="17"/>
  <c r="Y147" i="17"/>
  <c r="Z147" i="17"/>
  <c r="L148" i="17"/>
  <c r="M148" i="17"/>
  <c r="N148" i="17"/>
  <c r="AF133" i="17"/>
  <c r="AF136" i="17"/>
  <c r="AE137" i="17"/>
  <c r="AF137" i="17"/>
  <c r="AE138" i="17"/>
  <c r="AA133" i="17"/>
  <c r="AI133" i="17" s="1"/>
  <c r="AA134" i="17"/>
  <c r="AA135" i="17"/>
  <c r="AI135" i="17" s="1"/>
  <c r="AA136" i="17"/>
  <c r="AA137" i="17"/>
  <c r="AI137" i="17" s="1"/>
  <c r="AA138" i="17"/>
  <c r="AB138" i="17" s="1"/>
  <c r="AA139" i="17"/>
  <c r="AI139" i="17" s="1"/>
  <c r="L133" i="17"/>
  <c r="M133" i="17"/>
  <c r="N133" i="17"/>
  <c r="L134" i="17"/>
  <c r="M134" i="17"/>
  <c r="N134" i="17"/>
  <c r="L135" i="17"/>
  <c r="M135" i="17"/>
  <c r="N135" i="17"/>
  <c r="L136" i="17"/>
  <c r="M136" i="17"/>
  <c r="N136" i="17"/>
  <c r="L137" i="17"/>
  <c r="M137" i="17"/>
  <c r="N137" i="17"/>
  <c r="L138" i="17"/>
  <c r="M138" i="17"/>
  <c r="N138" i="17"/>
  <c r="L139" i="17"/>
  <c r="M139" i="17"/>
  <c r="N139" i="17"/>
  <c r="AI124" i="17"/>
  <c r="AI127" i="17"/>
  <c r="AE124" i="17"/>
  <c r="AF124" i="17"/>
  <c r="AF125" i="17"/>
  <c r="AE128" i="17"/>
  <c r="AF128" i="17"/>
  <c r="AE129" i="17"/>
  <c r="AF129" i="17"/>
  <c r="AA124" i="17"/>
  <c r="AA125" i="17"/>
  <c r="AI125" i="17" s="1"/>
  <c r="AA126" i="17"/>
  <c r="AI126" i="17" s="1"/>
  <c r="AA127" i="17"/>
  <c r="AF127" i="17" s="1"/>
  <c r="AA128" i="17"/>
  <c r="AB128" i="17" s="1"/>
  <c r="AA129" i="17"/>
  <c r="AI129" i="17" s="1"/>
  <c r="AA130" i="17"/>
  <c r="AI130" i="17" s="1"/>
  <c r="L124" i="17"/>
  <c r="M124" i="17"/>
  <c r="N124" i="17"/>
  <c r="L125" i="17"/>
  <c r="M125" i="17"/>
  <c r="N125" i="17"/>
  <c r="L126" i="17"/>
  <c r="M126" i="17"/>
  <c r="N126" i="17"/>
  <c r="L127" i="17"/>
  <c r="M127" i="17"/>
  <c r="N127" i="17"/>
  <c r="L128" i="17"/>
  <c r="M128" i="17"/>
  <c r="N128" i="17"/>
  <c r="L129" i="17"/>
  <c r="M129" i="17"/>
  <c r="N129" i="17"/>
  <c r="L130" i="17"/>
  <c r="M130" i="17"/>
  <c r="N130" i="17"/>
  <c r="AI115" i="17"/>
  <c r="AF115" i="17"/>
  <c r="AE119" i="17"/>
  <c r="AE120" i="17"/>
  <c r="AE121" i="17"/>
  <c r="AA115" i="17"/>
  <c r="AA116" i="17"/>
  <c r="AI116" i="17" s="1"/>
  <c r="AA117" i="17"/>
  <c r="AA118" i="17"/>
  <c r="AI118" i="17" s="1"/>
  <c r="AA119" i="17"/>
  <c r="AB119" i="17" s="1"/>
  <c r="AA120" i="17"/>
  <c r="AI120" i="17" s="1"/>
  <c r="AA121" i="17"/>
  <c r="L115" i="17"/>
  <c r="M115" i="17"/>
  <c r="N115" i="17"/>
  <c r="L116" i="17"/>
  <c r="M116" i="17"/>
  <c r="N116" i="17"/>
  <c r="L117" i="17"/>
  <c r="M117" i="17"/>
  <c r="N117" i="17"/>
  <c r="L118" i="17"/>
  <c r="M118" i="17"/>
  <c r="N118" i="17"/>
  <c r="L119" i="17"/>
  <c r="M119" i="17"/>
  <c r="N119" i="17"/>
  <c r="L120" i="17"/>
  <c r="M120" i="17"/>
  <c r="N120" i="17"/>
  <c r="L121" i="17"/>
  <c r="M121" i="17"/>
  <c r="N121" i="17"/>
  <c r="AD110" i="17"/>
  <c r="AD111" i="17"/>
  <c r="AG110" i="17"/>
  <c r="AG111" i="17"/>
  <c r="O110" i="17"/>
  <c r="P110" i="17"/>
  <c r="Q110" i="17"/>
  <c r="R110" i="17"/>
  <c r="S110" i="17"/>
  <c r="T110" i="17"/>
  <c r="U110" i="17"/>
  <c r="V110" i="17"/>
  <c r="W110" i="17"/>
  <c r="X110" i="17"/>
  <c r="Y110" i="17"/>
  <c r="Z110" i="17"/>
  <c r="O111" i="17"/>
  <c r="P111" i="17"/>
  <c r="Q111" i="17"/>
  <c r="R111" i="17"/>
  <c r="S111" i="17"/>
  <c r="T111" i="17"/>
  <c r="U111" i="17"/>
  <c r="V111" i="17"/>
  <c r="W111" i="17"/>
  <c r="X111" i="17"/>
  <c r="Y111" i="17"/>
  <c r="Z111" i="17"/>
  <c r="AA111" i="17"/>
  <c r="AF111" i="17" s="1"/>
  <c r="AF109" i="17"/>
  <c r="AA108" i="17"/>
  <c r="AF108" i="17" s="1"/>
  <c r="AA109" i="17"/>
  <c r="AI109" i="17" s="1"/>
  <c r="N108" i="17"/>
  <c r="N109" i="17"/>
  <c r="I108" i="17"/>
  <c r="J108" i="17"/>
  <c r="I109" i="17"/>
  <c r="J109" i="17"/>
  <c r="AF103" i="17"/>
  <c r="AA102" i="17"/>
  <c r="AA103" i="17"/>
  <c r="AI103" i="17" s="1"/>
  <c r="AA104" i="17"/>
  <c r="AI104" i="17" s="1"/>
  <c r="N102" i="17"/>
  <c r="N173" i="17" s="1"/>
  <c r="N103" i="17"/>
  <c r="N104" i="17"/>
  <c r="N174" i="17" s="1"/>
  <c r="N105" i="17"/>
  <c r="L102" i="17"/>
  <c r="M102" i="17"/>
  <c r="L103" i="17"/>
  <c r="M103" i="17"/>
  <c r="L104" i="17"/>
  <c r="M104" i="17"/>
  <c r="I102" i="17"/>
  <c r="J102" i="17"/>
  <c r="I103" i="17"/>
  <c r="J103" i="17"/>
  <c r="I104" i="17"/>
  <c r="J104" i="17"/>
  <c r="I105" i="17"/>
  <c r="J105" i="17"/>
  <c r="AI99" i="17"/>
  <c r="AE99" i="17"/>
  <c r="AF99" i="17"/>
  <c r="AA99" i="17"/>
  <c r="L99" i="17"/>
  <c r="M99" i="17"/>
  <c r="N99" i="17"/>
  <c r="I99" i="17"/>
  <c r="J99" i="17"/>
  <c r="AE95" i="17"/>
  <c r="AA95" i="17"/>
  <c r="AA96" i="17"/>
  <c r="AI96" i="17" s="1"/>
  <c r="AA97" i="17"/>
  <c r="AI97" i="17" s="1"/>
  <c r="L95" i="17"/>
  <c r="M95" i="17"/>
  <c r="N95" i="17"/>
  <c r="L96" i="17"/>
  <c r="M96" i="17"/>
  <c r="N96" i="17"/>
  <c r="L97" i="17"/>
  <c r="M97" i="17"/>
  <c r="N97" i="17"/>
  <c r="I95" i="17"/>
  <c r="J95" i="17"/>
  <c r="I96" i="17"/>
  <c r="J96" i="17"/>
  <c r="I97" i="17"/>
  <c r="J97" i="17"/>
  <c r="AG93" i="17"/>
  <c r="AH94" i="17" s="1"/>
  <c r="AD93" i="17"/>
  <c r="AE94" i="17" s="1"/>
  <c r="O93" i="17"/>
  <c r="O94" i="17" s="1"/>
  <c r="P93" i="17"/>
  <c r="P94" i="17" s="1"/>
  <c r="Q93" i="17"/>
  <c r="Q94" i="17" s="1"/>
  <c r="R93" i="17"/>
  <c r="S93" i="17"/>
  <c r="T93" i="17"/>
  <c r="U93" i="17"/>
  <c r="U94" i="17" s="1"/>
  <c r="V93" i="17"/>
  <c r="V94" i="17" s="1"/>
  <c r="W93" i="17"/>
  <c r="W94" i="17" s="1"/>
  <c r="X93" i="17"/>
  <c r="X94" i="17" s="1"/>
  <c r="Y93" i="17"/>
  <c r="Y94" i="17" s="1"/>
  <c r="Z93" i="17"/>
  <c r="R94" i="17"/>
  <c r="S94" i="17"/>
  <c r="T94" i="17"/>
  <c r="Z94" i="17"/>
  <c r="AF90" i="17"/>
  <c r="AA35" i="17"/>
  <c r="AI35" i="17" s="1"/>
  <c r="AA36" i="17"/>
  <c r="AA37" i="17"/>
  <c r="AI37" i="17" s="1"/>
  <c r="AA38" i="17"/>
  <c r="AF38" i="17" s="1"/>
  <c r="AA39" i="17"/>
  <c r="AA40" i="17"/>
  <c r="AA41" i="17"/>
  <c r="AI41" i="17" s="1"/>
  <c r="AA44" i="17"/>
  <c r="AA45" i="17"/>
  <c r="AF45" i="17" s="1"/>
  <c r="AA46" i="17"/>
  <c r="AA47" i="17"/>
  <c r="AI47" i="17" s="1"/>
  <c r="AA48" i="17"/>
  <c r="AI48" i="17" s="1"/>
  <c r="AA49" i="17"/>
  <c r="AB49" i="17" s="1"/>
  <c r="AA53" i="17"/>
  <c r="AA54" i="17"/>
  <c r="AA55" i="17"/>
  <c r="AA56" i="17"/>
  <c r="AI56" i="17" s="1"/>
  <c r="AA57" i="17"/>
  <c r="AF57" i="17" s="1"/>
  <c r="AA58" i="17"/>
  <c r="AI58" i="17" s="1"/>
  <c r="AA62" i="17"/>
  <c r="AF62" i="17" s="1"/>
  <c r="AA63" i="17"/>
  <c r="AI63" i="17" s="1"/>
  <c r="AA64" i="17"/>
  <c r="AA65" i="17"/>
  <c r="AF65" i="17" s="1"/>
  <c r="AA66" i="17"/>
  <c r="AA67" i="17"/>
  <c r="AI67" i="17" s="1"/>
  <c r="AA71" i="17"/>
  <c r="AF71" i="17" s="1"/>
  <c r="AA72" i="17"/>
  <c r="AB72" i="17" s="1"/>
  <c r="AA73" i="17"/>
  <c r="AB73" i="17" s="1"/>
  <c r="AA74" i="17"/>
  <c r="AF74" i="17" s="1"/>
  <c r="AA75" i="17"/>
  <c r="AA76" i="17"/>
  <c r="AA80" i="17"/>
  <c r="AA81" i="17"/>
  <c r="AF81" i="17" s="1"/>
  <c r="AA82" i="17"/>
  <c r="AI82" i="17" s="1"/>
  <c r="AA83" i="17"/>
  <c r="AI83" i="17" s="1"/>
  <c r="AA84" i="17"/>
  <c r="AA87" i="17" s="1"/>
  <c r="AA85" i="17"/>
  <c r="AA86" i="17"/>
  <c r="AI86" i="17" s="1"/>
  <c r="AA89" i="17"/>
  <c r="AB89" i="17" s="1"/>
  <c r="AA90" i="17"/>
  <c r="AI90" i="17" s="1"/>
  <c r="AA91" i="17"/>
  <c r="AI91" i="17" s="1"/>
  <c r="AH91" i="17"/>
  <c r="AE88" i="17"/>
  <c r="AE89" i="17"/>
  <c r="AE90" i="17"/>
  <c r="AE91" i="17"/>
  <c r="AB90" i="17"/>
  <c r="L89" i="17"/>
  <c r="M89" i="17"/>
  <c r="N89" i="17"/>
  <c r="L90" i="17"/>
  <c r="M90" i="17"/>
  <c r="N90" i="17"/>
  <c r="L91" i="17"/>
  <c r="M91" i="17"/>
  <c r="N91" i="17"/>
  <c r="L92" i="17"/>
  <c r="M92" i="17"/>
  <c r="N92" i="17"/>
  <c r="I89" i="17"/>
  <c r="J89" i="17"/>
  <c r="I90" i="17"/>
  <c r="J90" i="17"/>
  <c r="I91" i="17"/>
  <c r="J91" i="17"/>
  <c r="I92" i="17"/>
  <c r="J92" i="17"/>
  <c r="AG87" i="17"/>
  <c r="AH88" i="17" s="1"/>
  <c r="AD87" i="17"/>
  <c r="O87" i="17"/>
  <c r="O88" i="17" s="1"/>
  <c r="P87" i="17"/>
  <c r="P88" i="17" s="1"/>
  <c r="Q87" i="17"/>
  <c r="Q88" i="17" s="1"/>
  <c r="R87" i="17"/>
  <c r="R88" i="17" s="1"/>
  <c r="S87" i="17"/>
  <c r="T87" i="17"/>
  <c r="U87" i="17"/>
  <c r="V87" i="17"/>
  <c r="W87" i="17"/>
  <c r="W88" i="17" s="1"/>
  <c r="X87" i="17"/>
  <c r="X88" i="17" s="1"/>
  <c r="Y87" i="17"/>
  <c r="Y88" i="17" s="1"/>
  <c r="Z87" i="17"/>
  <c r="Z88" i="17" s="1"/>
  <c r="S88" i="17"/>
  <c r="T88" i="17"/>
  <c r="U88" i="17"/>
  <c r="V88" i="17"/>
  <c r="AI80" i="17"/>
  <c r="AI85" i="17"/>
  <c r="AF80" i="17"/>
  <c r="AF83" i="17"/>
  <c r="AF85" i="17"/>
  <c r="AH85" i="17"/>
  <c r="AE80" i="17"/>
  <c r="AE81" i="17"/>
  <c r="AE82" i="17"/>
  <c r="AE83" i="17"/>
  <c r="AE84" i="17"/>
  <c r="AE85" i="17"/>
  <c r="AB80" i="17"/>
  <c r="AB83" i="17"/>
  <c r="AB85" i="17"/>
  <c r="L80" i="17"/>
  <c r="M80" i="17"/>
  <c r="N80" i="17"/>
  <c r="L81" i="17"/>
  <c r="M81" i="17"/>
  <c r="N81" i="17"/>
  <c r="L82" i="17"/>
  <c r="M82" i="17"/>
  <c r="N82" i="17"/>
  <c r="L83" i="17"/>
  <c r="M83" i="17"/>
  <c r="N83" i="17"/>
  <c r="L84" i="17"/>
  <c r="M84" i="17"/>
  <c r="N84" i="17"/>
  <c r="L85" i="17"/>
  <c r="M85" i="17"/>
  <c r="N85" i="17"/>
  <c r="L86" i="17"/>
  <c r="M86" i="17"/>
  <c r="N86" i="17"/>
  <c r="I80" i="17"/>
  <c r="J80" i="17"/>
  <c r="I81" i="17"/>
  <c r="J81" i="17"/>
  <c r="I82" i="17"/>
  <c r="J82" i="17"/>
  <c r="I83" i="17"/>
  <c r="J83" i="17"/>
  <c r="I84" i="17"/>
  <c r="J84" i="17"/>
  <c r="I85" i="17"/>
  <c r="J85" i="17"/>
  <c r="I86" i="17"/>
  <c r="J86" i="17"/>
  <c r="AG78" i="17"/>
  <c r="AH79" i="17" s="1"/>
  <c r="AD78" i="17"/>
  <c r="AE79" i="17" s="1"/>
  <c r="O78" i="17"/>
  <c r="O79" i="17" s="1"/>
  <c r="P78" i="17"/>
  <c r="P79" i="17" s="1"/>
  <c r="Q78" i="17"/>
  <c r="Q79" i="17" s="1"/>
  <c r="R78" i="17"/>
  <c r="R79" i="17" s="1"/>
  <c r="S78" i="17"/>
  <c r="T78" i="17"/>
  <c r="U78" i="17"/>
  <c r="V78" i="17"/>
  <c r="W78" i="17"/>
  <c r="W79" i="17" s="1"/>
  <c r="X78" i="17"/>
  <c r="X79" i="17" s="1"/>
  <c r="Y78" i="17"/>
  <c r="Y79" i="17" s="1"/>
  <c r="Z78" i="17"/>
  <c r="Z79" i="17" s="1"/>
  <c r="S79" i="17"/>
  <c r="T79" i="17"/>
  <c r="U79" i="17"/>
  <c r="V79" i="17"/>
  <c r="AI71" i="17"/>
  <c r="AI73" i="17"/>
  <c r="AI75" i="17"/>
  <c r="AH76" i="17"/>
  <c r="AE71" i="17"/>
  <c r="AE72" i="17"/>
  <c r="AE73" i="17"/>
  <c r="AE74" i="17"/>
  <c r="AE75" i="17"/>
  <c r="AE76" i="17"/>
  <c r="AB75" i="17"/>
  <c r="L71" i="17"/>
  <c r="M71" i="17"/>
  <c r="N71" i="17"/>
  <c r="L72" i="17"/>
  <c r="M72" i="17"/>
  <c r="N72" i="17"/>
  <c r="L73" i="17"/>
  <c r="M73" i="17"/>
  <c r="N73" i="17"/>
  <c r="L74" i="17"/>
  <c r="M74" i="17"/>
  <c r="N74" i="17"/>
  <c r="L75" i="17"/>
  <c r="M75" i="17"/>
  <c r="N75" i="17"/>
  <c r="L76" i="17"/>
  <c r="M76" i="17"/>
  <c r="N76" i="17"/>
  <c r="L77" i="17"/>
  <c r="M77" i="17"/>
  <c r="N77" i="17"/>
  <c r="I71" i="17"/>
  <c r="J71" i="17"/>
  <c r="I72" i="17"/>
  <c r="J72" i="17"/>
  <c r="I73" i="17"/>
  <c r="J73" i="17"/>
  <c r="I74" i="17"/>
  <c r="J74" i="17"/>
  <c r="I75" i="17"/>
  <c r="J75" i="17"/>
  <c r="I76" i="17"/>
  <c r="J76" i="17"/>
  <c r="I77" i="17"/>
  <c r="J77" i="17"/>
  <c r="AG69" i="17"/>
  <c r="AH70" i="17" s="1"/>
  <c r="AD69" i="17"/>
  <c r="AE70" i="17" s="1"/>
  <c r="O69" i="17"/>
  <c r="O70" i="17" s="1"/>
  <c r="P69" i="17"/>
  <c r="P70" i="17" s="1"/>
  <c r="Q69" i="17"/>
  <c r="Q70" i="17" s="1"/>
  <c r="R69" i="17"/>
  <c r="R70" i="17" s="1"/>
  <c r="S69" i="17"/>
  <c r="T69" i="17"/>
  <c r="U69" i="17"/>
  <c r="V69" i="17"/>
  <c r="W69" i="17"/>
  <c r="W70" i="17" s="1"/>
  <c r="X69" i="17"/>
  <c r="X70" i="17" s="1"/>
  <c r="Y69" i="17"/>
  <c r="Y70" i="17" s="1"/>
  <c r="Z69" i="17"/>
  <c r="Z70" i="17" s="1"/>
  <c r="S70" i="17"/>
  <c r="T70" i="17"/>
  <c r="U70" i="17"/>
  <c r="V70" i="17"/>
  <c r="AI62" i="17"/>
  <c r="AI64" i="17"/>
  <c r="AI66" i="17"/>
  <c r="AF63" i="17"/>
  <c r="AF66" i="17"/>
  <c r="AF67" i="17"/>
  <c r="AH67" i="17"/>
  <c r="AE63" i="17"/>
  <c r="AE66" i="17"/>
  <c r="AE67" i="17"/>
  <c r="AB67" i="17"/>
  <c r="L62" i="17"/>
  <c r="M62" i="17"/>
  <c r="N62" i="17"/>
  <c r="L63" i="17"/>
  <c r="M63" i="17"/>
  <c r="N63" i="17"/>
  <c r="L64" i="17"/>
  <c r="M64" i="17"/>
  <c r="N64" i="17"/>
  <c r="L65" i="17"/>
  <c r="M65" i="17"/>
  <c r="N65" i="17"/>
  <c r="L66" i="17"/>
  <c r="M66" i="17"/>
  <c r="N66" i="17"/>
  <c r="L67" i="17"/>
  <c r="M67" i="17"/>
  <c r="N67" i="17"/>
  <c r="L68" i="17"/>
  <c r="M68" i="17"/>
  <c r="N68" i="17"/>
  <c r="I62" i="17"/>
  <c r="J62" i="17"/>
  <c r="I63" i="17"/>
  <c r="J63" i="17"/>
  <c r="I64" i="17"/>
  <c r="J64" i="17"/>
  <c r="I65" i="17"/>
  <c r="J65" i="17"/>
  <c r="I66" i="17"/>
  <c r="J66" i="17"/>
  <c r="I67" i="17"/>
  <c r="J67" i="17"/>
  <c r="I68" i="17"/>
  <c r="J68" i="17"/>
  <c r="AG60" i="17"/>
  <c r="AH61" i="17" s="1"/>
  <c r="AD60" i="17"/>
  <c r="AE61" i="17" s="1"/>
  <c r="O60" i="17"/>
  <c r="O61" i="17" s="1"/>
  <c r="P60" i="17"/>
  <c r="P61" i="17" s="1"/>
  <c r="Q60" i="17"/>
  <c r="Q61" i="17" s="1"/>
  <c r="R60" i="17"/>
  <c r="R61" i="17" s="1"/>
  <c r="S60" i="17"/>
  <c r="T60" i="17"/>
  <c r="U60" i="17"/>
  <c r="V60" i="17"/>
  <c r="W60" i="17"/>
  <c r="W61" i="17" s="1"/>
  <c r="X60" i="17"/>
  <c r="X61" i="17" s="1"/>
  <c r="Y60" i="17"/>
  <c r="Y61" i="17" s="1"/>
  <c r="Z60" i="17"/>
  <c r="Z61" i="17" s="1"/>
  <c r="S61" i="17"/>
  <c r="T61" i="17"/>
  <c r="U61" i="17"/>
  <c r="V61" i="17"/>
  <c r="AI53" i="17"/>
  <c r="AI55" i="17"/>
  <c r="AF53" i="17"/>
  <c r="AF56" i="17"/>
  <c r="AH58" i="17"/>
  <c r="AE55" i="17"/>
  <c r="AE57" i="17"/>
  <c r="AE58" i="17"/>
  <c r="AB58" i="17"/>
  <c r="L53" i="17"/>
  <c r="M53" i="17"/>
  <c r="N53" i="17"/>
  <c r="L54" i="17"/>
  <c r="M54" i="17"/>
  <c r="N54" i="17"/>
  <c r="L55" i="17"/>
  <c r="M55" i="17"/>
  <c r="N55" i="17"/>
  <c r="L56" i="17"/>
  <c r="M56" i="17"/>
  <c r="N56" i="17"/>
  <c r="L57" i="17"/>
  <c r="M57" i="17"/>
  <c r="N57" i="17"/>
  <c r="L58" i="17"/>
  <c r="M58" i="17"/>
  <c r="N58" i="17"/>
  <c r="L59" i="17"/>
  <c r="M59" i="17"/>
  <c r="N59" i="17"/>
  <c r="I53" i="17"/>
  <c r="J53" i="17"/>
  <c r="I54" i="17"/>
  <c r="J54" i="17"/>
  <c r="I55" i="17"/>
  <c r="J55" i="17"/>
  <c r="I56" i="17"/>
  <c r="J56" i="17"/>
  <c r="I57" i="17"/>
  <c r="J57" i="17"/>
  <c r="I58" i="17"/>
  <c r="J58" i="17"/>
  <c r="I59" i="17"/>
  <c r="J59" i="17"/>
  <c r="AG51" i="17"/>
  <c r="AH52" i="17" s="1"/>
  <c r="AD51" i="17"/>
  <c r="AE52" i="17" s="1"/>
  <c r="O51" i="17"/>
  <c r="O52" i="17" s="1"/>
  <c r="P51" i="17"/>
  <c r="P52" i="17" s="1"/>
  <c r="Q51" i="17"/>
  <c r="Q52" i="17" s="1"/>
  <c r="R51" i="17"/>
  <c r="R52" i="17" s="1"/>
  <c r="S51" i="17"/>
  <c r="T51" i="17"/>
  <c r="U51" i="17"/>
  <c r="V51" i="17"/>
  <c r="W51" i="17"/>
  <c r="W52" i="17" s="1"/>
  <c r="X51" i="17"/>
  <c r="X52" i="17" s="1"/>
  <c r="Y51" i="17"/>
  <c r="Y52" i="17" s="1"/>
  <c r="Z51" i="17"/>
  <c r="Z52" i="17" s="1"/>
  <c r="S52" i="17"/>
  <c r="T52" i="17"/>
  <c r="U52" i="17"/>
  <c r="V52" i="17"/>
  <c r="AI44" i="17"/>
  <c r="AI46" i="17"/>
  <c r="AF44" i="17"/>
  <c r="AF46" i="17"/>
  <c r="AF48" i="17"/>
  <c r="AH47" i="17"/>
  <c r="AH49" i="17"/>
  <c r="AE46" i="17"/>
  <c r="AE48" i="17"/>
  <c r="AE49" i="17"/>
  <c r="L44" i="17"/>
  <c r="M44" i="17"/>
  <c r="N44" i="17"/>
  <c r="L45" i="17"/>
  <c r="M45" i="17"/>
  <c r="N45" i="17"/>
  <c r="L46" i="17"/>
  <c r="M46" i="17"/>
  <c r="N46" i="17"/>
  <c r="L47" i="17"/>
  <c r="M47" i="17"/>
  <c r="N47" i="17"/>
  <c r="L48" i="17"/>
  <c r="M48" i="17"/>
  <c r="N48" i="17"/>
  <c r="L49" i="17"/>
  <c r="M49" i="17"/>
  <c r="N49" i="17"/>
  <c r="L50" i="17"/>
  <c r="M50" i="17"/>
  <c r="N50" i="17"/>
  <c r="I44" i="17"/>
  <c r="J44" i="17"/>
  <c r="I45" i="17"/>
  <c r="J45" i="17"/>
  <c r="I46" i="17"/>
  <c r="J46" i="17"/>
  <c r="I47" i="17"/>
  <c r="J47" i="17"/>
  <c r="I48" i="17"/>
  <c r="J48" i="17"/>
  <c r="I49" i="17"/>
  <c r="J49" i="17"/>
  <c r="I50" i="17"/>
  <c r="J50" i="17"/>
  <c r="AG42" i="17"/>
  <c r="AH43" i="17" s="1"/>
  <c r="AD42" i="17"/>
  <c r="AE43" i="17" s="1"/>
  <c r="O42" i="17"/>
  <c r="O43" i="17" s="1"/>
  <c r="P42" i="17"/>
  <c r="P43" i="17" s="1"/>
  <c r="Q42" i="17"/>
  <c r="Q43" i="17" s="1"/>
  <c r="R42" i="17"/>
  <c r="R43" i="17" s="1"/>
  <c r="S42" i="17"/>
  <c r="T42" i="17"/>
  <c r="U42" i="17"/>
  <c r="V42" i="17"/>
  <c r="W42" i="17"/>
  <c r="W43" i="17" s="1"/>
  <c r="X42" i="17"/>
  <c r="X43" i="17" s="1"/>
  <c r="Y42" i="17"/>
  <c r="Y43" i="17" s="1"/>
  <c r="Z42" i="17"/>
  <c r="Z43" i="17" s="1"/>
  <c r="S43" i="17"/>
  <c r="T43" i="17"/>
  <c r="U43" i="17"/>
  <c r="V43" i="17"/>
  <c r="AI36" i="17"/>
  <c r="AI38" i="17"/>
  <c r="AI40" i="17"/>
  <c r="AF35" i="17"/>
  <c r="AF36" i="17"/>
  <c r="AF37" i="17"/>
  <c r="AF40" i="17"/>
  <c r="AH39" i="17"/>
  <c r="AH40" i="17"/>
  <c r="AE35" i="17"/>
  <c r="AE37" i="17"/>
  <c r="AE39" i="17"/>
  <c r="AE40" i="17"/>
  <c r="AB40" i="17"/>
  <c r="L35" i="17"/>
  <c r="M35" i="17"/>
  <c r="N35" i="17"/>
  <c r="L36" i="17"/>
  <c r="M36" i="17"/>
  <c r="N36" i="17"/>
  <c r="L37" i="17"/>
  <c r="M37" i="17"/>
  <c r="N37" i="17"/>
  <c r="L38" i="17"/>
  <c r="M38" i="17"/>
  <c r="N38" i="17"/>
  <c r="L39" i="17"/>
  <c r="M39" i="17"/>
  <c r="N39" i="17"/>
  <c r="L40" i="17"/>
  <c r="M40" i="17"/>
  <c r="N40" i="17"/>
  <c r="L41" i="17"/>
  <c r="M41" i="17"/>
  <c r="N41" i="17"/>
  <c r="I35" i="17"/>
  <c r="J35" i="17"/>
  <c r="I36" i="17"/>
  <c r="J36" i="17"/>
  <c r="I37" i="17"/>
  <c r="J37" i="17"/>
  <c r="I38" i="17"/>
  <c r="J38" i="17"/>
  <c r="I39" i="17"/>
  <c r="J39" i="17"/>
  <c r="I40" i="17"/>
  <c r="J40" i="17"/>
  <c r="I41" i="17"/>
  <c r="J41" i="17"/>
  <c r="AG32" i="17"/>
  <c r="AD32" i="17"/>
  <c r="O32" i="17"/>
  <c r="P32" i="17"/>
  <c r="Q32" i="17"/>
  <c r="R32" i="17"/>
  <c r="S32" i="17"/>
  <c r="T32" i="17"/>
  <c r="U32" i="17"/>
  <c r="V32" i="17"/>
  <c r="W32" i="17"/>
  <c r="X32" i="17"/>
  <c r="Y32" i="17"/>
  <c r="Z32" i="17"/>
  <c r="AG31" i="17"/>
  <c r="AD31" i="17"/>
  <c r="O31" i="17"/>
  <c r="P31" i="17"/>
  <c r="Q31" i="17"/>
  <c r="R31" i="17"/>
  <c r="S31" i="17"/>
  <c r="T31" i="17"/>
  <c r="U31" i="17"/>
  <c r="V31" i="17"/>
  <c r="W31" i="17"/>
  <c r="X31" i="17"/>
  <c r="Y31" i="17"/>
  <c r="Z31" i="17"/>
  <c r="AA31" i="17"/>
  <c r="N26" i="17"/>
  <c r="N27" i="17"/>
  <c r="N28" i="17"/>
  <c r="N29" i="17"/>
  <c r="B23" i="17"/>
  <c r="AG16" i="17"/>
  <c r="AG19" i="17"/>
  <c r="AH141" i="17" s="1"/>
  <c r="AG20" i="17"/>
  <c r="AH104" i="17" s="1"/>
  <c r="AD19" i="17"/>
  <c r="AE136" i="17" s="1"/>
  <c r="AD20" i="17"/>
  <c r="AE104" i="17" s="1"/>
  <c r="G19" i="17"/>
  <c r="G20" i="17"/>
  <c r="N19" i="17"/>
  <c r="O19" i="17"/>
  <c r="P19" i="17"/>
  <c r="Q19" i="17"/>
  <c r="R19" i="17"/>
  <c r="S19" i="17"/>
  <c r="T19" i="17"/>
  <c r="U19" i="17"/>
  <c r="V19" i="17"/>
  <c r="W19" i="17"/>
  <c r="X19" i="17"/>
  <c r="Y19" i="17"/>
  <c r="Z19" i="17"/>
  <c r="N20" i="17"/>
  <c r="O20" i="17"/>
  <c r="P20" i="17"/>
  <c r="Q20" i="17"/>
  <c r="R20" i="17"/>
  <c r="S20" i="17"/>
  <c r="T20" i="17"/>
  <c r="U20" i="17"/>
  <c r="V20" i="17"/>
  <c r="W20" i="17"/>
  <c r="X20" i="17"/>
  <c r="Y20" i="17"/>
  <c r="Z20" i="17"/>
  <c r="B17" i="17"/>
  <c r="B18" i="17"/>
  <c r="B19" i="17"/>
  <c r="O16" i="17"/>
  <c r="P16" i="17"/>
  <c r="Q16" i="17"/>
  <c r="R16" i="17"/>
  <c r="S16" i="17"/>
  <c r="T16" i="17"/>
  <c r="U16" i="17"/>
  <c r="V16" i="17"/>
  <c r="W16" i="17"/>
  <c r="X16" i="17"/>
  <c r="Y16" i="17"/>
  <c r="O17" i="17"/>
  <c r="P17" i="17"/>
  <c r="Q17" i="17"/>
  <c r="R17" i="17"/>
  <c r="S17" i="17"/>
  <c r="T17" i="17"/>
  <c r="U17" i="17"/>
  <c r="V17" i="17"/>
  <c r="W17" i="17"/>
  <c r="X17" i="17"/>
  <c r="Y17" i="17"/>
  <c r="Z17" i="17"/>
  <c r="AA17" i="17" s="1"/>
  <c r="AA11" i="17" s="1"/>
  <c r="AA18" i="17" s="1"/>
  <c r="A14" i="17"/>
  <c r="AG12" i="17"/>
  <c r="AG13" i="17"/>
  <c r="AD12" i="17"/>
  <c r="AD13" i="17"/>
  <c r="B12" i="17"/>
  <c r="AA16" i="17" s="1"/>
  <c r="B13" i="17"/>
  <c r="O11" i="17"/>
  <c r="P11" i="17"/>
  <c r="Q11" i="17"/>
  <c r="R11" i="17"/>
  <c r="S11" i="17"/>
  <c r="T11" i="17"/>
  <c r="U11" i="17"/>
  <c r="V11" i="17"/>
  <c r="W11" i="17"/>
  <c r="X11" i="17"/>
  <c r="Y11" i="17"/>
  <c r="Z11" i="17"/>
  <c r="O12" i="17"/>
  <c r="P12" i="17"/>
  <c r="Q12" i="17"/>
  <c r="R12" i="17"/>
  <c r="S12" i="17"/>
  <c r="T12" i="17"/>
  <c r="U12" i="17"/>
  <c r="V12" i="17"/>
  <c r="W12" i="17"/>
  <c r="X12" i="17"/>
  <c r="Y12" i="17"/>
  <c r="Z12" i="17"/>
  <c r="AA12" i="17"/>
  <c r="O13" i="17"/>
  <c r="P13" i="17"/>
  <c r="Q13" i="17"/>
  <c r="R13" i="17"/>
  <c r="S13" i="17"/>
  <c r="T13" i="17"/>
  <c r="U13" i="17"/>
  <c r="V13" i="17"/>
  <c r="W13" i="17"/>
  <c r="X13" i="17"/>
  <c r="Y13" i="17"/>
  <c r="Z13" i="17"/>
  <c r="AA13" i="17"/>
  <c r="C10" i="17"/>
  <c r="D10" i="17"/>
  <c r="C9" i="17"/>
  <c r="C1" i="17"/>
  <c r="C2" i="17"/>
  <c r="C3" i="17"/>
  <c r="C4" i="17"/>
  <c r="C5" i="17"/>
  <c r="C6" i="17"/>
  <c r="C7" i="17"/>
  <c r="C8" i="17"/>
  <c r="E6" i="17"/>
  <c r="E4" i="17"/>
  <c r="F4" i="17"/>
  <c r="B3" i="17"/>
  <c r="AG121" i="16"/>
  <c r="AD121" i="16"/>
  <c r="O121" i="16"/>
  <c r="P121" i="16"/>
  <c r="Q121" i="16"/>
  <c r="R121" i="16"/>
  <c r="S121" i="16"/>
  <c r="T121" i="16"/>
  <c r="U121" i="16"/>
  <c r="V121" i="16"/>
  <c r="W121" i="16"/>
  <c r="X121" i="16"/>
  <c r="Y121" i="16"/>
  <c r="Z121" i="16"/>
  <c r="N122" i="16"/>
  <c r="R122" i="16"/>
  <c r="N118" i="16"/>
  <c r="N121" i="16" s="1"/>
  <c r="N119" i="16"/>
  <c r="AA119" i="16"/>
  <c r="I118" i="16"/>
  <c r="AA118" i="16" s="1"/>
  <c r="J118" i="16"/>
  <c r="I119" i="16"/>
  <c r="J119"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I116" i="16"/>
  <c r="J116" i="16"/>
  <c r="B109" i="16"/>
  <c r="B103" i="16"/>
  <c r="B104" i="16"/>
  <c r="B105" i="16"/>
  <c r="A100" i="16"/>
  <c r="AI98" i="16"/>
  <c r="AH99" i="16"/>
  <c r="AH100" i="16"/>
  <c r="AH108" i="16"/>
  <c r="AH110" i="16"/>
  <c r="AE99" i="16"/>
  <c r="AE102" i="16"/>
  <c r="AE103" i="16"/>
  <c r="AE108" i="16"/>
  <c r="AE109" i="16"/>
  <c r="AE110" i="16"/>
  <c r="AE111" i="16"/>
  <c r="AE115" i="16"/>
  <c r="AA92" i="16"/>
  <c r="AA99" i="16"/>
  <c r="AF99" i="16" s="1"/>
  <c r="AB99" i="16"/>
  <c r="AA108" i="16"/>
  <c r="AA116" i="16"/>
  <c r="AI116" i="16" s="1"/>
  <c r="I92" i="16"/>
  <c r="J92" i="16"/>
  <c r="L92" i="16"/>
  <c r="M92" i="16"/>
  <c r="I93" i="16"/>
  <c r="AA93" i="16" s="1"/>
  <c r="J93" i="16"/>
  <c r="L93" i="16"/>
  <c r="M93" i="16"/>
  <c r="I94" i="16"/>
  <c r="AA94" i="16" s="1"/>
  <c r="J94" i="16"/>
  <c r="L94" i="16"/>
  <c r="M94" i="16"/>
  <c r="I95" i="16"/>
  <c r="AA95" i="16" s="1"/>
  <c r="J95" i="16"/>
  <c r="L95" i="16"/>
  <c r="M95" i="16"/>
  <c r="I96" i="16"/>
  <c r="K96" i="16" s="1"/>
  <c r="J96" i="16"/>
  <c r="L96" i="16"/>
  <c r="M96" i="16"/>
  <c r="I97" i="16"/>
  <c r="J97" i="16"/>
  <c r="L97" i="16"/>
  <c r="M97" i="16"/>
  <c r="I98" i="16"/>
  <c r="AA98" i="16" s="1"/>
  <c r="J98" i="16"/>
  <c r="L98" i="16"/>
  <c r="M98" i="16"/>
  <c r="I99" i="16"/>
  <c r="J99" i="16"/>
  <c r="K99" i="16" s="1"/>
  <c r="L99" i="16"/>
  <c r="M99" i="16"/>
  <c r="I100" i="16"/>
  <c r="J100" i="16"/>
  <c r="L100" i="16"/>
  <c r="M100" i="16"/>
  <c r="I101" i="16"/>
  <c r="AA101" i="16" s="1"/>
  <c r="J101" i="16"/>
  <c r="L101" i="16"/>
  <c r="M101" i="16"/>
  <c r="I102" i="16"/>
  <c r="AA102" i="16" s="1"/>
  <c r="J102" i="16"/>
  <c r="K102" i="16" s="1"/>
  <c r="L102" i="16"/>
  <c r="M102" i="16"/>
  <c r="I103" i="16"/>
  <c r="AA103" i="16" s="1"/>
  <c r="J103" i="16"/>
  <c r="L103" i="16"/>
  <c r="M103" i="16"/>
  <c r="I104" i="16"/>
  <c r="AA104" i="16" s="1"/>
  <c r="J104" i="16"/>
  <c r="L104" i="16"/>
  <c r="M104" i="16"/>
  <c r="I105" i="16"/>
  <c r="AA105" i="16" s="1"/>
  <c r="J105" i="16"/>
  <c r="L105" i="16"/>
  <c r="M105" i="16"/>
  <c r="I106" i="16"/>
  <c r="AA106" i="16" s="1"/>
  <c r="AI106" i="16" s="1"/>
  <c r="J106" i="16"/>
  <c r="L106" i="16"/>
  <c r="M106" i="16"/>
  <c r="I107" i="16"/>
  <c r="J107" i="16"/>
  <c r="L107" i="16"/>
  <c r="M107" i="16"/>
  <c r="I108" i="16"/>
  <c r="J108" i="16"/>
  <c r="L108" i="16"/>
  <c r="M108" i="16"/>
  <c r="I109" i="16"/>
  <c r="AA109" i="16" s="1"/>
  <c r="J109" i="16"/>
  <c r="L109" i="16"/>
  <c r="M109" i="16"/>
  <c r="I110" i="16"/>
  <c r="AA110" i="16" s="1"/>
  <c r="J110" i="16"/>
  <c r="K110" i="16" s="1"/>
  <c r="L110" i="16"/>
  <c r="M110" i="16"/>
  <c r="I111" i="16"/>
  <c r="AA111" i="16" s="1"/>
  <c r="J111" i="16"/>
  <c r="L111" i="16"/>
  <c r="M111" i="16"/>
  <c r="I112" i="16"/>
  <c r="AA112" i="16" s="1"/>
  <c r="J112" i="16"/>
  <c r="K112" i="16"/>
  <c r="L112" i="16"/>
  <c r="M112" i="16"/>
  <c r="I113" i="16"/>
  <c r="K113" i="16" s="1"/>
  <c r="J113" i="16"/>
  <c r="L113" i="16"/>
  <c r="M113" i="16"/>
  <c r="I114" i="16"/>
  <c r="AA114" i="16" s="1"/>
  <c r="J114" i="16"/>
  <c r="L114" i="16"/>
  <c r="M114" i="16"/>
  <c r="I115" i="16"/>
  <c r="AA115" i="16" s="1"/>
  <c r="J115" i="16"/>
  <c r="L115" i="16"/>
  <c r="M115" i="16"/>
  <c r="I91" i="16"/>
  <c r="J91" i="16"/>
  <c r="B77" i="16"/>
  <c r="B78" i="16"/>
  <c r="AH76" i="16"/>
  <c r="AI89" i="16"/>
  <c r="AE76" i="16"/>
  <c r="AE77" i="16"/>
  <c r="AE82" i="16"/>
  <c r="AA79" i="16"/>
  <c r="AI79" i="16" s="1"/>
  <c r="AA87" i="16"/>
  <c r="AI87" i="16" s="1"/>
  <c r="I74" i="16"/>
  <c r="J74" i="16"/>
  <c r="L74" i="16"/>
  <c r="M74" i="16"/>
  <c r="N74" i="16"/>
  <c r="I75" i="16"/>
  <c r="AA75" i="16" s="1"/>
  <c r="J75" i="16"/>
  <c r="K75" i="16"/>
  <c r="L75" i="16"/>
  <c r="M75" i="16"/>
  <c r="N75" i="16"/>
  <c r="I76" i="16"/>
  <c r="K76" i="16" s="1"/>
  <c r="J76" i="16"/>
  <c r="L76" i="16"/>
  <c r="M76" i="16"/>
  <c r="N76" i="16"/>
  <c r="I77" i="16"/>
  <c r="AA77" i="16" s="1"/>
  <c r="J77" i="16"/>
  <c r="K77" i="16"/>
  <c r="L77" i="16"/>
  <c r="M77" i="16"/>
  <c r="N77" i="16"/>
  <c r="I78" i="16"/>
  <c r="AA78" i="16" s="1"/>
  <c r="J78" i="16"/>
  <c r="L78" i="16"/>
  <c r="M78" i="16"/>
  <c r="N78" i="16"/>
  <c r="I79" i="16"/>
  <c r="J79" i="16"/>
  <c r="K79" i="16"/>
  <c r="L79" i="16"/>
  <c r="M79" i="16"/>
  <c r="N79" i="16"/>
  <c r="I80" i="16"/>
  <c r="K80" i="16" s="1"/>
  <c r="J80" i="16"/>
  <c r="L80" i="16"/>
  <c r="M80" i="16"/>
  <c r="N80" i="16"/>
  <c r="I81" i="16"/>
  <c r="J81" i="16"/>
  <c r="L81" i="16"/>
  <c r="M81" i="16"/>
  <c r="N81" i="16"/>
  <c r="I82" i="16"/>
  <c r="AA82" i="16" s="1"/>
  <c r="J82" i="16"/>
  <c r="K82" i="16"/>
  <c r="L82" i="16"/>
  <c r="M82" i="16"/>
  <c r="N82" i="16"/>
  <c r="I83" i="16"/>
  <c r="AA83" i="16" s="1"/>
  <c r="J83" i="16"/>
  <c r="K83" i="16"/>
  <c r="L83" i="16"/>
  <c r="M83" i="16"/>
  <c r="N83" i="16"/>
  <c r="I84" i="16"/>
  <c r="K84" i="16" s="1"/>
  <c r="J84" i="16"/>
  <c r="L84" i="16"/>
  <c r="M84" i="16"/>
  <c r="N84" i="16"/>
  <c r="I85" i="16"/>
  <c r="AA85" i="16" s="1"/>
  <c r="J85" i="16"/>
  <c r="L85" i="16"/>
  <c r="M85" i="16"/>
  <c r="N85" i="16"/>
  <c r="I86" i="16"/>
  <c r="AA86" i="16" s="1"/>
  <c r="J86" i="16"/>
  <c r="K86" i="16"/>
  <c r="L86" i="16"/>
  <c r="M86" i="16"/>
  <c r="N86" i="16"/>
  <c r="I87" i="16"/>
  <c r="J87" i="16"/>
  <c r="K87" i="16"/>
  <c r="L87" i="16"/>
  <c r="M87" i="16"/>
  <c r="N87" i="16"/>
  <c r="I88" i="16"/>
  <c r="J88" i="16"/>
  <c r="L88" i="16"/>
  <c r="M88" i="16"/>
  <c r="N88" i="16"/>
  <c r="I89" i="16"/>
  <c r="AA89" i="16" s="1"/>
  <c r="J89" i="16"/>
  <c r="L89" i="16"/>
  <c r="M89" i="16"/>
  <c r="N89" i="16"/>
  <c r="B72" i="16"/>
  <c r="B73" i="16"/>
  <c r="B74" i="16"/>
  <c r="N72" i="16"/>
  <c r="N73" i="16"/>
  <c r="I72" i="16"/>
  <c r="J72" i="16"/>
  <c r="I73" i="16"/>
  <c r="J73" i="16"/>
  <c r="AD70" i="16"/>
  <c r="AD122" i="16" s="1"/>
  <c r="AG70" i="16"/>
  <c r="N70" i="16"/>
  <c r="O70" i="16"/>
  <c r="O122" i="16" s="1"/>
  <c r="P70" i="16"/>
  <c r="P122" i="16" s="1"/>
  <c r="Q70" i="16"/>
  <c r="Q122" i="16" s="1"/>
  <c r="R70" i="16"/>
  <c r="S70" i="16"/>
  <c r="S122" i="16" s="1"/>
  <c r="T70" i="16"/>
  <c r="T122" i="16" s="1"/>
  <c r="U70" i="16"/>
  <c r="U122" i="16" s="1"/>
  <c r="V70" i="16"/>
  <c r="V122" i="16" s="1"/>
  <c r="W70" i="16"/>
  <c r="W122" i="16" s="1"/>
  <c r="X70" i="16"/>
  <c r="X122" i="16" s="1"/>
  <c r="Y70" i="16"/>
  <c r="Y122" i="16" s="1"/>
  <c r="Z70" i="16"/>
  <c r="Z122" i="16" s="1"/>
  <c r="AH69" i="16"/>
  <c r="AI69" i="16"/>
  <c r="AB60" i="16"/>
  <c r="AB61" i="16"/>
  <c r="AB62" i="16"/>
  <c r="AB63" i="16"/>
  <c r="AB64" i="16"/>
  <c r="AB65" i="16"/>
  <c r="AB66" i="16"/>
  <c r="AN66" i="16" s="1"/>
  <c r="AB67" i="16"/>
  <c r="AN67" i="16" s="1"/>
  <c r="AB68" i="16"/>
  <c r="AB69" i="16"/>
  <c r="N58" i="16"/>
  <c r="N59" i="16"/>
  <c r="N60" i="16"/>
  <c r="N61" i="16"/>
  <c r="N62" i="16"/>
  <c r="N63" i="16"/>
  <c r="N64" i="16"/>
  <c r="N65" i="16"/>
  <c r="N66" i="16"/>
  <c r="N67" i="16"/>
  <c r="N68" i="16"/>
  <c r="N69" i="16"/>
  <c r="I69" i="16"/>
  <c r="K69" i="16" s="1"/>
  <c r="J69" i="16"/>
  <c r="I70" i="16"/>
  <c r="K70" i="16" s="1"/>
  <c r="J70" i="16"/>
  <c r="A69" i="16"/>
  <c r="AA62" i="16"/>
  <c r="AF62" i="16" s="1"/>
  <c r="AH60" i="16"/>
  <c r="AN60" i="16" s="1"/>
  <c r="AH61" i="16"/>
  <c r="AH62" i="16"/>
  <c r="AN62" i="16" s="1"/>
  <c r="AI62" i="16"/>
  <c r="AH63" i="16"/>
  <c r="AH64" i="16"/>
  <c r="AH65" i="16"/>
  <c r="AN65" i="16" s="1"/>
  <c r="AH66" i="16"/>
  <c r="AL66" i="16"/>
  <c r="AH67" i="16"/>
  <c r="AH68" i="16"/>
  <c r="AN68" i="16" s="1"/>
  <c r="AE60" i="16"/>
  <c r="AM60" i="16" s="1"/>
  <c r="AE61" i="16"/>
  <c r="AE62" i="16"/>
  <c r="AM62" i="16" s="1"/>
  <c r="AE63" i="16"/>
  <c r="AE64" i="16"/>
  <c r="AE65" i="16"/>
  <c r="AE66" i="16"/>
  <c r="AE67" i="16"/>
  <c r="AM67" i="16" s="1"/>
  <c r="AE68" i="16"/>
  <c r="AM68" i="16" s="1"/>
  <c r="AE69" i="16"/>
  <c r="AF69" i="16"/>
  <c r="I60" i="16"/>
  <c r="AA60" i="16" s="1"/>
  <c r="J60" i="16"/>
  <c r="L60" i="16"/>
  <c r="M60" i="16"/>
  <c r="I61" i="16"/>
  <c r="AA61" i="16" s="1"/>
  <c r="AI61" i="16" s="1"/>
  <c r="J61" i="16"/>
  <c r="L61" i="16"/>
  <c r="M61" i="16"/>
  <c r="I62" i="16"/>
  <c r="K62" i="16" s="1"/>
  <c r="J62" i="16"/>
  <c r="L62" i="16"/>
  <c r="M62" i="16"/>
  <c r="I63" i="16"/>
  <c r="J63" i="16"/>
  <c r="L63" i="16"/>
  <c r="M63" i="16"/>
  <c r="I64" i="16"/>
  <c r="K64" i="16" s="1"/>
  <c r="J64" i="16"/>
  <c r="L64" i="16"/>
  <c r="M64" i="16"/>
  <c r="I65" i="16"/>
  <c r="AA65" i="16" s="1"/>
  <c r="AI65" i="16" s="1"/>
  <c r="J65" i="16"/>
  <c r="K65" i="16"/>
  <c r="L65" i="16"/>
  <c r="M65" i="16"/>
  <c r="I66" i="16"/>
  <c r="AA66" i="16" s="1"/>
  <c r="AI66" i="16" s="1"/>
  <c r="J66" i="16"/>
  <c r="K66" i="16"/>
  <c r="L66" i="16"/>
  <c r="M66" i="16"/>
  <c r="I67" i="16"/>
  <c r="AA67" i="16" s="1"/>
  <c r="J67" i="16"/>
  <c r="L67" i="16"/>
  <c r="M67" i="16"/>
  <c r="I68" i="16"/>
  <c r="J68" i="16"/>
  <c r="L68" i="16"/>
  <c r="M68" i="16"/>
  <c r="I58" i="16"/>
  <c r="J58" i="16"/>
  <c r="I59" i="16"/>
  <c r="J59" i="16"/>
  <c r="N33" i="16"/>
  <c r="N34" i="16"/>
  <c r="N35" i="16"/>
  <c r="N36" i="16"/>
  <c r="N37" i="16"/>
  <c r="N38" i="16"/>
  <c r="N39" i="16"/>
  <c r="N40" i="16"/>
  <c r="N41" i="16"/>
  <c r="N42" i="16"/>
  <c r="N43" i="16"/>
  <c r="N44" i="16"/>
  <c r="N45" i="16"/>
  <c r="N46" i="16"/>
  <c r="N47" i="16"/>
  <c r="N48" i="16"/>
  <c r="N49" i="16"/>
  <c r="N50" i="16"/>
  <c r="N51" i="16"/>
  <c r="N52" i="16"/>
  <c r="N53" i="16"/>
  <c r="N54" i="16"/>
  <c r="N55" i="16"/>
  <c r="N56" i="16"/>
  <c r="I56" i="16"/>
  <c r="AA56" i="16" s="1"/>
  <c r="J56" i="16"/>
  <c r="AH51" i="16"/>
  <c r="AH55" i="16"/>
  <c r="AE51" i="16"/>
  <c r="AE53" i="16"/>
  <c r="AE55" i="16"/>
  <c r="AA55" i="16"/>
  <c r="AI55" i="16" s="1"/>
  <c r="I49" i="16"/>
  <c r="AA49" i="16" s="1"/>
  <c r="J49" i="16"/>
  <c r="I50" i="16"/>
  <c r="AA50" i="16" s="1"/>
  <c r="J50" i="16"/>
  <c r="I51" i="16"/>
  <c r="AA51" i="16" s="1"/>
  <c r="J51" i="16"/>
  <c r="I52" i="16"/>
  <c r="AA52" i="16" s="1"/>
  <c r="J52" i="16"/>
  <c r="I53" i="16"/>
  <c r="AA53" i="16" s="1"/>
  <c r="J53" i="16"/>
  <c r="I54" i="16"/>
  <c r="AA54" i="16" s="1"/>
  <c r="J54" i="16"/>
  <c r="AA46" i="16"/>
  <c r="AF46" i="16" s="1"/>
  <c r="AA48" i="16"/>
  <c r="I47" i="16"/>
  <c r="K47" i="16" s="1"/>
  <c r="J47" i="16"/>
  <c r="I48" i="16"/>
  <c r="K48" i="16" s="1"/>
  <c r="J48" i="16"/>
  <c r="B44" i="16"/>
  <c r="B45" i="16"/>
  <c r="AE41" i="16"/>
  <c r="AE42" i="16"/>
  <c r="AE44" i="16"/>
  <c r="AE45" i="16"/>
  <c r="AE46" i="16"/>
  <c r="I41" i="16"/>
  <c r="AA41" i="16" s="1"/>
  <c r="J41" i="16"/>
  <c r="K41" i="16"/>
  <c r="I42" i="16"/>
  <c r="K42" i="16" s="1"/>
  <c r="J42" i="16"/>
  <c r="I43" i="16"/>
  <c r="AA43" i="16" s="1"/>
  <c r="J43" i="16"/>
  <c r="I44" i="16"/>
  <c r="AA44" i="16" s="1"/>
  <c r="J44" i="16"/>
  <c r="K44" i="16"/>
  <c r="I45" i="16"/>
  <c r="K45" i="16" s="1"/>
  <c r="J45" i="16"/>
  <c r="B39" i="16"/>
  <c r="B40" i="16"/>
  <c r="B41" i="16"/>
  <c r="I40" i="16"/>
  <c r="AA40" i="16" s="1"/>
  <c r="J40" i="16"/>
  <c r="A36" i="16"/>
  <c r="AM40" i="16"/>
  <c r="AN40" i="16"/>
  <c r="AL42" i="16"/>
  <c r="AM48" i="16"/>
  <c r="AN48" i="16"/>
  <c r="AE36" i="16"/>
  <c r="AE39" i="16"/>
  <c r="I35" i="16"/>
  <c r="K35" i="16" s="1"/>
  <c r="J35" i="16"/>
  <c r="I36" i="16"/>
  <c r="AA36" i="16" s="1"/>
  <c r="J36" i="16"/>
  <c r="I37" i="16"/>
  <c r="J37" i="16"/>
  <c r="I38" i="16"/>
  <c r="AA38" i="16" s="1"/>
  <c r="J38" i="16"/>
  <c r="I39" i="16"/>
  <c r="AA39" i="16" s="1"/>
  <c r="J39" i="16"/>
  <c r="K39" i="16"/>
  <c r="I33" i="16"/>
  <c r="J33" i="16"/>
  <c r="I34" i="16"/>
  <c r="J34" i="16"/>
  <c r="AG32" i="16"/>
  <c r="AL32" i="16" s="1"/>
  <c r="AD32" i="16"/>
  <c r="AK32" i="16" s="1"/>
  <c r="O32" i="16"/>
  <c r="P32" i="16"/>
  <c r="Q32" i="16"/>
  <c r="R32" i="16"/>
  <c r="S32" i="16"/>
  <c r="T32" i="16"/>
  <c r="U32" i="16"/>
  <c r="V32" i="16"/>
  <c r="W32" i="16"/>
  <c r="X32" i="16"/>
  <c r="Y32" i="16"/>
  <c r="Z32" i="16"/>
  <c r="AJ32" i="16" s="1"/>
  <c r="AJ31" i="16"/>
  <c r="AK31" i="16"/>
  <c r="AL31" i="16"/>
  <c r="AM31" i="16"/>
  <c r="AN31" i="16"/>
  <c r="AG31" i="16"/>
  <c r="AD31" i="16"/>
  <c r="O31" i="16"/>
  <c r="P31" i="16"/>
  <c r="Q31" i="16"/>
  <c r="R31" i="16"/>
  <c r="S31" i="16"/>
  <c r="T31" i="16"/>
  <c r="U31" i="16"/>
  <c r="V31" i="16"/>
  <c r="W31" i="16"/>
  <c r="X31" i="16"/>
  <c r="Y31" i="16"/>
  <c r="Z31" i="16"/>
  <c r="AA31" i="16"/>
  <c r="N26" i="16"/>
  <c r="N27" i="16"/>
  <c r="N28" i="16"/>
  <c r="N29" i="16"/>
  <c r="B23" i="16"/>
  <c r="AG16" i="16"/>
  <c r="AG19" i="16"/>
  <c r="AG20" i="16"/>
  <c r="AL76" i="16" s="1"/>
  <c r="AD19" i="16"/>
  <c r="AE80" i="16" s="1"/>
  <c r="AD20" i="16"/>
  <c r="G19" i="16"/>
  <c r="G20" i="16"/>
  <c r="N19" i="16"/>
  <c r="O19" i="16"/>
  <c r="P19" i="16"/>
  <c r="Q19" i="16"/>
  <c r="R19" i="16"/>
  <c r="S19" i="16"/>
  <c r="T19" i="16"/>
  <c r="U19" i="16"/>
  <c r="V19" i="16"/>
  <c r="W19" i="16"/>
  <c r="X19" i="16"/>
  <c r="Y19" i="16"/>
  <c r="Z19" i="16"/>
  <c r="N20" i="16"/>
  <c r="O20" i="16"/>
  <c r="P20" i="16"/>
  <c r="Q20" i="16"/>
  <c r="R20" i="16"/>
  <c r="S20" i="16"/>
  <c r="T20" i="16"/>
  <c r="U20" i="16"/>
  <c r="V20" i="16"/>
  <c r="W20" i="16"/>
  <c r="X20" i="16"/>
  <c r="Y20" i="16"/>
  <c r="Z20" i="16"/>
  <c r="B17" i="16"/>
  <c r="B18" i="16"/>
  <c r="B19" i="16"/>
  <c r="O16" i="16"/>
  <c r="P16" i="16"/>
  <c r="Q16" i="16"/>
  <c r="R16" i="16"/>
  <c r="S16" i="16"/>
  <c r="T16" i="16"/>
  <c r="U16" i="16"/>
  <c r="V16" i="16"/>
  <c r="W16" i="16"/>
  <c r="X16" i="16"/>
  <c r="Y16" i="16"/>
  <c r="O17" i="16"/>
  <c r="P17" i="16"/>
  <c r="Q17" i="16"/>
  <c r="R17" i="16"/>
  <c r="S17" i="16"/>
  <c r="T17" i="16"/>
  <c r="U17" i="16"/>
  <c r="V17" i="16"/>
  <c r="W17" i="16"/>
  <c r="X17" i="16"/>
  <c r="Y17" i="16"/>
  <c r="Z17" i="16"/>
  <c r="AA17" i="16" s="1"/>
  <c r="AA11" i="16" s="1"/>
  <c r="A14" i="16"/>
  <c r="AG12" i="16"/>
  <c r="AG13" i="16"/>
  <c r="AD12" i="16"/>
  <c r="AD13" i="16"/>
  <c r="B12" i="16"/>
  <c r="B13" i="16"/>
  <c r="O11" i="16"/>
  <c r="P11" i="16"/>
  <c r="Q11" i="16"/>
  <c r="R11" i="16"/>
  <c r="S11" i="16"/>
  <c r="T11" i="16"/>
  <c r="U11" i="16"/>
  <c r="V11" i="16"/>
  <c r="W11" i="16"/>
  <c r="X11" i="16"/>
  <c r="Y11" i="16"/>
  <c r="Z11" i="16"/>
  <c r="O12" i="16"/>
  <c r="P12" i="16"/>
  <c r="Q12" i="16"/>
  <c r="R12" i="16"/>
  <c r="S12" i="16"/>
  <c r="T12" i="16"/>
  <c r="U12" i="16"/>
  <c r="V12" i="16"/>
  <c r="W12" i="16"/>
  <c r="X12" i="16"/>
  <c r="Y12" i="16"/>
  <c r="Z12" i="16"/>
  <c r="AA12" i="16"/>
  <c r="O13" i="16"/>
  <c r="P13" i="16"/>
  <c r="Q13" i="16"/>
  <c r="R13" i="16"/>
  <c r="S13" i="16"/>
  <c r="T13" i="16"/>
  <c r="U13" i="16"/>
  <c r="V13" i="16"/>
  <c r="W13" i="16"/>
  <c r="X13" i="16"/>
  <c r="Y13" i="16"/>
  <c r="Z13" i="16"/>
  <c r="AA13" i="16"/>
  <c r="C10" i="16"/>
  <c r="D10" i="16"/>
  <c r="C9" i="16"/>
  <c r="C1" i="16"/>
  <c r="C2" i="16"/>
  <c r="C3" i="16"/>
  <c r="C4" i="16"/>
  <c r="C5" i="16"/>
  <c r="C6" i="16"/>
  <c r="C7" i="16"/>
  <c r="C8" i="16"/>
  <c r="E6" i="16"/>
  <c r="B51" i="16" s="1"/>
  <c r="E4" i="16"/>
  <c r="F4" i="16"/>
  <c r="B3" i="16"/>
  <c r="AG76" i="7"/>
  <c r="AD76" i="7"/>
  <c r="O76" i="7"/>
  <c r="P76" i="7"/>
  <c r="Q76" i="7"/>
  <c r="R76" i="7"/>
  <c r="S76" i="7"/>
  <c r="T76" i="7"/>
  <c r="U76" i="7"/>
  <c r="V76" i="7"/>
  <c r="W76" i="7"/>
  <c r="X76" i="7"/>
  <c r="Y76" i="7"/>
  <c r="Z76" i="7"/>
  <c r="AI71" i="7"/>
  <c r="AD72" i="7"/>
  <c r="AD73" i="7"/>
  <c r="AD74" i="7"/>
  <c r="AG72" i="7"/>
  <c r="AG73" i="7"/>
  <c r="AG74" i="7"/>
  <c r="O72" i="7"/>
  <c r="P72" i="7"/>
  <c r="Q72" i="7"/>
  <c r="R72" i="7"/>
  <c r="S72" i="7"/>
  <c r="T72" i="7"/>
  <c r="U72" i="7"/>
  <c r="V72" i="7"/>
  <c r="W72" i="7"/>
  <c r="X72" i="7"/>
  <c r="Y72" i="7"/>
  <c r="Z72" i="7"/>
  <c r="O73" i="7"/>
  <c r="P73" i="7"/>
  <c r="Q73" i="7"/>
  <c r="R73" i="7"/>
  <c r="S73" i="7"/>
  <c r="T73" i="7"/>
  <c r="U73" i="7"/>
  <c r="V73" i="7"/>
  <c r="W73" i="7"/>
  <c r="X73" i="7"/>
  <c r="Y73" i="7"/>
  <c r="Z73" i="7"/>
  <c r="O74" i="7"/>
  <c r="P74" i="7"/>
  <c r="Q74" i="7"/>
  <c r="R74" i="7"/>
  <c r="S74" i="7"/>
  <c r="T74" i="7"/>
  <c r="U74" i="7"/>
  <c r="V74" i="7"/>
  <c r="W74" i="7"/>
  <c r="X74" i="7"/>
  <c r="Y74" i="7"/>
  <c r="Z74" i="7"/>
  <c r="AF71" i="7"/>
  <c r="AG65" i="7"/>
  <c r="AG66" i="7"/>
  <c r="AG68" i="7"/>
  <c r="AG69" i="7"/>
  <c r="AG70" i="7"/>
  <c r="AD65" i="7"/>
  <c r="AD66" i="7"/>
  <c r="AD68" i="7"/>
  <c r="AD69" i="7"/>
  <c r="AD70" i="7"/>
  <c r="B65" i="7"/>
  <c r="B66" i="7"/>
  <c r="O65" i="7"/>
  <c r="P65" i="7"/>
  <c r="Q65" i="7"/>
  <c r="R65" i="7"/>
  <c r="S65" i="7"/>
  <c r="T65" i="7"/>
  <c r="U65" i="7"/>
  <c r="V65" i="7"/>
  <c r="W65" i="7"/>
  <c r="X65" i="7"/>
  <c r="Y65" i="7"/>
  <c r="Z65" i="7"/>
  <c r="O66" i="7"/>
  <c r="P66" i="7"/>
  <c r="Q66" i="7"/>
  <c r="R66" i="7"/>
  <c r="S66" i="7"/>
  <c r="T66" i="7"/>
  <c r="U66" i="7"/>
  <c r="V66" i="7"/>
  <c r="W66" i="7"/>
  <c r="X66" i="7"/>
  <c r="Y66" i="7"/>
  <c r="Z66" i="7"/>
  <c r="O68" i="7"/>
  <c r="P68" i="7"/>
  <c r="Q68" i="7"/>
  <c r="R68" i="7"/>
  <c r="S68" i="7"/>
  <c r="T68" i="7"/>
  <c r="U68" i="7"/>
  <c r="V68" i="7"/>
  <c r="W68" i="7"/>
  <c r="X68" i="7"/>
  <c r="Y68" i="7"/>
  <c r="Z68" i="7"/>
  <c r="O69" i="7"/>
  <c r="P69" i="7"/>
  <c r="Q69" i="7"/>
  <c r="R69" i="7"/>
  <c r="S69" i="7"/>
  <c r="T69" i="7"/>
  <c r="U69" i="7"/>
  <c r="V69" i="7"/>
  <c r="W69" i="7"/>
  <c r="X69" i="7"/>
  <c r="Y69" i="7"/>
  <c r="Z69" i="7"/>
  <c r="O70" i="7"/>
  <c r="P70" i="7"/>
  <c r="Q70" i="7"/>
  <c r="R70" i="7"/>
  <c r="S70" i="7"/>
  <c r="T70" i="7"/>
  <c r="U70" i="7"/>
  <c r="V70" i="7"/>
  <c r="W70" i="7"/>
  <c r="X70" i="7"/>
  <c r="Y70" i="7"/>
  <c r="Z70" i="7"/>
  <c r="R63" i="7"/>
  <c r="R67" i="7" s="1"/>
  <c r="Z63" i="7"/>
  <c r="Z67" i="7" s="1"/>
  <c r="B60" i="7"/>
  <c r="B61" i="7"/>
  <c r="B62" i="7"/>
  <c r="A57" i="7"/>
  <c r="AH54" i="7"/>
  <c r="AH55" i="7"/>
  <c r="AH56" i="7"/>
  <c r="AH57" i="7"/>
  <c r="AH59" i="7"/>
  <c r="AI59" i="7"/>
  <c r="AH60" i="7"/>
  <c r="AE54" i="7"/>
  <c r="AE55" i="7"/>
  <c r="AE56" i="7"/>
  <c r="AE57" i="7"/>
  <c r="AE59" i="7"/>
  <c r="AF59" i="7"/>
  <c r="AE60" i="7"/>
  <c r="AA59" i="7"/>
  <c r="AB59" i="7" s="1"/>
  <c r="I54" i="7"/>
  <c r="J54" i="7"/>
  <c r="L54" i="7"/>
  <c r="M54" i="7"/>
  <c r="N54" i="7"/>
  <c r="I55" i="7"/>
  <c r="AA55" i="7" s="1"/>
  <c r="J55" i="7"/>
  <c r="K55" i="7"/>
  <c r="L55" i="7"/>
  <c r="M55" i="7"/>
  <c r="N55" i="7"/>
  <c r="I56" i="7"/>
  <c r="K56" i="7" s="1"/>
  <c r="J56" i="7"/>
  <c r="L56" i="7"/>
  <c r="M56" i="7"/>
  <c r="N56" i="7"/>
  <c r="I57" i="7"/>
  <c r="AA57" i="7" s="1"/>
  <c r="J57" i="7"/>
  <c r="K57" i="7"/>
  <c r="L57" i="7"/>
  <c r="M57" i="7"/>
  <c r="N57" i="7"/>
  <c r="I58" i="7"/>
  <c r="AA58" i="7" s="1"/>
  <c r="J58" i="7"/>
  <c r="L58" i="7"/>
  <c r="M58" i="7"/>
  <c r="N58" i="7"/>
  <c r="I59" i="7"/>
  <c r="J59" i="7"/>
  <c r="K59" i="7"/>
  <c r="L59" i="7"/>
  <c r="M59" i="7"/>
  <c r="N59" i="7"/>
  <c r="I60" i="7"/>
  <c r="K60" i="7" s="1"/>
  <c r="J60" i="7"/>
  <c r="L60" i="7"/>
  <c r="M60" i="7"/>
  <c r="N60" i="7"/>
  <c r="I61" i="7"/>
  <c r="J61" i="7"/>
  <c r="L61" i="7"/>
  <c r="M61" i="7"/>
  <c r="N61" i="7"/>
  <c r="N53" i="7"/>
  <c r="I53" i="7"/>
  <c r="J53" i="7"/>
  <c r="B53" i="7"/>
  <c r="AA51" i="7"/>
  <c r="AF51" i="7" s="1"/>
  <c r="N50" i="7"/>
  <c r="N51" i="7"/>
  <c r="N76" i="7" s="1"/>
  <c r="I50" i="7"/>
  <c r="AA50" i="7" s="1"/>
  <c r="J50" i="7"/>
  <c r="I51" i="7"/>
  <c r="J51" i="7"/>
  <c r="B47" i="7"/>
  <c r="B48" i="7"/>
  <c r="B49" i="7"/>
  <c r="I48" i="7"/>
  <c r="AA48" i="7" s="1"/>
  <c r="J48" i="7"/>
  <c r="AK47" i="7"/>
  <c r="AD47" i="7"/>
  <c r="AG47" i="7"/>
  <c r="AM47" i="7" s="1"/>
  <c r="O47" i="7"/>
  <c r="P47" i="7"/>
  <c r="Q47" i="7"/>
  <c r="R47" i="7"/>
  <c r="S47" i="7"/>
  <c r="T47" i="7"/>
  <c r="U47" i="7"/>
  <c r="V47" i="7"/>
  <c r="W47" i="7"/>
  <c r="X47" i="7"/>
  <c r="Y47" i="7"/>
  <c r="Z47" i="7"/>
  <c r="A44" i="7"/>
  <c r="AH34" i="7"/>
  <c r="AH35" i="7"/>
  <c r="AH36" i="7"/>
  <c r="AH37" i="7"/>
  <c r="AK38" i="7"/>
  <c r="AH39" i="7"/>
  <c r="AM39" i="7"/>
  <c r="AH40" i="7"/>
  <c r="AH42" i="7"/>
  <c r="AK45" i="7"/>
  <c r="AE34" i="7"/>
  <c r="AE35" i="7"/>
  <c r="AE36" i="7"/>
  <c r="AE37" i="7"/>
  <c r="AE39" i="7"/>
  <c r="AE40" i="7"/>
  <c r="AE42" i="7"/>
  <c r="AE43" i="7"/>
  <c r="AE44" i="7"/>
  <c r="AA35" i="7"/>
  <c r="AI35" i="7" s="1"/>
  <c r="I34" i="7"/>
  <c r="AA34" i="7" s="1"/>
  <c r="J34" i="7"/>
  <c r="K34" i="7"/>
  <c r="L34" i="7"/>
  <c r="M34" i="7"/>
  <c r="N34" i="7"/>
  <c r="I35" i="7"/>
  <c r="J35" i="7"/>
  <c r="K35" i="7"/>
  <c r="L35" i="7"/>
  <c r="M35" i="7"/>
  <c r="N35" i="7"/>
  <c r="I36" i="7"/>
  <c r="K36" i="7" s="1"/>
  <c r="J36" i="7"/>
  <c r="L36" i="7"/>
  <c r="M36" i="7"/>
  <c r="N36" i="7"/>
  <c r="I37" i="7"/>
  <c r="AA37" i="7" s="1"/>
  <c r="J37" i="7"/>
  <c r="L37" i="7"/>
  <c r="M37" i="7"/>
  <c r="N37" i="7"/>
  <c r="I38" i="7"/>
  <c r="AA38" i="7" s="1"/>
  <c r="J38" i="7"/>
  <c r="K38" i="7"/>
  <c r="L38" i="7"/>
  <c r="M38" i="7"/>
  <c r="N38" i="7"/>
  <c r="I39" i="7"/>
  <c r="AA39" i="7" s="1"/>
  <c r="AA69" i="7" s="1"/>
  <c r="J39" i="7"/>
  <c r="L39" i="7"/>
  <c r="M39" i="7"/>
  <c r="N39" i="7"/>
  <c r="I40" i="7"/>
  <c r="K40" i="7" s="1"/>
  <c r="J40" i="7"/>
  <c r="L40" i="7"/>
  <c r="M40" i="7"/>
  <c r="N40" i="7"/>
  <c r="I41" i="7"/>
  <c r="AA41" i="7" s="1"/>
  <c r="J41" i="7"/>
  <c r="K41" i="7"/>
  <c r="L41" i="7"/>
  <c r="M41" i="7"/>
  <c r="N41" i="7"/>
  <c r="I42" i="7"/>
  <c r="AA42" i="7" s="1"/>
  <c r="J42" i="7"/>
  <c r="K42" i="7"/>
  <c r="L42" i="7"/>
  <c r="M42" i="7"/>
  <c r="N42" i="7"/>
  <c r="I43" i="7"/>
  <c r="AA43" i="7" s="1"/>
  <c r="J43" i="7"/>
  <c r="K43" i="7"/>
  <c r="L43" i="7"/>
  <c r="M43" i="7"/>
  <c r="N43" i="7"/>
  <c r="I44" i="7"/>
  <c r="K44" i="7" s="1"/>
  <c r="J44" i="7"/>
  <c r="L44" i="7"/>
  <c r="M44" i="7"/>
  <c r="N44" i="7"/>
  <c r="I45" i="7"/>
  <c r="AA45" i="7" s="1"/>
  <c r="J45" i="7"/>
  <c r="K45" i="7"/>
  <c r="L45" i="7"/>
  <c r="M45" i="7"/>
  <c r="N45" i="7"/>
  <c r="N33" i="7"/>
  <c r="I33" i="7"/>
  <c r="J33" i="7"/>
  <c r="AM31" i="7"/>
  <c r="AG32" i="7"/>
  <c r="AM32" i="7" s="1"/>
  <c r="AD32" i="7"/>
  <c r="O32" i="7"/>
  <c r="P32" i="7"/>
  <c r="Q32" i="7"/>
  <c r="R32" i="7"/>
  <c r="S32" i="7"/>
  <c r="T32" i="7"/>
  <c r="U32" i="7"/>
  <c r="V32" i="7"/>
  <c r="W32" i="7"/>
  <c r="X32" i="7"/>
  <c r="Y32" i="7"/>
  <c r="Z32" i="7"/>
  <c r="AJ32" i="7" s="1"/>
  <c r="AJ31" i="7"/>
  <c r="AK31" i="7"/>
  <c r="AK32" i="7"/>
  <c r="AG31" i="7"/>
  <c r="AD31" i="7"/>
  <c r="O31" i="7"/>
  <c r="P31" i="7"/>
  <c r="Q31" i="7"/>
  <c r="R31" i="7"/>
  <c r="S31" i="7"/>
  <c r="T31" i="7"/>
  <c r="U31" i="7"/>
  <c r="V31" i="7"/>
  <c r="W31" i="7"/>
  <c r="X31" i="7"/>
  <c r="Y31" i="7"/>
  <c r="Z31" i="7"/>
  <c r="AA31" i="7"/>
  <c r="N26" i="7"/>
  <c r="N27" i="7"/>
  <c r="N28" i="7"/>
  <c r="N29" i="7"/>
  <c r="B22" i="7"/>
  <c r="B23" i="7"/>
  <c r="AG16" i="7"/>
  <c r="AG19" i="7"/>
  <c r="AH41" i="7" s="1"/>
  <c r="AG20" i="7"/>
  <c r="AH61" i="7" s="1"/>
  <c r="AG21" i="7"/>
  <c r="AG63" i="7" s="1"/>
  <c r="AG67" i="7" s="1"/>
  <c r="AG22" i="7"/>
  <c r="AM48" i="7" s="1"/>
  <c r="AD19" i="7"/>
  <c r="AE48" i="7" s="1"/>
  <c r="AD20" i="7"/>
  <c r="AE61" i="7" s="1"/>
  <c r="AD21" i="7"/>
  <c r="AD63" i="7" s="1"/>
  <c r="AD67" i="7" s="1"/>
  <c r="AD22" i="7"/>
  <c r="AK36" i="7" s="1"/>
  <c r="G19" i="7"/>
  <c r="G20" i="7"/>
  <c r="N19" i="7"/>
  <c r="O19" i="7"/>
  <c r="P19" i="7"/>
  <c r="Q19" i="7"/>
  <c r="R19" i="7"/>
  <c r="S19" i="7"/>
  <c r="T19" i="7"/>
  <c r="U19" i="7"/>
  <c r="V19" i="7"/>
  <c r="W19" i="7"/>
  <c r="X19" i="7"/>
  <c r="Y19" i="7"/>
  <c r="Z19" i="7"/>
  <c r="N20" i="7"/>
  <c r="O20" i="7"/>
  <c r="P20" i="7"/>
  <c r="Q20" i="7"/>
  <c r="R20" i="7"/>
  <c r="S20" i="7"/>
  <c r="T20" i="7"/>
  <c r="U20" i="7"/>
  <c r="V20" i="7"/>
  <c r="W20" i="7"/>
  <c r="X20" i="7"/>
  <c r="Y20" i="7"/>
  <c r="Z20" i="7"/>
  <c r="N21" i="7"/>
  <c r="N63" i="7" s="1"/>
  <c r="O21" i="7"/>
  <c r="P21" i="7"/>
  <c r="P63" i="7" s="1"/>
  <c r="P67" i="7" s="1"/>
  <c r="Q21" i="7"/>
  <c r="Q63" i="7" s="1"/>
  <c r="Q67" i="7" s="1"/>
  <c r="R21" i="7"/>
  <c r="S21" i="7"/>
  <c r="S63" i="7" s="1"/>
  <c r="S67" i="7" s="1"/>
  <c r="T21" i="7"/>
  <c r="T63" i="7" s="1"/>
  <c r="T67" i="7" s="1"/>
  <c r="U21" i="7"/>
  <c r="U63" i="7" s="1"/>
  <c r="U67" i="7" s="1"/>
  <c r="V21" i="7"/>
  <c r="V63" i="7" s="1"/>
  <c r="V67" i="7" s="1"/>
  <c r="W21" i="7"/>
  <c r="W63" i="7" s="1"/>
  <c r="W67" i="7" s="1"/>
  <c r="X21" i="7"/>
  <c r="X63" i="7" s="1"/>
  <c r="X67" i="7" s="1"/>
  <c r="Y21" i="7"/>
  <c r="Y63" i="7" s="1"/>
  <c r="Y67" i="7" s="1"/>
  <c r="Z21" i="7"/>
  <c r="N22" i="7"/>
  <c r="O22" i="7"/>
  <c r="P22" i="7"/>
  <c r="AA22" i="7" s="1"/>
  <c r="Q22" i="7"/>
  <c r="R22" i="7"/>
  <c r="S22" i="7"/>
  <c r="T22" i="7"/>
  <c r="U22" i="7"/>
  <c r="V22" i="7"/>
  <c r="W22" i="7"/>
  <c r="X22" i="7"/>
  <c r="Y22" i="7"/>
  <c r="Z22" i="7"/>
  <c r="B17" i="7"/>
  <c r="B18" i="7"/>
  <c r="B19" i="7"/>
  <c r="O17" i="7"/>
  <c r="P17" i="7"/>
  <c r="Q17" i="7"/>
  <c r="R17" i="7"/>
  <c r="S17" i="7"/>
  <c r="T17" i="7"/>
  <c r="U17" i="7"/>
  <c r="V17" i="7"/>
  <c r="W17" i="7"/>
  <c r="X17" i="7"/>
  <c r="Y17" i="7"/>
  <c r="Z17" i="7"/>
  <c r="O16" i="7"/>
  <c r="P16" i="7"/>
  <c r="Q16" i="7"/>
  <c r="R16" i="7"/>
  <c r="S16" i="7"/>
  <c r="T16" i="7"/>
  <c r="U16" i="7"/>
  <c r="V16" i="7"/>
  <c r="W16" i="7"/>
  <c r="X16" i="7"/>
  <c r="Y16" i="7"/>
  <c r="Z16" i="7"/>
  <c r="A14" i="7"/>
  <c r="AG12" i="7"/>
  <c r="AG13" i="7"/>
  <c r="AD12" i="7"/>
  <c r="AD13" i="7"/>
  <c r="B12" i="7"/>
  <c r="B13" i="7"/>
  <c r="O12" i="7"/>
  <c r="P12" i="7"/>
  <c r="Q12" i="7"/>
  <c r="R12" i="7"/>
  <c r="S12" i="7"/>
  <c r="T12" i="7"/>
  <c r="U12" i="7"/>
  <c r="V12" i="7"/>
  <c r="W12" i="7"/>
  <c r="X12" i="7"/>
  <c r="Y12" i="7"/>
  <c r="Z12" i="7"/>
  <c r="AA12" i="7"/>
  <c r="O13" i="7"/>
  <c r="P13" i="7"/>
  <c r="Q13" i="7"/>
  <c r="R13" i="7"/>
  <c r="S13" i="7"/>
  <c r="T13" i="7"/>
  <c r="U13" i="7"/>
  <c r="V13" i="7"/>
  <c r="W13" i="7"/>
  <c r="X13" i="7"/>
  <c r="Y13" i="7"/>
  <c r="Z13" i="7"/>
  <c r="AA13" i="7"/>
  <c r="O11" i="7"/>
  <c r="P11" i="7"/>
  <c r="Q11" i="7"/>
  <c r="R11" i="7"/>
  <c r="S11" i="7"/>
  <c r="T11" i="7"/>
  <c r="U11" i="7"/>
  <c r="V11" i="7"/>
  <c r="W11" i="7"/>
  <c r="X11" i="7"/>
  <c r="Y11" i="7"/>
  <c r="Z11" i="7"/>
  <c r="C10" i="7"/>
  <c r="D10" i="7"/>
  <c r="C9" i="7"/>
  <c r="C1" i="7"/>
  <c r="C2" i="7"/>
  <c r="C3" i="7"/>
  <c r="C4" i="7"/>
  <c r="C5" i="7"/>
  <c r="C6" i="7"/>
  <c r="C7" i="7"/>
  <c r="C8" i="7"/>
  <c r="E6" i="7"/>
  <c r="E4" i="7"/>
  <c r="F4" i="7"/>
  <c r="G4" i="7"/>
  <c r="B3" i="7"/>
  <c r="AG154" i="6"/>
  <c r="AH154" i="6"/>
  <c r="AD154" i="6"/>
  <c r="AE154" i="6"/>
  <c r="N154" i="6"/>
  <c r="O154" i="6"/>
  <c r="P154" i="6"/>
  <c r="Q154" i="6"/>
  <c r="R154" i="6"/>
  <c r="S154" i="6"/>
  <c r="T154" i="6"/>
  <c r="U154" i="6"/>
  <c r="V154" i="6"/>
  <c r="W154" i="6"/>
  <c r="X154" i="6"/>
  <c r="Y154" i="6"/>
  <c r="Z154" i="6"/>
  <c r="AD152" i="6"/>
  <c r="AE152" i="6"/>
  <c r="AG152" i="6"/>
  <c r="AH152" i="6"/>
  <c r="O152" i="6"/>
  <c r="P152" i="6"/>
  <c r="Q152" i="6"/>
  <c r="R152" i="6"/>
  <c r="S152" i="6"/>
  <c r="T152" i="6"/>
  <c r="U152" i="6"/>
  <c r="V152" i="6"/>
  <c r="W152" i="6"/>
  <c r="X152" i="6"/>
  <c r="Y152" i="6"/>
  <c r="Z152" i="6"/>
  <c r="AA152" i="6"/>
  <c r="AF152" i="6" s="1"/>
  <c r="AB152" i="6"/>
  <c r="L152" i="6"/>
  <c r="M152" i="6"/>
  <c r="AB119" i="6"/>
  <c r="AB120" i="6"/>
  <c r="AB121" i="6"/>
  <c r="AB122" i="6"/>
  <c r="AB123" i="6"/>
  <c r="AB124" i="6"/>
  <c r="AB125" i="6"/>
  <c r="AB126" i="6"/>
  <c r="AB127" i="6"/>
  <c r="AB128" i="6"/>
  <c r="AB129" i="6"/>
  <c r="AB130" i="6"/>
  <c r="AB131" i="6"/>
  <c r="AB132" i="6"/>
  <c r="AB133" i="6"/>
  <c r="AB134" i="6"/>
  <c r="AB135" i="6"/>
  <c r="AB136" i="6"/>
  <c r="AB137" i="6"/>
  <c r="AB138" i="6"/>
  <c r="AB139" i="6"/>
  <c r="AB140" i="6"/>
  <c r="AB141" i="6"/>
  <c r="AB142" i="6"/>
  <c r="AB143" i="6"/>
  <c r="AB144" i="6"/>
  <c r="AB145" i="6"/>
  <c r="AB146" i="6"/>
  <c r="AB147" i="6"/>
  <c r="AB148" i="6"/>
  <c r="AB149" i="6"/>
  <c r="AB150" i="6"/>
  <c r="AB151"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AA132" i="6"/>
  <c r="AH119" i="6"/>
  <c r="AH120" i="6"/>
  <c r="AH121" i="6"/>
  <c r="AH122" i="6"/>
  <c r="AH123" i="6"/>
  <c r="AH124" i="6"/>
  <c r="AH125" i="6"/>
  <c r="AH126" i="6"/>
  <c r="AH127" i="6"/>
  <c r="AH128" i="6"/>
  <c r="AH129" i="6"/>
  <c r="AH130" i="6"/>
  <c r="AH131" i="6"/>
  <c r="AH132" i="6"/>
  <c r="AH133" i="6"/>
  <c r="AH134" i="6"/>
  <c r="AH135" i="6"/>
  <c r="AH136" i="6"/>
  <c r="AH137" i="6"/>
  <c r="AH138" i="6"/>
  <c r="AH139" i="6"/>
  <c r="AH140" i="6"/>
  <c r="AH141" i="6"/>
  <c r="AH142" i="6"/>
  <c r="AH143" i="6"/>
  <c r="AH144" i="6"/>
  <c r="AH145" i="6"/>
  <c r="AH146" i="6"/>
  <c r="AH147" i="6"/>
  <c r="AH148" i="6"/>
  <c r="AH149" i="6"/>
  <c r="AH150" i="6"/>
  <c r="AH151" i="6"/>
  <c r="AI151" i="6"/>
  <c r="AE119" i="6"/>
  <c r="AE120" i="6"/>
  <c r="AE121" i="6"/>
  <c r="AE122" i="6"/>
  <c r="AE123" i="6"/>
  <c r="AE124" i="6"/>
  <c r="AE125" i="6"/>
  <c r="AE126" i="6"/>
  <c r="AE127" i="6"/>
  <c r="AE128" i="6"/>
  <c r="AE129" i="6"/>
  <c r="AE130" i="6"/>
  <c r="AE131" i="6"/>
  <c r="AE132" i="6"/>
  <c r="AE133" i="6"/>
  <c r="AE134" i="6"/>
  <c r="AE135" i="6"/>
  <c r="AE136" i="6"/>
  <c r="AE137" i="6"/>
  <c r="AE138" i="6"/>
  <c r="AE139" i="6"/>
  <c r="AE140" i="6"/>
  <c r="AE141" i="6"/>
  <c r="AE142" i="6"/>
  <c r="AE143" i="6"/>
  <c r="AE144" i="6"/>
  <c r="AE145" i="6"/>
  <c r="AE146" i="6"/>
  <c r="AE147" i="6"/>
  <c r="AE148" i="6"/>
  <c r="AE149" i="6"/>
  <c r="AE150" i="6"/>
  <c r="AE151" i="6"/>
  <c r="AF151" i="6"/>
  <c r="L119" i="6"/>
  <c r="M119" i="6"/>
  <c r="N119" i="6"/>
  <c r="L120" i="6"/>
  <c r="M120" i="6"/>
  <c r="N120" i="6"/>
  <c r="L121" i="6"/>
  <c r="M121" i="6"/>
  <c r="N121" i="6"/>
  <c r="L122" i="6"/>
  <c r="M122" i="6"/>
  <c r="N122" i="6"/>
  <c r="L123" i="6"/>
  <c r="M123" i="6"/>
  <c r="N123" i="6"/>
  <c r="L124" i="6"/>
  <c r="M124" i="6"/>
  <c r="N124" i="6"/>
  <c r="L125" i="6"/>
  <c r="M125" i="6"/>
  <c r="N125" i="6"/>
  <c r="L126" i="6"/>
  <c r="M126" i="6"/>
  <c r="N126" i="6"/>
  <c r="L127" i="6"/>
  <c r="M127" i="6"/>
  <c r="N127" i="6"/>
  <c r="L128" i="6"/>
  <c r="M128" i="6"/>
  <c r="N128" i="6"/>
  <c r="L129" i="6"/>
  <c r="M129" i="6"/>
  <c r="N129" i="6"/>
  <c r="L130" i="6"/>
  <c r="M130" i="6"/>
  <c r="N130" i="6"/>
  <c r="L131" i="6"/>
  <c r="M131" i="6"/>
  <c r="N131" i="6"/>
  <c r="L132" i="6"/>
  <c r="M132" i="6"/>
  <c r="N132" i="6"/>
  <c r="L133" i="6"/>
  <c r="M133" i="6"/>
  <c r="N133" i="6"/>
  <c r="L134" i="6"/>
  <c r="M134" i="6"/>
  <c r="N134" i="6"/>
  <c r="L135" i="6"/>
  <c r="M135" i="6"/>
  <c r="N135" i="6"/>
  <c r="L136" i="6"/>
  <c r="M136" i="6"/>
  <c r="N136" i="6"/>
  <c r="L137" i="6"/>
  <c r="M137" i="6"/>
  <c r="N137" i="6"/>
  <c r="L138" i="6"/>
  <c r="M138" i="6"/>
  <c r="N138" i="6"/>
  <c r="L139" i="6"/>
  <c r="M139" i="6"/>
  <c r="N139" i="6"/>
  <c r="L140" i="6"/>
  <c r="M140" i="6"/>
  <c r="N140" i="6"/>
  <c r="L141" i="6"/>
  <c r="M141" i="6"/>
  <c r="N141" i="6"/>
  <c r="L142" i="6"/>
  <c r="M142" i="6"/>
  <c r="N142" i="6"/>
  <c r="L143" i="6"/>
  <c r="M143" i="6"/>
  <c r="N143" i="6"/>
  <c r="L144" i="6"/>
  <c r="M144" i="6"/>
  <c r="N144" i="6"/>
  <c r="L145" i="6"/>
  <c r="M145" i="6"/>
  <c r="N145" i="6"/>
  <c r="L146" i="6"/>
  <c r="M146" i="6"/>
  <c r="N146" i="6"/>
  <c r="L147" i="6"/>
  <c r="M147" i="6"/>
  <c r="N147" i="6"/>
  <c r="L148" i="6"/>
  <c r="M148" i="6"/>
  <c r="N148" i="6"/>
  <c r="L149" i="6"/>
  <c r="M149" i="6"/>
  <c r="N149" i="6"/>
  <c r="L150" i="6"/>
  <c r="M150" i="6"/>
  <c r="N150" i="6"/>
  <c r="L151" i="6"/>
  <c r="M151" i="6"/>
  <c r="N151" i="6"/>
  <c r="N118" i="6"/>
  <c r="I118" i="6"/>
  <c r="J118" i="6"/>
  <c r="I119" i="6"/>
  <c r="J119" i="6"/>
  <c r="I120" i="6"/>
  <c r="J120" i="6"/>
  <c r="I121" i="6"/>
  <c r="J121" i="6"/>
  <c r="I122" i="6"/>
  <c r="J122" i="6"/>
  <c r="I123" i="6"/>
  <c r="J123" i="6"/>
  <c r="I124" i="6"/>
  <c r="J124" i="6"/>
  <c r="I125" i="6"/>
  <c r="J125" i="6"/>
  <c r="I126" i="6"/>
  <c r="J126" i="6"/>
  <c r="I127" i="6"/>
  <c r="J127" i="6"/>
  <c r="I128" i="6"/>
  <c r="J128" i="6"/>
  <c r="I129" i="6"/>
  <c r="J129" i="6"/>
  <c r="I130" i="6"/>
  <c r="J130" i="6"/>
  <c r="I131" i="6"/>
  <c r="J131" i="6"/>
  <c r="I132" i="6"/>
  <c r="J132" i="6"/>
  <c r="I133" i="6"/>
  <c r="J133" i="6"/>
  <c r="I134" i="6"/>
  <c r="J134" i="6"/>
  <c r="I135" i="6"/>
  <c r="J135" i="6"/>
  <c r="I136" i="6"/>
  <c r="J136" i="6"/>
  <c r="I137" i="6"/>
  <c r="J137" i="6"/>
  <c r="I138" i="6"/>
  <c r="J138" i="6"/>
  <c r="I139" i="6"/>
  <c r="J139" i="6"/>
  <c r="I140" i="6"/>
  <c r="J140" i="6"/>
  <c r="I141" i="6"/>
  <c r="J141" i="6"/>
  <c r="I142" i="6"/>
  <c r="J142" i="6"/>
  <c r="I143" i="6"/>
  <c r="J143" i="6"/>
  <c r="I144" i="6"/>
  <c r="J144" i="6"/>
  <c r="I145" i="6"/>
  <c r="J145" i="6"/>
  <c r="I146" i="6"/>
  <c r="J146" i="6"/>
  <c r="I147" i="6"/>
  <c r="J147" i="6"/>
  <c r="I148" i="6"/>
  <c r="J148" i="6"/>
  <c r="I149" i="6"/>
  <c r="J149" i="6"/>
  <c r="I150" i="6"/>
  <c r="J150" i="6"/>
  <c r="I151" i="6"/>
  <c r="J151" i="6"/>
  <c r="I152" i="6"/>
  <c r="J152" i="6"/>
  <c r="AH81" i="6"/>
  <c r="AI87" i="6"/>
  <c r="AH91" i="6"/>
  <c r="AI99" i="6"/>
  <c r="AI103" i="6"/>
  <c r="AH104" i="6"/>
  <c r="AI107" i="6"/>
  <c r="AH108" i="6"/>
  <c r="AH110" i="6"/>
  <c r="AI111" i="6"/>
  <c r="AH112" i="6"/>
  <c r="AE75" i="6"/>
  <c r="AE79" i="6"/>
  <c r="AE81" i="6"/>
  <c r="AE83" i="6"/>
  <c r="AE85" i="6"/>
  <c r="AF87" i="6"/>
  <c r="AE89" i="6"/>
  <c r="AE91" i="6"/>
  <c r="AE93" i="6"/>
  <c r="AE95" i="6"/>
  <c r="AF95" i="6"/>
  <c r="AE96" i="6"/>
  <c r="AE97" i="6"/>
  <c r="AE99" i="6"/>
  <c r="AE100" i="6"/>
  <c r="AE101" i="6"/>
  <c r="AF103" i="6"/>
  <c r="AE104" i="6"/>
  <c r="AE107" i="6"/>
  <c r="AF107" i="6"/>
  <c r="AE108" i="6"/>
  <c r="AE109" i="6"/>
  <c r="AE110" i="6"/>
  <c r="AE111" i="6"/>
  <c r="AE112" i="6"/>
  <c r="AE113" i="6"/>
  <c r="AE114" i="6"/>
  <c r="AE115" i="6"/>
  <c r="AA72" i="6"/>
  <c r="AF72" i="6" s="1"/>
  <c r="AA73" i="6"/>
  <c r="AI73" i="6" s="1"/>
  <c r="AA74" i="6"/>
  <c r="AI74" i="6" s="1"/>
  <c r="AA75" i="6"/>
  <c r="AI75" i="6" s="1"/>
  <c r="AA76" i="6"/>
  <c r="AF76" i="6" s="1"/>
  <c r="AA77" i="6"/>
  <c r="AI77" i="6" s="1"/>
  <c r="AA78" i="6"/>
  <c r="AI78" i="6" s="1"/>
  <c r="AA79" i="6"/>
  <c r="AI79" i="6" s="1"/>
  <c r="AA80" i="6"/>
  <c r="AF80" i="6" s="1"/>
  <c r="AA81" i="6"/>
  <c r="AA82" i="6"/>
  <c r="AI82" i="6" s="1"/>
  <c r="AA83" i="6"/>
  <c r="AF83" i="6" s="1"/>
  <c r="AA84" i="6"/>
  <c r="AF84" i="6" s="1"/>
  <c r="AA85" i="6"/>
  <c r="AI85" i="6" s="1"/>
  <c r="AA86" i="6"/>
  <c r="AI86" i="6" s="1"/>
  <c r="AA87" i="6"/>
  <c r="AA88" i="6"/>
  <c r="AF88" i="6" s="1"/>
  <c r="AA89" i="6"/>
  <c r="AI89" i="6" s="1"/>
  <c r="AA90" i="6"/>
  <c r="AI90" i="6" s="1"/>
  <c r="AA91" i="6"/>
  <c r="AB91" i="6" s="1"/>
  <c r="AA92" i="6"/>
  <c r="AF92" i="6" s="1"/>
  <c r="AA93" i="6"/>
  <c r="AI93" i="6" s="1"/>
  <c r="AA94" i="6"/>
  <c r="AI94" i="6" s="1"/>
  <c r="AA95" i="6"/>
  <c r="AA96" i="6"/>
  <c r="AF96" i="6" s="1"/>
  <c r="AA97" i="6"/>
  <c r="AI97" i="6" s="1"/>
  <c r="AA98" i="6"/>
  <c r="AB98" i="6"/>
  <c r="AA99" i="6"/>
  <c r="AB99" i="6" s="1"/>
  <c r="AA100" i="6"/>
  <c r="AF100" i="6" s="1"/>
  <c r="AA101" i="6"/>
  <c r="AI101" i="6" s="1"/>
  <c r="AA102" i="6"/>
  <c r="AI102" i="6" s="1"/>
  <c r="AA103" i="6"/>
  <c r="AA104" i="6"/>
  <c r="AF104" i="6" s="1"/>
  <c r="AA105" i="6"/>
  <c r="AI105" i="6" s="1"/>
  <c r="AA106" i="6"/>
  <c r="AI106" i="6" s="1"/>
  <c r="AA107" i="6"/>
  <c r="AA108" i="6"/>
  <c r="AF108" i="6" s="1"/>
  <c r="AA109" i="6"/>
  <c r="AI109" i="6" s="1"/>
  <c r="AA110" i="6"/>
  <c r="AA111" i="6"/>
  <c r="AA112" i="6"/>
  <c r="AF112" i="6" s="1"/>
  <c r="AA113" i="6"/>
  <c r="AI113" i="6" s="1"/>
  <c r="AA114" i="6"/>
  <c r="AI114" i="6" s="1"/>
  <c r="AA115" i="6"/>
  <c r="AA116" i="6"/>
  <c r="AF116" i="6" s="1"/>
  <c r="L72" i="6"/>
  <c r="M72" i="6"/>
  <c r="N72" i="6"/>
  <c r="L73" i="6"/>
  <c r="M73" i="6"/>
  <c r="N73" i="6"/>
  <c r="L74" i="6"/>
  <c r="M74" i="6"/>
  <c r="N74" i="6"/>
  <c r="L75" i="6"/>
  <c r="M75" i="6"/>
  <c r="N75" i="6"/>
  <c r="L76" i="6"/>
  <c r="M76" i="6"/>
  <c r="N76" i="6"/>
  <c r="L77" i="6"/>
  <c r="M77" i="6"/>
  <c r="N77" i="6"/>
  <c r="L78" i="6"/>
  <c r="M78" i="6"/>
  <c r="N78" i="6"/>
  <c r="L79" i="6"/>
  <c r="M79" i="6"/>
  <c r="N79" i="6"/>
  <c r="L80" i="6"/>
  <c r="M80" i="6"/>
  <c r="N80" i="6"/>
  <c r="L81" i="6"/>
  <c r="M81" i="6"/>
  <c r="N81" i="6"/>
  <c r="L82" i="6"/>
  <c r="M82" i="6"/>
  <c r="N82" i="6"/>
  <c r="L83" i="6"/>
  <c r="M83" i="6"/>
  <c r="N83" i="6"/>
  <c r="L84" i="6"/>
  <c r="M84" i="6"/>
  <c r="N84" i="6"/>
  <c r="L85" i="6"/>
  <c r="M85" i="6"/>
  <c r="N85" i="6"/>
  <c r="L86" i="6"/>
  <c r="M86" i="6"/>
  <c r="N86" i="6"/>
  <c r="L87" i="6"/>
  <c r="M87" i="6"/>
  <c r="N87" i="6"/>
  <c r="L88" i="6"/>
  <c r="M88" i="6"/>
  <c r="N88" i="6"/>
  <c r="L89" i="6"/>
  <c r="M89" i="6"/>
  <c r="N89" i="6"/>
  <c r="L90" i="6"/>
  <c r="M90" i="6"/>
  <c r="N90" i="6"/>
  <c r="L91" i="6"/>
  <c r="M91" i="6"/>
  <c r="N91" i="6"/>
  <c r="L92" i="6"/>
  <c r="M92" i="6"/>
  <c r="N92" i="6"/>
  <c r="L93" i="6"/>
  <c r="M93" i="6"/>
  <c r="N93" i="6"/>
  <c r="L94" i="6"/>
  <c r="M94" i="6"/>
  <c r="N94" i="6"/>
  <c r="L95" i="6"/>
  <c r="M95" i="6"/>
  <c r="N95" i="6"/>
  <c r="L96" i="6"/>
  <c r="M96" i="6"/>
  <c r="N96" i="6"/>
  <c r="L97" i="6"/>
  <c r="M97" i="6"/>
  <c r="N97" i="6"/>
  <c r="L98" i="6"/>
  <c r="M98" i="6"/>
  <c r="N98" i="6"/>
  <c r="L99" i="6"/>
  <c r="M99" i="6"/>
  <c r="N99" i="6"/>
  <c r="L100" i="6"/>
  <c r="M100" i="6"/>
  <c r="N100" i="6"/>
  <c r="L101" i="6"/>
  <c r="M101" i="6"/>
  <c r="N101" i="6"/>
  <c r="L102" i="6"/>
  <c r="M102" i="6"/>
  <c r="N102" i="6"/>
  <c r="L103" i="6"/>
  <c r="M103" i="6"/>
  <c r="N103" i="6"/>
  <c r="L104" i="6"/>
  <c r="M104" i="6"/>
  <c r="N104" i="6"/>
  <c r="L105" i="6"/>
  <c r="M105" i="6"/>
  <c r="N105" i="6"/>
  <c r="L106" i="6"/>
  <c r="M106" i="6"/>
  <c r="N106" i="6"/>
  <c r="L107" i="6"/>
  <c r="M107" i="6"/>
  <c r="N107" i="6"/>
  <c r="L108" i="6"/>
  <c r="M108" i="6"/>
  <c r="N108" i="6"/>
  <c r="L109" i="6"/>
  <c r="M109" i="6"/>
  <c r="N109" i="6"/>
  <c r="L110" i="6"/>
  <c r="M110" i="6"/>
  <c r="N110" i="6"/>
  <c r="L111" i="6"/>
  <c r="M111" i="6"/>
  <c r="N111" i="6"/>
  <c r="L112" i="6"/>
  <c r="M112" i="6"/>
  <c r="N112" i="6"/>
  <c r="L113" i="6"/>
  <c r="M113" i="6"/>
  <c r="N113" i="6"/>
  <c r="L114" i="6"/>
  <c r="M114" i="6"/>
  <c r="N114" i="6"/>
  <c r="L115" i="6"/>
  <c r="M115" i="6"/>
  <c r="N115" i="6"/>
  <c r="L116" i="6"/>
  <c r="M116" i="6"/>
  <c r="N116" i="6"/>
  <c r="N71"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I105" i="6"/>
  <c r="J105" i="6"/>
  <c r="I106" i="6"/>
  <c r="J106" i="6"/>
  <c r="I107" i="6"/>
  <c r="J107" i="6"/>
  <c r="I108" i="6"/>
  <c r="J108" i="6"/>
  <c r="I109" i="6"/>
  <c r="J109" i="6"/>
  <c r="I110" i="6"/>
  <c r="J110" i="6"/>
  <c r="I111" i="6"/>
  <c r="J111" i="6"/>
  <c r="I112" i="6"/>
  <c r="J112" i="6"/>
  <c r="I113" i="6"/>
  <c r="J113" i="6"/>
  <c r="I114" i="6"/>
  <c r="J114" i="6"/>
  <c r="I115" i="6"/>
  <c r="J115" i="6"/>
  <c r="I116" i="6"/>
  <c r="J116" i="6"/>
  <c r="AA54" i="6"/>
  <c r="AF54" i="6" s="1"/>
  <c r="AA55" i="6"/>
  <c r="AI55" i="6" s="1"/>
  <c r="AA56" i="6"/>
  <c r="AI56" i="6" s="1"/>
  <c r="AA57" i="6"/>
  <c r="AA142" i="6" s="1"/>
  <c r="AA58" i="6"/>
  <c r="AA59" i="6"/>
  <c r="AA144" i="6" s="1"/>
  <c r="AA60" i="6"/>
  <c r="AB60" i="6"/>
  <c r="AA61" i="6"/>
  <c r="AA146" i="6" s="1"/>
  <c r="AA62" i="6"/>
  <c r="AB62" i="6" s="1"/>
  <c r="AA63" i="6"/>
  <c r="AB63" i="6" s="1"/>
  <c r="AA64" i="6"/>
  <c r="AA65" i="6"/>
  <c r="AA150" i="6" s="1"/>
  <c r="AA66" i="6"/>
  <c r="AB66" i="6" s="1"/>
  <c r="AA67" i="6"/>
  <c r="AF67" i="6" s="1"/>
  <c r="AA68" i="6"/>
  <c r="AF68" i="6" s="1"/>
  <c r="AA69" i="6"/>
  <c r="AB53" i="6"/>
  <c r="AA34" i="6"/>
  <c r="AA119" i="6" s="1"/>
  <c r="AA35" i="6"/>
  <c r="AA36" i="6"/>
  <c r="AA121" i="6" s="1"/>
  <c r="AA37" i="6"/>
  <c r="AA122" i="6" s="1"/>
  <c r="AA38" i="6"/>
  <c r="AA123" i="6" s="1"/>
  <c r="AA39" i="6"/>
  <c r="AA124" i="6" s="1"/>
  <c r="AA40" i="6"/>
  <c r="AI40" i="6" s="1"/>
  <c r="AA41" i="6"/>
  <c r="AI41" i="6" s="1"/>
  <c r="AA42" i="6"/>
  <c r="AA127" i="6" s="1"/>
  <c r="AA43" i="6"/>
  <c r="AA44" i="6"/>
  <c r="AA45" i="6"/>
  <c r="AA46" i="6"/>
  <c r="AA131" i="6" s="1"/>
  <c r="AA47" i="6"/>
  <c r="AF47" i="6" s="1"/>
  <c r="AA48" i="6"/>
  <c r="AI48" i="6" s="1"/>
  <c r="AA49" i="6"/>
  <c r="AA134" i="6" s="1"/>
  <c r="AA50" i="6"/>
  <c r="AA51" i="6"/>
  <c r="AA52" i="6"/>
  <c r="AH34" i="6"/>
  <c r="AH37" i="6"/>
  <c r="AH41" i="6"/>
  <c r="AH42" i="6"/>
  <c r="AH43" i="6"/>
  <c r="AH46" i="6"/>
  <c r="AI47" i="6"/>
  <c r="AH50" i="6"/>
  <c r="AH53" i="6"/>
  <c r="AI53" i="6"/>
  <c r="AI54" i="6"/>
  <c r="AH57" i="6"/>
  <c r="AI57" i="6"/>
  <c r="AI59" i="6"/>
  <c r="AI60" i="6"/>
  <c r="AH62" i="6"/>
  <c r="AI62" i="6"/>
  <c r="AI65" i="6"/>
  <c r="AH66" i="6"/>
  <c r="AI66" i="6"/>
  <c r="AI67" i="6"/>
  <c r="AI68" i="6"/>
  <c r="AI69" i="6"/>
  <c r="AE34" i="6"/>
  <c r="AF35" i="6"/>
  <c r="AE38" i="6"/>
  <c r="AF38" i="6"/>
  <c r="AF39" i="6"/>
  <c r="AE41" i="6"/>
  <c r="AF41" i="6"/>
  <c r="AE42" i="6"/>
  <c r="AE43" i="6"/>
  <c r="AE45" i="6"/>
  <c r="AE46" i="6"/>
  <c r="AE49" i="6"/>
  <c r="AE50" i="6"/>
  <c r="AE53" i="6"/>
  <c r="AF53" i="6"/>
  <c r="AE54" i="6"/>
  <c r="AF55" i="6"/>
  <c r="AE57" i="6"/>
  <c r="AE58" i="6"/>
  <c r="AE59" i="6"/>
  <c r="AF59" i="6"/>
  <c r="AF60" i="6"/>
  <c r="AE61" i="6"/>
  <c r="AF61" i="6"/>
  <c r="AE62" i="6"/>
  <c r="AF63" i="6"/>
  <c r="AE65" i="6"/>
  <c r="AF65" i="6"/>
  <c r="AE66" i="6"/>
  <c r="AF66" i="6"/>
  <c r="AE69" i="6"/>
  <c r="AF69" i="6"/>
  <c r="L34" i="6"/>
  <c r="M34" i="6"/>
  <c r="N34" i="6"/>
  <c r="L35" i="6"/>
  <c r="M35" i="6"/>
  <c r="N35" i="6"/>
  <c r="L36" i="6"/>
  <c r="M36" i="6"/>
  <c r="N36" i="6"/>
  <c r="L37" i="6"/>
  <c r="M37" i="6"/>
  <c r="N37" i="6"/>
  <c r="L38" i="6"/>
  <c r="M38" i="6"/>
  <c r="N38" i="6"/>
  <c r="L39" i="6"/>
  <c r="M39" i="6"/>
  <c r="N39" i="6"/>
  <c r="L40" i="6"/>
  <c r="M40" i="6"/>
  <c r="N40" i="6"/>
  <c r="L41" i="6"/>
  <c r="M41" i="6"/>
  <c r="N41" i="6"/>
  <c r="L42" i="6"/>
  <c r="M42" i="6"/>
  <c r="N42" i="6"/>
  <c r="L43" i="6"/>
  <c r="M43" i="6"/>
  <c r="N43" i="6"/>
  <c r="L44" i="6"/>
  <c r="M44" i="6"/>
  <c r="N44" i="6"/>
  <c r="L45" i="6"/>
  <c r="M45" i="6"/>
  <c r="N45" i="6"/>
  <c r="L46" i="6"/>
  <c r="M46" i="6"/>
  <c r="N46" i="6"/>
  <c r="L47" i="6"/>
  <c r="M47" i="6"/>
  <c r="N47" i="6"/>
  <c r="L48" i="6"/>
  <c r="M48" i="6"/>
  <c r="N48" i="6"/>
  <c r="L49" i="6"/>
  <c r="M49" i="6"/>
  <c r="N49" i="6"/>
  <c r="L50" i="6"/>
  <c r="M50" i="6"/>
  <c r="N50" i="6"/>
  <c r="L51" i="6"/>
  <c r="M51" i="6"/>
  <c r="N51" i="6"/>
  <c r="L52" i="6"/>
  <c r="M52" i="6"/>
  <c r="N52" i="6"/>
  <c r="L53" i="6"/>
  <c r="M53" i="6"/>
  <c r="N53" i="6"/>
  <c r="L54" i="6"/>
  <c r="M54" i="6"/>
  <c r="N54" i="6"/>
  <c r="L55" i="6"/>
  <c r="M55" i="6"/>
  <c r="N55" i="6"/>
  <c r="L56" i="6"/>
  <c r="M56" i="6"/>
  <c r="N56" i="6"/>
  <c r="L57" i="6"/>
  <c r="M57" i="6"/>
  <c r="N57" i="6"/>
  <c r="L58" i="6"/>
  <c r="M58" i="6"/>
  <c r="N58" i="6"/>
  <c r="L59" i="6"/>
  <c r="M59" i="6"/>
  <c r="N59" i="6"/>
  <c r="L60" i="6"/>
  <c r="M60" i="6"/>
  <c r="N60" i="6"/>
  <c r="L61" i="6"/>
  <c r="M61" i="6"/>
  <c r="N61" i="6"/>
  <c r="L62" i="6"/>
  <c r="M62" i="6"/>
  <c r="N62" i="6"/>
  <c r="L63" i="6"/>
  <c r="M63" i="6"/>
  <c r="N63" i="6"/>
  <c r="L64" i="6"/>
  <c r="M64" i="6"/>
  <c r="N64" i="6"/>
  <c r="L65" i="6"/>
  <c r="M65" i="6"/>
  <c r="N65" i="6"/>
  <c r="L66" i="6"/>
  <c r="M66" i="6"/>
  <c r="N66" i="6"/>
  <c r="L67" i="6"/>
  <c r="M67" i="6"/>
  <c r="N67" i="6"/>
  <c r="L68" i="6"/>
  <c r="M68" i="6"/>
  <c r="N68" i="6"/>
  <c r="L69" i="6"/>
  <c r="M69" i="6"/>
  <c r="N69" i="6"/>
  <c r="N33" i="6"/>
  <c r="I33" i="6"/>
  <c r="J33" i="6"/>
  <c r="I34" i="6"/>
  <c r="J34" i="6"/>
  <c r="I35" i="6"/>
  <c r="J35" i="6"/>
  <c r="I36" i="6"/>
  <c r="J36" i="6"/>
  <c r="I37" i="6"/>
  <c r="J37" i="6"/>
  <c r="I38" i="6"/>
  <c r="J38" i="6"/>
  <c r="I39" i="6"/>
  <c r="J39" i="6"/>
  <c r="I40" i="6"/>
  <c r="J40" i="6"/>
  <c r="I41" i="6"/>
  <c r="J41" i="6"/>
  <c r="I42" i="6"/>
  <c r="J42" i="6"/>
  <c r="I43" i="6"/>
  <c r="J43" i="6"/>
  <c r="I44" i="6"/>
  <c r="J44" i="6"/>
  <c r="I45" i="6"/>
  <c r="J45" i="6"/>
  <c r="I46" i="6"/>
  <c r="J46" i="6"/>
  <c r="I47" i="6"/>
  <c r="J47" i="6"/>
  <c r="I48" i="6"/>
  <c r="J48" i="6"/>
  <c r="I49" i="6"/>
  <c r="J49" i="6"/>
  <c r="I50" i="6"/>
  <c r="J50" i="6"/>
  <c r="I51" i="6"/>
  <c r="J51" i="6"/>
  <c r="I52" i="6"/>
  <c r="J52"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AG32" i="6"/>
  <c r="AD32" i="6"/>
  <c r="O32" i="6"/>
  <c r="P32" i="6"/>
  <c r="Q32" i="6"/>
  <c r="R32" i="6"/>
  <c r="S32" i="6"/>
  <c r="T32" i="6"/>
  <c r="U32" i="6"/>
  <c r="V32" i="6"/>
  <c r="W32" i="6"/>
  <c r="X32" i="6"/>
  <c r="Y32" i="6"/>
  <c r="Z32" i="6"/>
  <c r="AG31" i="6"/>
  <c r="AD31" i="6"/>
  <c r="O31" i="6"/>
  <c r="P31" i="6"/>
  <c r="Q31" i="6"/>
  <c r="R31" i="6"/>
  <c r="S31" i="6"/>
  <c r="T31" i="6"/>
  <c r="U31" i="6"/>
  <c r="V31" i="6"/>
  <c r="W31" i="6"/>
  <c r="X31" i="6"/>
  <c r="Y31" i="6"/>
  <c r="Z31" i="6"/>
  <c r="AA31" i="6"/>
  <c r="N26" i="6"/>
  <c r="N27" i="6"/>
  <c r="N28" i="6"/>
  <c r="N29" i="6"/>
  <c r="B23" i="6"/>
  <c r="AG16" i="6"/>
  <c r="AG19" i="6"/>
  <c r="AH35" i="6" s="1"/>
  <c r="AG20" i="6"/>
  <c r="AH94" i="6" s="1"/>
  <c r="AD19" i="6"/>
  <c r="AE35" i="6" s="1"/>
  <c r="AD20" i="6"/>
  <c r="AE72" i="6" s="1"/>
  <c r="G19" i="6"/>
  <c r="G20" i="6"/>
  <c r="N19" i="6"/>
  <c r="O19" i="6"/>
  <c r="P19" i="6"/>
  <c r="Q19" i="6"/>
  <c r="R19" i="6"/>
  <c r="S19" i="6"/>
  <c r="T19" i="6"/>
  <c r="U19" i="6"/>
  <c r="V19" i="6"/>
  <c r="W19" i="6"/>
  <c r="X19" i="6"/>
  <c r="Y19" i="6"/>
  <c r="Z19" i="6"/>
  <c r="N20" i="6"/>
  <c r="O20" i="6"/>
  <c r="AA20" i="6" s="1"/>
  <c r="AB73" i="6" s="1"/>
  <c r="P20" i="6"/>
  <c r="Q20" i="6"/>
  <c r="R20" i="6"/>
  <c r="S20" i="6"/>
  <c r="T20" i="6"/>
  <c r="U20" i="6"/>
  <c r="V20" i="6"/>
  <c r="W20" i="6"/>
  <c r="X20" i="6"/>
  <c r="Y20" i="6"/>
  <c r="Z20" i="6"/>
  <c r="B17" i="6"/>
  <c r="B18" i="6"/>
  <c r="B19" i="6"/>
  <c r="O16" i="6"/>
  <c r="P16" i="6"/>
  <c r="Q16" i="6"/>
  <c r="R16" i="6"/>
  <c r="S16" i="6"/>
  <c r="T16" i="6"/>
  <c r="U16" i="6"/>
  <c r="V16" i="6"/>
  <c r="W16" i="6"/>
  <c r="X16" i="6"/>
  <c r="Y16" i="6"/>
  <c r="O17" i="6"/>
  <c r="P17" i="6"/>
  <c r="Q17" i="6"/>
  <c r="R17" i="6"/>
  <c r="S17" i="6"/>
  <c r="T17" i="6"/>
  <c r="U17" i="6"/>
  <c r="V17" i="6"/>
  <c r="W17" i="6"/>
  <c r="X17" i="6"/>
  <c r="Y17" i="6"/>
  <c r="Z17" i="6"/>
  <c r="AA17" i="6" s="1"/>
  <c r="AA18" i="6" s="1"/>
  <c r="A14" i="6"/>
  <c r="AG12" i="6"/>
  <c r="AG13" i="6"/>
  <c r="AD12" i="6"/>
  <c r="AD13" i="6"/>
  <c r="B12" i="6"/>
  <c r="B13" i="6"/>
  <c r="O12" i="6"/>
  <c r="P12" i="6"/>
  <c r="Q12" i="6"/>
  <c r="R12" i="6"/>
  <c r="S12" i="6"/>
  <c r="T12" i="6"/>
  <c r="U12" i="6"/>
  <c r="V12" i="6"/>
  <c r="W12" i="6"/>
  <c r="X12" i="6"/>
  <c r="Y12" i="6"/>
  <c r="Z12" i="6"/>
  <c r="AA12" i="6"/>
  <c r="O13" i="6"/>
  <c r="P13" i="6"/>
  <c r="Q13" i="6"/>
  <c r="R13" i="6"/>
  <c r="S13" i="6"/>
  <c r="T13" i="6"/>
  <c r="U13" i="6"/>
  <c r="V13" i="6"/>
  <c r="W13" i="6"/>
  <c r="X13" i="6"/>
  <c r="Y13" i="6"/>
  <c r="Z13" i="6"/>
  <c r="AA13" i="6"/>
  <c r="O11" i="6"/>
  <c r="P11" i="6"/>
  <c r="Q11" i="6"/>
  <c r="R11" i="6"/>
  <c r="S11" i="6"/>
  <c r="T11" i="6"/>
  <c r="U11" i="6"/>
  <c r="V11" i="6"/>
  <c r="W11" i="6"/>
  <c r="X11" i="6"/>
  <c r="Y11" i="6"/>
  <c r="Z11" i="6"/>
  <c r="C10" i="6"/>
  <c r="D10" i="6"/>
  <c r="Z16" i="6" s="1"/>
  <c r="C9" i="6"/>
  <c r="C1" i="6"/>
  <c r="C2" i="6"/>
  <c r="C3" i="6"/>
  <c r="C4" i="6"/>
  <c r="C5" i="6"/>
  <c r="C6" i="6"/>
  <c r="C7" i="6"/>
  <c r="C8" i="6"/>
  <c r="E6" i="6"/>
  <c r="E4" i="6"/>
  <c r="F4" i="6"/>
  <c r="B3" i="6"/>
  <c r="AG102" i="4"/>
  <c r="AG103" i="4"/>
  <c r="AD102" i="4"/>
  <c r="AD103" i="4"/>
  <c r="O102" i="4"/>
  <c r="P102" i="4"/>
  <c r="Q102" i="4"/>
  <c r="R102" i="4"/>
  <c r="S102" i="4"/>
  <c r="T102" i="4"/>
  <c r="U102" i="4"/>
  <c r="V102" i="4"/>
  <c r="W102" i="4"/>
  <c r="X102" i="4"/>
  <c r="Y102" i="4"/>
  <c r="Z102" i="4"/>
  <c r="O103" i="4"/>
  <c r="P103" i="4"/>
  <c r="Q103" i="4"/>
  <c r="R103" i="4"/>
  <c r="S103" i="4"/>
  <c r="T103" i="4"/>
  <c r="U103" i="4"/>
  <c r="V103" i="4"/>
  <c r="W103" i="4"/>
  <c r="X103" i="4"/>
  <c r="Y103" i="4"/>
  <c r="Z103" i="4"/>
  <c r="N99" i="4"/>
  <c r="N102" i="4" s="1"/>
  <c r="N100" i="4"/>
  <c r="N103" i="4" s="1"/>
  <c r="I99" i="4"/>
  <c r="AA99" i="4" s="1"/>
  <c r="J99" i="4"/>
  <c r="I100" i="4"/>
  <c r="AA100" i="4" s="1"/>
  <c r="AI100" i="4" s="1"/>
  <c r="J100" i="4"/>
  <c r="N72" i="4"/>
  <c r="N73" i="4"/>
  <c r="N74" i="4"/>
  <c r="N75" i="4"/>
  <c r="N76" i="4"/>
  <c r="N77" i="4"/>
  <c r="N78" i="4"/>
  <c r="N79" i="4"/>
  <c r="N80" i="4"/>
  <c r="N81" i="4"/>
  <c r="N82" i="4"/>
  <c r="N83" i="4"/>
  <c r="N84" i="4"/>
  <c r="N85" i="4"/>
  <c r="N86" i="4"/>
  <c r="N87" i="4"/>
  <c r="N88" i="4"/>
  <c r="N89" i="4"/>
  <c r="N90" i="4"/>
  <c r="N91" i="4"/>
  <c r="N92" i="4"/>
  <c r="N93" i="4"/>
  <c r="N94" i="4"/>
  <c r="N95" i="4"/>
  <c r="N96" i="4"/>
  <c r="N97" i="4"/>
  <c r="I97" i="4"/>
  <c r="AA97" i="4" s="1"/>
  <c r="AF97" i="4" s="1"/>
  <c r="J97" i="4"/>
  <c r="B84" i="4"/>
  <c r="B78" i="4"/>
  <c r="B79" i="4"/>
  <c r="B80" i="4"/>
  <c r="A75" i="4"/>
  <c r="AM75" i="4"/>
  <c r="AM83" i="4"/>
  <c r="AI88" i="4"/>
  <c r="AH93" i="4"/>
  <c r="AE81" i="4"/>
  <c r="AE82" i="4"/>
  <c r="AE85" i="4"/>
  <c r="AE93" i="4"/>
  <c r="AA80" i="4"/>
  <c r="AA86" i="4"/>
  <c r="AA88" i="4"/>
  <c r="AF88" i="4" s="1"/>
  <c r="AA90" i="4"/>
  <c r="AI90" i="4" s="1"/>
  <c r="AA96" i="4"/>
  <c r="AF96" i="4" s="1"/>
  <c r="I73" i="4"/>
  <c r="K73" i="4" s="1"/>
  <c r="J73" i="4"/>
  <c r="L73" i="4"/>
  <c r="M73" i="4"/>
  <c r="I74" i="4"/>
  <c r="J74" i="4"/>
  <c r="L74" i="4"/>
  <c r="M74" i="4"/>
  <c r="I75" i="4"/>
  <c r="AA75" i="4" s="1"/>
  <c r="J75" i="4"/>
  <c r="K75" i="4"/>
  <c r="L75" i="4"/>
  <c r="M75" i="4"/>
  <c r="I76" i="4"/>
  <c r="AA76" i="4" s="1"/>
  <c r="J76" i="4"/>
  <c r="L76" i="4"/>
  <c r="M76" i="4"/>
  <c r="I77" i="4"/>
  <c r="AA77" i="4" s="1"/>
  <c r="J77" i="4"/>
  <c r="L77" i="4"/>
  <c r="M77" i="4"/>
  <c r="I78" i="4"/>
  <c r="K78" i="4" s="1"/>
  <c r="J78" i="4"/>
  <c r="L78" i="4"/>
  <c r="M78" i="4"/>
  <c r="I79" i="4"/>
  <c r="AA79" i="4" s="1"/>
  <c r="J79" i="4"/>
  <c r="K79" i="4"/>
  <c r="L79" i="4"/>
  <c r="M79" i="4"/>
  <c r="I80" i="4"/>
  <c r="J80" i="4"/>
  <c r="K80" i="4" s="1"/>
  <c r="L80" i="4"/>
  <c r="M80" i="4"/>
  <c r="I81" i="4"/>
  <c r="J81" i="4"/>
  <c r="L81" i="4"/>
  <c r="M81" i="4"/>
  <c r="I82" i="4"/>
  <c r="AA82" i="4" s="1"/>
  <c r="AI82" i="4" s="1"/>
  <c r="J82" i="4"/>
  <c r="L82" i="4"/>
  <c r="M82" i="4"/>
  <c r="I83" i="4"/>
  <c r="J83" i="4"/>
  <c r="L83" i="4"/>
  <c r="M83" i="4"/>
  <c r="I84" i="4"/>
  <c r="AA84" i="4" s="1"/>
  <c r="J84" i="4"/>
  <c r="L84" i="4"/>
  <c r="M84" i="4"/>
  <c r="I85" i="4"/>
  <c r="AA85" i="4" s="1"/>
  <c r="J85" i="4"/>
  <c r="L85" i="4"/>
  <c r="M85" i="4"/>
  <c r="I86" i="4"/>
  <c r="J86" i="4"/>
  <c r="L86" i="4"/>
  <c r="M86" i="4"/>
  <c r="I87" i="4"/>
  <c r="AA87" i="4" s="1"/>
  <c r="J87" i="4"/>
  <c r="K87" i="4" s="1"/>
  <c r="L87" i="4"/>
  <c r="M87" i="4"/>
  <c r="I88" i="4"/>
  <c r="J88" i="4"/>
  <c r="K88" i="4" s="1"/>
  <c r="L88" i="4"/>
  <c r="M88" i="4"/>
  <c r="I89" i="4"/>
  <c r="K89" i="4" s="1"/>
  <c r="J89" i="4"/>
  <c r="L89" i="4"/>
  <c r="M89" i="4"/>
  <c r="I90" i="4"/>
  <c r="J90" i="4"/>
  <c r="K90" i="4"/>
  <c r="L90" i="4"/>
  <c r="M90" i="4"/>
  <c r="I91" i="4"/>
  <c r="AA91" i="4" s="1"/>
  <c r="J91" i="4"/>
  <c r="L91" i="4"/>
  <c r="M91" i="4"/>
  <c r="I92" i="4"/>
  <c r="AA92" i="4" s="1"/>
  <c r="J92" i="4"/>
  <c r="L92" i="4"/>
  <c r="M92" i="4"/>
  <c r="I93" i="4"/>
  <c r="AA93" i="4" s="1"/>
  <c r="J93" i="4"/>
  <c r="L93" i="4"/>
  <c r="M93" i="4"/>
  <c r="I94" i="4"/>
  <c r="J94" i="4"/>
  <c r="L94" i="4"/>
  <c r="M94" i="4"/>
  <c r="I95" i="4"/>
  <c r="J95" i="4"/>
  <c r="L95" i="4"/>
  <c r="M95" i="4"/>
  <c r="I96" i="4"/>
  <c r="J96" i="4"/>
  <c r="K96" i="4" s="1"/>
  <c r="L96" i="4"/>
  <c r="M96" i="4"/>
  <c r="I72" i="4"/>
  <c r="J72" i="4"/>
  <c r="AK63" i="4"/>
  <c r="AM65" i="4"/>
  <c r="AE59" i="4"/>
  <c r="AE61" i="4"/>
  <c r="AA62" i="4"/>
  <c r="AF62" i="4" s="1"/>
  <c r="AH56" i="4"/>
  <c r="AE56" i="4"/>
  <c r="I55" i="4"/>
  <c r="J55" i="4"/>
  <c r="L55" i="4"/>
  <c r="M55" i="4"/>
  <c r="N55" i="4"/>
  <c r="I56" i="4"/>
  <c r="AA56" i="4" s="1"/>
  <c r="J56" i="4"/>
  <c r="K56" i="4"/>
  <c r="L56" i="4"/>
  <c r="M56" i="4"/>
  <c r="N56" i="4"/>
  <c r="I57" i="4"/>
  <c r="K57" i="4" s="1"/>
  <c r="J57" i="4"/>
  <c r="L57" i="4"/>
  <c r="M57" i="4"/>
  <c r="N57" i="4"/>
  <c r="I58" i="4"/>
  <c r="J58" i="4"/>
  <c r="L58" i="4"/>
  <c r="M58" i="4"/>
  <c r="N58" i="4"/>
  <c r="I59" i="4"/>
  <c r="K59" i="4" s="1"/>
  <c r="J59" i="4"/>
  <c r="L59" i="4"/>
  <c r="M59" i="4"/>
  <c r="N59" i="4"/>
  <c r="I60" i="4"/>
  <c r="AA60" i="4" s="1"/>
  <c r="J60" i="4"/>
  <c r="L60" i="4"/>
  <c r="M60" i="4"/>
  <c r="N60" i="4"/>
  <c r="I61" i="4"/>
  <c r="K61" i="4" s="1"/>
  <c r="J61" i="4"/>
  <c r="L61" i="4"/>
  <c r="M61" i="4"/>
  <c r="N61" i="4"/>
  <c r="I62" i="4"/>
  <c r="J62" i="4"/>
  <c r="K62" i="4"/>
  <c r="L62" i="4"/>
  <c r="M62" i="4"/>
  <c r="N62" i="4"/>
  <c r="I63" i="4"/>
  <c r="K63" i="4" s="1"/>
  <c r="J63" i="4"/>
  <c r="L63" i="4"/>
  <c r="M63" i="4"/>
  <c r="N63" i="4"/>
  <c r="I64" i="4"/>
  <c r="AA64" i="4" s="1"/>
  <c r="J64" i="4"/>
  <c r="K64" i="4"/>
  <c r="L64" i="4"/>
  <c r="M64" i="4"/>
  <c r="N64" i="4"/>
  <c r="I65" i="4"/>
  <c r="K65" i="4" s="1"/>
  <c r="J65" i="4"/>
  <c r="L65" i="4"/>
  <c r="M65" i="4"/>
  <c r="N65" i="4"/>
  <c r="I66" i="4"/>
  <c r="J66" i="4"/>
  <c r="L66" i="4"/>
  <c r="M66" i="4"/>
  <c r="N66" i="4"/>
  <c r="I67" i="4"/>
  <c r="K67" i="4" s="1"/>
  <c r="J67" i="4"/>
  <c r="L67" i="4"/>
  <c r="M67" i="4"/>
  <c r="N67" i="4"/>
  <c r="I68" i="4"/>
  <c r="AA68" i="4" s="1"/>
  <c r="J68" i="4"/>
  <c r="L68" i="4"/>
  <c r="M68" i="4"/>
  <c r="N68" i="4"/>
  <c r="I69" i="4"/>
  <c r="K69" i="4" s="1"/>
  <c r="J69" i="4"/>
  <c r="L69" i="4"/>
  <c r="M69" i="4"/>
  <c r="N69" i="4"/>
  <c r="I70" i="4"/>
  <c r="AA70" i="4" s="1"/>
  <c r="AF70" i="4" s="1"/>
  <c r="J70" i="4"/>
  <c r="K70" i="4"/>
  <c r="L70" i="4"/>
  <c r="M70" i="4"/>
  <c r="N70" i="4"/>
  <c r="N53" i="4"/>
  <c r="N54" i="4"/>
  <c r="I53" i="4"/>
  <c r="J53" i="4"/>
  <c r="I54" i="4"/>
  <c r="J54" i="4"/>
  <c r="B52" i="4"/>
  <c r="B53" i="4"/>
  <c r="B47" i="4"/>
  <c r="B48" i="4"/>
  <c r="B49" i="4"/>
  <c r="A44" i="4"/>
  <c r="AM40" i="4"/>
  <c r="AH41" i="4"/>
  <c r="AM41" i="4"/>
  <c r="AH48" i="4"/>
  <c r="AM48" i="4"/>
  <c r="AM49" i="4"/>
  <c r="AE41" i="4"/>
  <c r="AE43" i="4"/>
  <c r="AE48" i="4"/>
  <c r="AA42" i="4"/>
  <c r="AI42" i="4" s="1"/>
  <c r="I35" i="4"/>
  <c r="AA35" i="4" s="1"/>
  <c r="AF35" i="4" s="1"/>
  <c r="J35" i="4"/>
  <c r="K35" i="4"/>
  <c r="L35" i="4"/>
  <c r="M35" i="4"/>
  <c r="N35" i="4"/>
  <c r="I36" i="4"/>
  <c r="AA36" i="4" s="1"/>
  <c r="J36" i="4"/>
  <c r="L36" i="4"/>
  <c r="M36" i="4"/>
  <c r="N36" i="4"/>
  <c r="I37" i="4"/>
  <c r="AA37" i="4" s="1"/>
  <c r="J37" i="4"/>
  <c r="L37" i="4"/>
  <c r="M37" i="4"/>
  <c r="N37" i="4"/>
  <c r="I38" i="4"/>
  <c r="AA38" i="4" s="1"/>
  <c r="AI38" i="4" s="1"/>
  <c r="J38" i="4"/>
  <c r="K38" i="4"/>
  <c r="L38" i="4"/>
  <c r="M38" i="4"/>
  <c r="N38" i="4"/>
  <c r="I39" i="4"/>
  <c r="J39" i="4"/>
  <c r="L39" i="4"/>
  <c r="M39" i="4"/>
  <c r="N39" i="4"/>
  <c r="I40" i="4"/>
  <c r="AA40" i="4" s="1"/>
  <c r="J40" i="4"/>
  <c r="L40" i="4"/>
  <c r="M40" i="4"/>
  <c r="N40" i="4"/>
  <c r="I41" i="4"/>
  <c r="AA41" i="4" s="1"/>
  <c r="J41" i="4"/>
  <c r="L41" i="4"/>
  <c r="M41" i="4"/>
  <c r="N41" i="4"/>
  <c r="I42" i="4"/>
  <c r="K42" i="4" s="1"/>
  <c r="J42" i="4"/>
  <c r="L42" i="4"/>
  <c r="M42" i="4"/>
  <c r="N42" i="4"/>
  <c r="I43" i="4"/>
  <c r="AA43" i="4" s="1"/>
  <c r="AF43" i="4" s="1"/>
  <c r="J43" i="4"/>
  <c r="K43" i="4"/>
  <c r="L43" i="4"/>
  <c r="M43" i="4"/>
  <c r="N43" i="4"/>
  <c r="I44" i="4"/>
  <c r="AA44" i="4" s="1"/>
  <c r="J44" i="4"/>
  <c r="L44" i="4"/>
  <c r="M44" i="4"/>
  <c r="N44" i="4"/>
  <c r="I45" i="4"/>
  <c r="AA45" i="4" s="1"/>
  <c r="J45" i="4"/>
  <c r="L45" i="4"/>
  <c r="M45" i="4"/>
  <c r="N45" i="4"/>
  <c r="I46" i="4"/>
  <c r="AA46" i="4" s="1"/>
  <c r="AI46" i="4" s="1"/>
  <c r="J46" i="4"/>
  <c r="K46" i="4"/>
  <c r="L46" i="4"/>
  <c r="M46" i="4"/>
  <c r="N46" i="4"/>
  <c r="I47" i="4"/>
  <c r="J47" i="4"/>
  <c r="L47" i="4"/>
  <c r="M47" i="4"/>
  <c r="N47" i="4"/>
  <c r="I48" i="4"/>
  <c r="AA48" i="4" s="1"/>
  <c r="J48" i="4"/>
  <c r="L48" i="4"/>
  <c r="M48" i="4"/>
  <c r="N48" i="4"/>
  <c r="I49" i="4"/>
  <c r="AA49" i="4" s="1"/>
  <c r="J49" i="4"/>
  <c r="L49" i="4"/>
  <c r="M49" i="4"/>
  <c r="N49" i="4"/>
  <c r="I50" i="4"/>
  <c r="K50" i="4" s="1"/>
  <c r="J50" i="4"/>
  <c r="L50" i="4"/>
  <c r="M50" i="4"/>
  <c r="N50" i="4"/>
  <c r="I51" i="4"/>
  <c r="AA51" i="4" s="1"/>
  <c r="AF51" i="4" s="1"/>
  <c r="J51" i="4"/>
  <c r="K51" i="4"/>
  <c r="L51" i="4"/>
  <c r="M51" i="4"/>
  <c r="N51" i="4"/>
  <c r="N33" i="4"/>
  <c r="N34" i="4"/>
  <c r="I33" i="4"/>
  <c r="J33" i="4"/>
  <c r="I34" i="4"/>
  <c r="J34" i="4"/>
  <c r="AM31" i="4"/>
  <c r="AG32" i="4"/>
  <c r="AM32" i="4" s="1"/>
  <c r="AD32" i="4"/>
  <c r="O32" i="4"/>
  <c r="P32" i="4"/>
  <c r="Q32" i="4"/>
  <c r="R32" i="4"/>
  <c r="S32" i="4"/>
  <c r="T32" i="4"/>
  <c r="U32" i="4"/>
  <c r="V32" i="4"/>
  <c r="W32" i="4"/>
  <c r="X32" i="4"/>
  <c r="Y32" i="4"/>
  <c r="Z32" i="4"/>
  <c r="AJ31" i="4"/>
  <c r="AK31" i="4"/>
  <c r="AJ32" i="4"/>
  <c r="AK32" i="4"/>
  <c r="AG31" i="4"/>
  <c r="AD31" i="4"/>
  <c r="O31" i="4"/>
  <c r="P31" i="4"/>
  <c r="Q31" i="4"/>
  <c r="R31" i="4"/>
  <c r="S31" i="4"/>
  <c r="T31" i="4"/>
  <c r="U31" i="4"/>
  <c r="V31" i="4"/>
  <c r="W31" i="4"/>
  <c r="X31" i="4"/>
  <c r="Y31" i="4"/>
  <c r="Z31" i="4"/>
  <c r="AA31" i="4"/>
  <c r="N26" i="4"/>
  <c r="N27" i="4"/>
  <c r="N28" i="4"/>
  <c r="N29" i="4"/>
  <c r="B22" i="4"/>
  <c r="B23" i="4"/>
  <c r="AG16" i="4"/>
  <c r="AG19" i="4"/>
  <c r="AH95" i="4" s="1"/>
  <c r="AG20" i="4"/>
  <c r="AM73" i="4" s="1"/>
  <c r="AD19" i="4"/>
  <c r="AD20" i="4"/>
  <c r="AK79" i="4" s="1"/>
  <c r="N19" i="4"/>
  <c r="O19" i="4"/>
  <c r="P19" i="4"/>
  <c r="Q19" i="4"/>
  <c r="R19" i="4"/>
  <c r="S19" i="4"/>
  <c r="T19" i="4"/>
  <c r="U19" i="4"/>
  <c r="V19" i="4"/>
  <c r="W19" i="4"/>
  <c r="X19" i="4"/>
  <c r="Y19" i="4"/>
  <c r="Z19" i="4"/>
  <c r="N20" i="4"/>
  <c r="O20" i="4"/>
  <c r="P20" i="4"/>
  <c r="Q20" i="4"/>
  <c r="R20" i="4"/>
  <c r="S20" i="4"/>
  <c r="T20" i="4"/>
  <c r="U20" i="4"/>
  <c r="V20" i="4"/>
  <c r="W20" i="4"/>
  <c r="X20" i="4"/>
  <c r="Y20" i="4"/>
  <c r="Z20" i="4"/>
  <c r="G19" i="4"/>
  <c r="B17" i="4"/>
  <c r="B18" i="4"/>
  <c r="B19" i="4"/>
  <c r="O17" i="4"/>
  <c r="P17" i="4"/>
  <c r="Q17" i="4"/>
  <c r="R17" i="4"/>
  <c r="S17" i="4"/>
  <c r="T17" i="4"/>
  <c r="U17" i="4"/>
  <c r="V17" i="4"/>
  <c r="W17" i="4"/>
  <c r="X17" i="4"/>
  <c r="Y17" i="4"/>
  <c r="Z17" i="4"/>
  <c r="O16" i="4"/>
  <c r="P16" i="4"/>
  <c r="Q16" i="4"/>
  <c r="R16" i="4"/>
  <c r="S16" i="4"/>
  <c r="T16" i="4"/>
  <c r="U16" i="4"/>
  <c r="V16" i="4"/>
  <c r="W16" i="4"/>
  <c r="X16" i="4"/>
  <c r="Y16" i="4"/>
  <c r="A14" i="4"/>
  <c r="AG12" i="4"/>
  <c r="AG13" i="4"/>
  <c r="AD12" i="4"/>
  <c r="AD13" i="4"/>
  <c r="B12" i="4"/>
  <c r="B13" i="4"/>
  <c r="O12" i="4"/>
  <c r="P12" i="4"/>
  <c r="Q12" i="4"/>
  <c r="R12" i="4"/>
  <c r="S12" i="4"/>
  <c r="T12" i="4"/>
  <c r="U12" i="4"/>
  <c r="V12" i="4"/>
  <c r="W12" i="4"/>
  <c r="X12" i="4"/>
  <c r="Y12" i="4"/>
  <c r="Z12" i="4"/>
  <c r="AA12" i="4"/>
  <c r="O13" i="4"/>
  <c r="P13" i="4"/>
  <c r="Q13" i="4"/>
  <c r="R13" i="4"/>
  <c r="S13" i="4"/>
  <c r="T13" i="4"/>
  <c r="U13" i="4"/>
  <c r="V13" i="4"/>
  <c r="W13" i="4"/>
  <c r="X13" i="4"/>
  <c r="Y13" i="4"/>
  <c r="Z13" i="4"/>
  <c r="AA13" i="4"/>
  <c r="O11" i="4"/>
  <c r="P11" i="4"/>
  <c r="Q11" i="4"/>
  <c r="R11" i="4"/>
  <c r="S11" i="4"/>
  <c r="T11" i="4"/>
  <c r="U11" i="4"/>
  <c r="V11" i="4"/>
  <c r="W11" i="4"/>
  <c r="X11" i="4"/>
  <c r="Y11" i="4"/>
  <c r="Z11" i="4"/>
  <c r="C10" i="4"/>
  <c r="D10" i="4"/>
  <c r="C9" i="4"/>
  <c r="C1" i="4"/>
  <c r="C2" i="4"/>
  <c r="C3" i="4"/>
  <c r="C4" i="4"/>
  <c r="C5" i="4"/>
  <c r="C6" i="4"/>
  <c r="C7" i="4"/>
  <c r="C8" i="4"/>
  <c r="E6" i="4"/>
  <c r="E4" i="4"/>
  <c r="F4" i="4"/>
  <c r="B3" i="4"/>
  <c r="M97" i="37"/>
  <c r="M98" i="37"/>
  <c r="M99" i="37"/>
  <c r="M100" i="37"/>
  <c r="M101" i="37"/>
  <c r="M102" i="37"/>
  <c r="M103" i="37"/>
  <c r="M104" i="37"/>
  <c r="M105" i="37"/>
  <c r="AG99" i="37"/>
  <c r="AH102" i="37"/>
  <c r="AH103" i="37"/>
  <c r="AE98" i="37"/>
  <c r="AE102" i="37"/>
  <c r="Z97" i="37"/>
  <c r="Z98" i="37"/>
  <c r="AH98" i="37" s="1"/>
  <c r="Z99" i="37"/>
  <c r="Z100" i="37"/>
  <c r="AH100" i="37" s="1"/>
  <c r="AA100" i="37"/>
  <c r="Z101" i="37"/>
  <c r="AA101" i="37"/>
  <c r="Z102" i="37"/>
  <c r="Z103" i="37"/>
  <c r="AE103" i="37" s="1"/>
  <c r="Z104" i="37"/>
  <c r="AH104" i="37" s="1"/>
  <c r="AA104" i="37"/>
  <c r="Z105" i="37"/>
  <c r="AA105" i="37"/>
  <c r="I97" i="37"/>
  <c r="J97" i="37"/>
  <c r="I98" i="37"/>
  <c r="J98" i="37"/>
  <c r="I99" i="37"/>
  <c r="J99" i="37"/>
  <c r="I100" i="37"/>
  <c r="J100" i="37"/>
  <c r="I101" i="37"/>
  <c r="J101" i="37"/>
  <c r="I102" i="37"/>
  <c r="J102" i="37"/>
  <c r="I103" i="37"/>
  <c r="J103" i="37"/>
  <c r="I104" i="37"/>
  <c r="J104" i="37"/>
  <c r="I105" i="37"/>
  <c r="J105" i="37"/>
  <c r="AC94" i="37"/>
  <c r="AC95" i="37"/>
  <c r="AF94" i="37"/>
  <c r="AF95" i="37" s="1"/>
  <c r="AF71" i="37" s="1"/>
  <c r="N94" i="37"/>
  <c r="N95" i="37" s="1"/>
  <c r="O94" i="37"/>
  <c r="O95" i="37" s="1"/>
  <c r="O71" i="37" s="1"/>
  <c r="O72" i="37" s="1"/>
  <c r="P94" i="37"/>
  <c r="P95" i="37" s="1"/>
  <c r="P71" i="37" s="1"/>
  <c r="P72" i="37" s="1"/>
  <c r="Q94" i="37"/>
  <c r="Q95" i="37" s="1"/>
  <c r="Q71" i="37" s="1"/>
  <c r="Q72" i="37" s="1"/>
  <c r="R94" i="37"/>
  <c r="R95" i="37" s="1"/>
  <c r="R71" i="37" s="1"/>
  <c r="R72" i="37" s="1"/>
  <c r="S94" i="37"/>
  <c r="S95" i="37" s="1"/>
  <c r="S71" i="37" s="1"/>
  <c r="S72" i="37" s="1"/>
  <c r="T94" i="37"/>
  <c r="T95" i="37" s="1"/>
  <c r="T71" i="37" s="1"/>
  <c r="T72" i="37" s="1"/>
  <c r="U94" i="37"/>
  <c r="V94" i="37"/>
  <c r="V95" i="37" s="1"/>
  <c r="V71" i="37" s="1"/>
  <c r="V72" i="37" s="1"/>
  <c r="W94" i="37"/>
  <c r="W95" i="37" s="1"/>
  <c r="W71" i="37" s="1"/>
  <c r="W72" i="37" s="1"/>
  <c r="X94" i="37"/>
  <c r="X95" i="37" s="1"/>
  <c r="X71" i="37" s="1"/>
  <c r="X72" i="37" s="1"/>
  <c r="Y94" i="37"/>
  <c r="Y95" i="37" s="1"/>
  <c r="Y71" i="37" s="1"/>
  <c r="Y72" i="37" s="1"/>
  <c r="U95" i="37"/>
  <c r="U71" i="37" s="1"/>
  <c r="U72" i="37" s="1"/>
  <c r="M93" i="37"/>
  <c r="M94" i="37"/>
  <c r="Z93" i="37"/>
  <c r="I93" i="37"/>
  <c r="J93" i="37"/>
  <c r="I94" i="37"/>
  <c r="J94" i="37"/>
  <c r="M82" i="37"/>
  <c r="M83" i="37"/>
  <c r="M84" i="37"/>
  <c r="M86" i="37"/>
  <c r="M87" i="37"/>
  <c r="I87" i="37"/>
  <c r="J87" i="37"/>
  <c r="AH87" i="37"/>
  <c r="AD83" i="37"/>
  <c r="AE83" i="37"/>
  <c r="I83" i="37"/>
  <c r="J83" i="37"/>
  <c r="AG83" i="37"/>
  <c r="AH83" i="37"/>
  <c r="Z83" i="37"/>
  <c r="AA83" i="37"/>
  <c r="AI83" i="37" s="1"/>
  <c r="Z87" i="37"/>
  <c r="AE87" i="37" s="1"/>
  <c r="AC80" i="37"/>
  <c r="AF80" i="37"/>
  <c r="N80" i="37"/>
  <c r="O80" i="37"/>
  <c r="P80" i="37"/>
  <c r="Q80" i="37"/>
  <c r="R80" i="37"/>
  <c r="S80" i="37"/>
  <c r="T80" i="37"/>
  <c r="U80" i="37"/>
  <c r="V80" i="37"/>
  <c r="W80" i="37"/>
  <c r="X80" i="37"/>
  <c r="Y80" i="37"/>
  <c r="M74" i="37"/>
  <c r="M76" i="37"/>
  <c r="M80" i="37" s="1"/>
  <c r="M77" i="37"/>
  <c r="M78" i="37"/>
  <c r="M79" i="37"/>
  <c r="AH77" i="37"/>
  <c r="AG79" i="37"/>
  <c r="AE77" i="37"/>
  <c r="AE78" i="37"/>
  <c r="AD79" i="37"/>
  <c r="AE79" i="37"/>
  <c r="Z77" i="37"/>
  <c r="Z78" i="37"/>
  <c r="AH78" i="37" s="1"/>
  <c r="Z79" i="37"/>
  <c r="AH79" i="37" s="1"/>
  <c r="AA79" i="37"/>
  <c r="I76" i="37"/>
  <c r="J76" i="37"/>
  <c r="I77" i="37"/>
  <c r="J77" i="37"/>
  <c r="I78" i="37"/>
  <c r="J78" i="37"/>
  <c r="I79" i="37"/>
  <c r="J79" i="37"/>
  <c r="M72" i="37"/>
  <c r="AC71" i="37"/>
  <c r="M66" i="37"/>
  <c r="M91" i="37" s="1"/>
  <c r="M67" i="37"/>
  <c r="M68" i="37"/>
  <c r="M69" i="37"/>
  <c r="M70" i="37"/>
  <c r="AG67" i="37"/>
  <c r="AD67" i="37"/>
  <c r="AE68" i="37"/>
  <c r="AE69" i="37"/>
  <c r="Z67" i="37"/>
  <c r="Z68" i="37"/>
  <c r="AH68" i="37" s="1"/>
  <c r="Z69" i="37"/>
  <c r="AH69" i="37" s="1"/>
  <c r="Z70" i="37"/>
  <c r="I66" i="37"/>
  <c r="J66" i="37"/>
  <c r="I67" i="37"/>
  <c r="J67" i="37"/>
  <c r="I68" i="37"/>
  <c r="J68" i="37"/>
  <c r="I69" i="37"/>
  <c r="J69" i="37"/>
  <c r="I70" i="37"/>
  <c r="J70" i="37"/>
  <c r="M64" i="37"/>
  <c r="M53" i="37"/>
  <c r="M59" i="37" s="1"/>
  <c r="M54" i="37"/>
  <c r="M55" i="37"/>
  <c r="M56" i="37"/>
  <c r="M57" i="37"/>
  <c r="M58" i="37"/>
  <c r="M61" i="37"/>
  <c r="M63" i="37"/>
  <c r="I63" i="37"/>
  <c r="J63" i="37"/>
  <c r="AC59" i="37"/>
  <c r="AC60" i="37" s="1"/>
  <c r="AD60" i="37" s="1"/>
  <c r="AF59" i="37"/>
  <c r="AF60" i="37" s="1"/>
  <c r="AG60" i="37" s="1"/>
  <c r="N59" i="37"/>
  <c r="O59" i="37"/>
  <c r="O60" i="37" s="1"/>
  <c r="P59" i="37"/>
  <c r="P60" i="37" s="1"/>
  <c r="Q59" i="37"/>
  <c r="Q60" i="37" s="1"/>
  <c r="R59" i="37"/>
  <c r="R60" i="37" s="1"/>
  <c r="S59" i="37"/>
  <c r="S60" i="37" s="1"/>
  <c r="T59" i="37"/>
  <c r="T60" i="37" s="1"/>
  <c r="U59" i="37"/>
  <c r="U60" i="37" s="1"/>
  <c r="V59" i="37"/>
  <c r="V60" i="37" s="1"/>
  <c r="W59" i="37"/>
  <c r="X59" i="37"/>
  <c r="X60" i="37" s="1"/>
  <c r="Y59" i="37"/>
  <c r="N60" i="37"/>
  <c r="W60" i="37"/>
  <c r="Y60" i="37"/>
  <c r="O62" i="37"/>
  <c r="Q62" i="37"/>
  <c r="W62" i="37"/>
  <c r="AD55" i="37"/>
  <c r="AE58" i="37"/>
  <c r="Z54" i="37"/>
  <c r="AH54" i="37" s="1"/>
  <c r="Z55" i="37"/>
  <c r="AH55" i="37" s="1"/>
  <c r="Z56" i="37"/>
  <c r="AH56" i="37" s="1"/>
  <c r="Z57" i="37"/>
  <c r="AE57" i="37" s="1"/>
  <c r="Z58" i="37"/>
  <c r="AH58" i="37" s="1"/>
  <c r="Z63" i="37"/>
  <c r="I53" i="37"/>
  <c r="J53" i="37"/>
  <c r="I54" i="37"/>
  <c r="J54" i="37"/>
  <c r="I55" i="37"/>
  <c r="J55" i="37"/>
  <c r="I56" i="37"/>
  <c r="J56" i="37"/>
  <c r="I57" i="37"/>
  <c r="J57" i="37"/>
  <c r="I58" i="37"/>
  <c r="J58" i="37"/>
  <c r="B53" i="37"/>
  <c r="AC49" i="37"/>
  <c r="AF49" i="37"/>
  <c r="AF50" i="37" s="1"/>
  <c r="AG50" i="37" s="1"/>
  <c r="N49" i="37"/>
  <c r="N50" i="37" s="1"/>
  <c r="O49" i="37"/>
  <c r="O50" i="37" s="1"/>
  <c r="P49" i="37"/>
  <c r="P50" i="37" s="1"/>
  <c r="Q49" i="37"/>
  <c r="R49" i="37"/>
  <c r="S49" i="37"/>
  <c r="S50" i="37" s="1"/>
  <c r="T49" i="37"/>
  <c r="T50" i="37" s="1"/>
  <c r="U49" i="37"/>
  <c r="V49" i="37"/>
  <c r="V50" i="37" s="1"/>
  <c r="W49" i="37"/>
  <c r="X49" i="37"/>
  <c r="X50" i="37" s="1"/>
  <c r="Y49" i="37"/>
  <c r="U50" i="37"/>
  <c r="W50" i="37"/>
  <c r="M33" i="37"/>
  <c r="M34" i="37"/>
  <c r="M35" i="37"/>
  <c r="M36" i="37"/>
  <c r="M37" i="37"/>
  <c r="M38" i="37"/>
  <c r="M43" i="37" s="1"/>
  <c r="M39" i="37"/>
  <c r="M40" i="37"/>
  <c r="M41" i="37"/>
  <c r="M42" i="37"/>
  <c r="M45" i="37"/>
  <c r="M49" i="37" s="1"/>
  <c r="M46" i="37"/>
  <c r="M47" i="37"/>
  <c r="M48" i="37"/>
  <c r="B47" i="37"/>
  <c r="B48" i="37"/>
  <c r="B49" i="37"/>
  <c r="AG46" i="37"/>
  <c r="AG47" i="37"/>
  <c r="AG48" i="37"/>
  <c r="AD46" i="37"/>
  <c r="AD47" i="37"/>
  <c r="AD48" i="37"/>
  <c r="AE48" i="37"/>
  <c r="Z46" i="37"/>
  <c r="Z47" i="37"/>
  <c r="Z48" i="37"/>
  <c r="AH48" i="37" s="1"/>
  <c r="AA48" i="37"/>
  <c r="I45" i="37"/>
  <c r="J45" i="37"/>
  <c r="I46" i="37"/>
  <c r="J46" i="37"/>
  <c r="I47" i="37"/>
  <c r="J47" i="37"/>
  <c r="I48" i="37"/>
  <c r="J48" i="37"/>
  <c r="A44" i="37"/>
  <c r="AK39" i="37"/>
  <c r="AK41" i="37"/>
  <c r="AC43" i="37"/>
  <c r="AD99" i="37" s="1"/>
  <c r="AF43" i="37"/>
  <c r="AG70" i="37" s="1"/>
  <c r="N43" i="37"/>
  <c r="O43" i="37"/>
  <c r="O61" i="37" s="1"/>
  <c r="O64" i="37" s="1"/>
  <c r="P43" i="37"/>
  <c r="P51" i="37" s="1"/>
  <c r="P52" i="37" s="1"/>
  <c r="Q43" i="37"/>
  <c r="Q61" i="37" s="1"/>
  <c r="Q64" i="37" s="1"/>
  <c r="Q74" i="37" s="1"/>
  <c r="R43" i="37"/>
  <c r="S43" i="37"/>
  <c r="T43" i="37"/>
  <c r="U43" i="37"/>
  <c r="V43" i="37"/>
  <c r="W43" i="37"/>
  <c r="W61" i="37" s="1"/>
  <c r="W64" i="37" s="1"/>
  <c r="X43" i="37"/>
  <c r="X51" i="37" s="1"/>
  <c r="X52" i="37" s="1"/>
  <c r="Y43" i="37"/>
  <c r="Y61" i="37" s="1"/>
  <c r="Y64" i="37" s="1"/>
  <c r="Y74" i="37" s="1"/>
  <c r="N44" i="37"/>
  <c r="Q44" i="37"/>
  <c r="V44" i="37"/>
  <c r="W44" i="37"/>
  <c r="Y44" i="37"/>
  <c r="AH39" i="37"/>
  <c r="AI39" i="37"/>
  <c r="AE39" i="37"/>
  <c r="AE41" i="37"/>
  <c r="Z39" i="37"/>
  <c r="Z40" i="37"/>
  <c r="AH40" i="37" s="1"/>
  <c r="Z41" i="37"/>
  <c r="AH41" i="37" s="1"/>
  <c r="Z42" i="37"/>
  <c r="AE42" i="37" s="1"/>
  <c r="Z33" i="37"/>
  <c r="AE33" i="37" s="1"/>
  <c r="Z34" i="37"/>
  <c r="AI34" i="37" s="1"/>
  <c r="Z37" i="37"/>
  <c r="AI37" i="37" s="1"/>
  <c r="AH33" i="37"/>
  <c r="I33" i="37"/>
  <c r="J33" i="37"/>
  <c r="I34" i="37"/>
  <c r="J34" i="37"/>
  <c r="I35" i="37"/>
  <c r="J35" i="37"/>
  <c r="I36" i="37"/>
  <c r="J36" i="37"/>
  <c r="I37" i="37"/>
  <c r="J37" i="37"/>
  <c r="I38" i="37"/>
  <c r="J38" i="37"/>
  <c r="I39" i="37"/>
  <c r="J39" i="37"/>
  <c r="I40" i="37"/>
  <c r="J40" i="37"/>
  <c r="I41" i="37"/>
  <c r="J41" i="37"/>
  <c r="I42" i="37"/>
  <c r="J42" i="37"/>
  <c r="AF32" i="37"/>
  <c r="AC32" i="37"/>
  <c r="N32" i="37"/>
  <c r="O32" i="37"/>
  <c r="P32" i="37"/>
  <c r="Q32" i="37"/>
  <c r="R32" i="37"/>
  <c r="S32" i="37"/>
  <c r="T32" i="37"/>
  <c r="U32" i="37"/>
  <c r="V32" i="37"/>
  <c r="W32" i="37"/>
  <c r="X32" i="37"/>
  <c r="Y32" i="37"/>
  <c r="AK31" i="37"/>
  <c r="AI31" i="37"/>
  <c r="AF31" i="37"/>
  <c r="AC31" i="37"/>
  <c r="N31" i="37"/>
  <c r="O31" i="37"/>
  <c r="P31" i="37"/>
  <c r="Q31" i="37"/>
  <c r="R31" i="37"/>
  <c r="S31" i="37"/>
  <c r="T31" i="37"/>
  <c r="U31" i="37"/>
  <c r="V31" i="37"/>
  <c r="W31" i="37"/>
  <c r="X31" i="37"/>
  <c r="Y31" i="37"/>
  <c r="Z31" i="37"/>
  <c r="M26" i="37"/>
  <c r="M27" i="37"/>
  <c r="M28" i="37"/>
  <c r="M29" i="37"/>
  <c r="B23" i="37"/>
  <c r="AF16" i="37"/>
  <c r="AF19" i="37"/>
  <c r="AG39" i="37" s="1"/>
  <c r="AC19" i="37"/>
  <c r="AD42" i="37" s="1"/>
  <c r="M19" i="37"/>
  <c r="N19" i="37"/>
  <c r="O19" i="37"/>
  <c r="P19" i="37"/>
  <c r="Q19" i="37"/>
  <c r="R19" i="37"/>
  <c r="S19" i="37"/>
  <c r="T19" i="37"/>
  <c r="U19" i="37"/>
  <c r="V19" i="37"/>
  <c r="W19" i="37"/>
  <c r="X19" i="37"/>
  <c r="Y19" i="37"/>
  <c r="B17" i="37"/>
  <c r="B18" i="37"/>
  <c r="B19" i="37"/>
  <c r="N17" i="37"/>
  <c r="O17" i="37"/>
  <c r="P17" i="37"/>
  <c r="Q17" i="37"/>
  <c r="R17" i="37"/>
  <c r="S17" i="37"/>
  <c r="T17" i="37"/>
  <c r="U17" i="37"/>
  <c r="V17" i="37"/>
  <c r="W17" i="37"/>
  <c r="X17" i="37"/>
  <c r="Y17" i="37"/>
  <c r="N16" i="37"/>
  <c r="O16" i="37"/>
  <c r="P16" i="37"/>
  <c r="Q16" i="37"/>
  <c r="R16" i="37"/>
  <c r="S16" i="37"/>
  <c r="T16" i="37"/>
  <c r="U16" i="37"/>
  <c r="V16" i="37"/>
  <c r="W16" i="37"/>
  <c r="X16" i="37"/>
  <c r="A14" i="37"/>
  <c r="AF12" i="37"/>
  <c r="AF13" i="37"/>
  <c r="AC12" i="37"/>
  <c r="AC13" i="37"/>
  <c r="B12" i="37"/>
  <c r="B13" i="37"/>
  <c r="N12" i="37"/>
  <c r="O12" i="37"/>
  <c r="P12" i="37"/>
  <c r="Q12" i="37"/>
  <c r="R12" i="37"/>
  <c r="S12" i="37"/>
  <c r="T12" i="37"/>
  <c r="U12" i="37"/>
  <c r="V12" i="37"/>
  <c r="W12" i="37"/>
  <c r="X12" i="37"/>
  <c r="Y12" i="37"/>
  <c r="Z12" i="37"/>
  <c r="N13" i="37"/>
  <c r="O13" i="37"/>
  <c r="P13" i="37"/>
  <c r="Q13" i="37"/>
  <c r="R13" i="37"/>
  <c r="S13" i="37"/>
  <c r="T13" i="37"/>
  <c r="U13" i="37"/>
  <c r="V13" i="37"/>
  <c r="W13" i="37"/>
  <c r="X13" i="37"/>
  <c r="Y13" i="37"/>
  <c r="Z13" i="37"/>
  <c r="N11" i="37"/>
  <c r="O11" i="37"/>
  <c r="P11" i="37"/>
  <c r="Q11" i="37"/>
  <c r="R11" i="37"/>
  <c r="S11" i="37"/>
  <c r="T11" i="37"/>
  <c r="U11" i="37"/>
  <c r="V11" i="37"/>
  <c r="W11" i="37"/>
  <c r="X11" i="37"/>
  <c r="Y11" i="37"/>
  <c r="B10" i="37"/>
  <c r="C10" i="37"/>
  <c r="D10" i="37"/>
  <c r="B9" i="37"/>
  <c r="C9" i="37"/>
  <c r="C1" i="37"/>
  <c r="C2" i="37"/>
  <c r="C3" i="37"/>
  <c r="C4" i="37"/>
  <c r="C5" i="37"/>
  <c r="C6" i="37"/>
  <c r="C7" i="37"/>
  <c r="C8" i="37"/>
  <c r="E6" i="37"/>
  <c r="E4" i="37"/>
  <c r="F4" i="37"/>
  <c r="B3" i="37"/>
  <c r="T28" i="5"/>
  <c r="I28" i="5" s="1"/>
  <c r="T29" i="5"/>
  <c r="I29" i="5" s="1"/>
  <c r="T30" i="5"/>
  <c r="T31" i="5"/>
  <c r="I31" i="5" s="1"/>
  <c r="T32" i="5"/>
  <c r="I32" i="5" s="1"/>
  <c r="T33" i="5"/>
  <c r="I33" i="5" s="1"/>
  <c r="T34" i="5"/>
  <c r="T35" i="5"/>
  <c r="I35" i="5" s="1"/>
  <c r="T36" i="5"/>
  <c r="I36" i="5" s="1"/>
  <c r="T37" i="5"/>
  <c r="I37" i="5" s="1"/>
  <c r="T38" i="5"/>
  <c r="T39" i="5"/>
  <c r="I39" i="5" s="1"/>
  <c r="T40" i="5"/>
  <c r="I40" i="5" s="1"/>
  <c r="T41" i="5"/>
  <c r="I41" i="5" s="1"/>
  <c r="T42" i="5"/>
  <c r="I42" i="5" s="1"/>
  <c r="T43" i="5"/>
  <c r="I43" i="5" s="1"/>
  <c r="T44" i="5"/>
  <c r="I44" i="5" s="1"/>
  <c r="T45" i="5"/>
  <c r="I45" i="5" s="1"/>
  <c r="T46" i="5"/>
  <c r="I46" i="5" s="1"/>
  <c r="T47" i="5"/>
  <c r="I47" i="5" s="1"/>
  <c r="T48" i="5"/>
  <c r="I48" i="5" s="1"/>
  <c r="T49" i="5"/>
  <c r="T50" i="5"/>
  <c r="I30" i="5"/>
  <c r="I34" i="5"/>
  <c r="I38" i="5"/>
  <c r="I49" i="5"/>
  <c r="I50" i="5"/>
  <c r="K24" i="5"/>
  <c r="I24" i="5"/>
  <c r="E24" i="5"/>
  <c r="C13" i="5"/>
  <c r="D10" i="5"/>
  <c r="B9" i="7" s="1"/>
  <c r="J6" i="5"/>
  <c r="AG17" i="16" s="1"/>
  <c r="AG18" i="16" s="1"/>
  <c r="J7" i="5"/>
  <c r="G6" i="5"/>
  <c r="G7" i="5"/>
  <c r="D6" i="5"/>
  <c r="D7" i="5"/>
  <c r="B10" i="7" s="1"/>
  <c r="Q6" i="5"/>
  <c r="F1" i="5"/>
  <c r="C1" i="5"/>
  <c r="D1" i="5"/>
  <c r="AH35" i="4" l="1"/>
  <c r="K55" i="4"/>
  <c r="AA55" i="4"/>
  <c r="AF55" i="4" s="1"/>
  <c r="AA54" i="7"/>
  <c r="K54" i="7"/>
  <c r="AA37" i="16"/>
  <c r="K37" i="16"/>
  <c r="AI43" i="16"/>
  <c r="AF43" i="16"/>
  <c r="K47" i="4"/>
  <c r="AA47" i="4"/>
  <c r="K94" i="4"/>
  <c r="AA94" i="4"/>
  <c r="AA143" i="6"/>
  <c r="AF58" i="6"/>
  <c r="AI58" i="6"/>
  <c r="K38" i="9"/>
  <c r="AA38" i="9"/>
  <c r="AI38" i="9" s="1"/>
  <c r="K88" i="16"/>
  <c r="AA88" i="16"/>
  <c r="AI102" i="17"/>
  <c r="AA105" i="17"/>
  <c r="AI105" i="17" s="1"/>
  <c r="AF102" i="17"/>
  <c r="AA136" i="6"/>
  <c r="AF51" i="6"/>
  <c r="AI51" i="6"/>
  <c r="AA128" i="6"/>
  <c r="AF43" i="6"/>
  <c r="AI43" i="6"/>
  <c r="AA120" i="6"/>
  <c r="AI35" i="6"/>
  <c r="AF64" i="6"/>
  <c r="AI64" i="6"/>
  <c r="AA61" i="7"/>
  <c r="K61" i="7"/>
  <c r="AK94" i="16"/>
  <c r="AK51" i="16"/>
  <c r="AK40" i="16"/>
  <c r="AK48" i="16"/>
  <c r="AH99" i="4"/>
  <c r="AH85" i="4"/>
  <c r="AH67" i="4"/>
  <c r="AH36" i="4"/>
  <c r="AH44" i="4"/>
  <c r="AH86" i="4"/>
  <c r="AH87" i="4"/>
  <c r="AH69" i="4"/>
  <c r="AH39" i="4"/>
  <c r="AH68" i="4"/>
  <c r="AH59" i="4"/>
  <c r="AH47" i="4"/>
  <c r="AH100" i="4"/>
  <c r="AH77" i="4"/>
  <c r="AH78" i="4"/>
  <c r="AH61" i="4"/>
  <c r="AH79" i="4"/>
  <c r="AH94" i="4"/>
  <c r="AH64" i="4"/>
  <c r="AH42" i="4"/>
  <c r="AH50" i="4"/>
  <c r="Z16" i="37"/>
  <c r="Y16" i="37"/>
  <c r="AE99" i="37"/>
  <c r="AH99" i="37"/>
  <c r="K39" i="4"/>
  <c r="AA39" i="4"/>
  <c r="AH55" i="4"/>
  <c r="AH60" i="4"/>
  <c r="AI55" i="7"/>
  <c r="AF55" i="7"/>
  <c r="AA19" i="17"/>
  <c r="AB143" i="17" s="1"/>
  <c r="AE93" i="9"/>
  <c r="AE35" i="9"/>
  <c r="AE58" i="9"/>
  <c r="AE38" i="9"/>
  <c r="AE42" i="9"/>
  <c r="AE43" i="9"/>
  <c r="AE54" i="9"/>
  <c r="AD71" i="37"/>
  <c r="AC72" i="37"/>
  <c r="AD72" i="37" s="1"/>
  <c r="AH51" i="4"/>
  <c r="AA58" i="4"/>
  <c r="AI58" i="4" s="1"/>
  <c r="K58" i="4"/>
  <c r="AI110" i="6"/>
  <c r="AB110" i="6"/>
  <c r="AE55" i="37"/>
  <c r="Z80" i="37"/>
  <c r="AH80" i="37" s="1"/>
  <c r="AH93" i="37"/>
  <c r="AE93" i="37"/>
  <c r="AH43" i="4"/>
  <c r="AA63" i="4"/>
  <c r="AA74" i="4"/>
  <c r="AI74" i="4" s="1"/>
  <c r="K74" i="4"/>
  <c r="AF134" i="6"/>
  <c r="AI134" i="6"/>
  <c r="AF39" i="16"/>
  <c r="AA63" i="16"/>
  <c r="K63" i="16"/>
  <c r="AF115" i="16"/>
  <c r="AB115" i="16"/>
  <c r="AM115" i="16" s="1"/>
  <c r="AH47" i="37"/>
  <c r="AE47" i="37"/>
  <c r="AE70" i="37"/>
  <c r="AH70" i="37"/>
  <c r="AH63" i="37"/>
  <c r="AE63" i="37"/>
  <c r="AA67" i="37"/>
  <c r="AI67" i="37" s="1"/>
  <c r="AE67" i="37"/>
  <c r="AH67" i="37"/>
  <c r="AA74" i="16"/>
  <c r="AJ74" i="16" s="1"/>
  <c r="K74" i="16"/>
  <c r="K107" i="16"/>
  <c r="AA107" i="16"/>
  <c r="AF107" i="16" s="1"/>
  <c r="AF93" i="51"/>
  <c r="AI93" i="51"/>
  <c r="AA50" i="4"/>
  <c r="AI50" i="4" s="1"/>
  <c r="AG100" i="37"/>
  <c r="AF44" i="37"/>
  <c r="AG44" i="37" s="1"/>
  <c r="AG43" i="37"/>
  <c r="AG80" i="37"/>
  <c r="AG103" i="37"/>
  <c r="AG87" i="37"/>
  <c r="AG77" i="37"/>
  <c r="AG68" i="37"/>
  <c r="AG78" i="37"/>
  <c r="AH46" i="37"/>
  <c r="AA46" i="37"/>
  <c r="AI46" i="37" s="1"/>
  <c r="AE46" i="37"/>
  <c r="AA95" i="4"/>
  <c r="K95" i="4"/>
  <c r="AF80" i="4"/>
  <c r="AI80" i="4"/>
  <c r="AH34" i="37"/>
  <c r="R61" i="37"/>
  <c r="R44" i="37"/>
  <c r="N51" i="37"/>
  <c r="AG63" i="37"/>
  <c r="K66" i="4"/>
  <c r="AA66" i="4"/>
  <c r="AI66" i="4" s="1"/>
  <c r="AA83" i="4"/>
  <c r="K83" i="4"/>
  <c r="AH73" i="6"/>
  <c r="AH82" i="6"/>
  <c r="AH98" i="6"/>
  <c r="AH86" i="6"/>
  <c r="AH74" i="6"/>
  <c r="AH102" i="6"/>
  <c r="AH90" i="6"/>
  <c r="AH114" i="6"/>
  <c r="AH78" i="6"/>
  <c r="AH106" i="6"/>
  <c r="AI124" i="6"/>
  <c r="AF124" i="6"/>
  <c r="AI81" i="6"/>
  <c r="AB81" i="6"/>
  <c r="AI132" i="6"/>
  <c r="AF132" i="6"/>
  <c r="AF44" i="16"/>
  <c r="AI44" i="16"/>
  <c r="K68" i="16"/>
  <c r="AA68" i="16"/>
  <c r="AA96" i="16"/>
  <c r="AI76" i="17"/>
  <c r="AF76" i="17"/>
  <c r="AB76" i="17"/>
  <c r="AI54" i="17"/>
  <c r="AF54" i="17"/>
  <c r="B4" i="16"/>
  <c r="L11" i="37"/>
  <c r="M11" i="4"/>
  <c r="AD49" i="37"/>
  <c r="AC50" i="37"/>
  <c r="AD50" i="37" s="1"/>
  <c r="AJ43" i="7"/>
  <c r="AI43" i="7"/>
  <c r="AA81" i="16"/>
  <c r="AI81" i="16" s="1"/>
  <c r="K81" i="16"/>
  <c r="X148" i="17"/>
  <c r="P148" i="17"/>
  <c r="AA81" i="9"/>
  <c r="AI92" i="39"/>
  <c r="B29" i="51"/>
  <c r="AA45" i="51"/>
  <c r="K45" i="51"/>
  <c r="K42" i="51"/>
  <c r="AA42" i="51"/>
  <c r="AF42" i="51" s="1"/>
  <c r="AF92" i="51"/>
  <c r="AB92" i="51"/>
  <c r="AM92" i="51" s="1"/>
  <c r="AA93" i="55"/>
  <c r="AF93" i="55" s="1"/>
  <c r="AF91" i="55"/>
  <c r="AI91" i="55"/>
  <c r="AA125" i="55"/>
  <c r="AA20" i="52"/>
  <c r="AF44" i="52"/>
  <c r="AB44" i="52"/>
  <c r="K62" i="52"/>
  <c r="AA62" i="52"/>
  <c r="AM65" i="52"/>
  <c r="AB76" i="52"/>
  <c r="AF76" i="52"/>
  <c r="AA19" i="56"/>
  <c r="AB75" i="56"/>
  <c r="AF75" i="56"/>
  <c r="AF40" i="56"/>
  <c r="AI40" i="56"/>
  <c r="AA50" i="61"/>
  <c r="K50" i="61"/>
  <c r="O44" i="37"/>
  <c r="AD70" i="37"/>
  <c r="AD102" i="37"/>
  <c r="AA78" i="4"/>
  <c r="AF56" i="6"/>
  <c r="AF49" i="6"/>
  <c r="AH65" i="6"/>
  <c r="AH54" i="6"/>
  <c r="AI46" i="6"/>
  <c r="AI39" i="6"/>
  <c r="AA135" i="6"/>
  <c r="AB101" i="6"/>
  <c r="AB95" i="6"/>
  <c r="AB87" i="6"/>
  <c r="AE103" i="6"/>
  <c r="AE73" i="6"/>
  <c r="AI91" i="6"/>
  <c r="AA126" i="6"/>
  <c r="AB154" i="6"/>
  <c r="AA16" i="7"/>
  <c r="AA20" i="7"/>
  <c r="AB55" i="7" s="1"/>
  <c r="AK37" i="7"/>
  <c r="AE35" i="16"/>
  <c r="AL41" i="16"/>
  <c r="AL54" i="16"/>
  <c r="K92" i="16"/>
  <c r="AE38" i="17"/>
  <c r="AE45" i="17"/>
  <c r="AF58" i="17"/>
  <c r="AE64" i="17"/>
  <c r="AI74" i="17"/>
  <c r="AF82" i="17"/>
  <c r="AA77" i="17"/>
  <c r="AA174" i="17"/>
  <c r="AB120" i="17"/>
  <c r="AF120" i="17"/>
  <c r="AI119" i="17"/>
  <c r="AB129" i="17"/>
  <c r="AB137" i="17"/>
  <c r="W148" i="17"/>
  <c r="AA143" i="17"/>
  <c r="V148" i="17"/>
  <c r="Z16" i="9"/>
  <c r="AH37" i="9"/>
  <c r="K76" i="9"/>
  <c r="K114" i="9"/>
  <c r="K99" i="9"/>
  <c r="K93" i="9"/>
  <c r="AA16" i="39"/>
  <c r="AF35" i="39"/>
  <c r="AF49" i="39"/>
  <c r="AI46" i="39"/>
  <c r="AF57" i="39"/>
  <c r="AE69" i="39"/>
  <c r="AF68" i="39"/>
  <c r="AI66" i="39"/>
  <c r="AI77" i="39"/>
  <c r="AF85" i="39"/>
  <c r="AI99" i="39"/>
  <c r="Y126" i="39"/>
  <c r="Y127" i="39" s="1"/>
  <c r="Q126" i="39"/>
  <c r="Q127" i="39" s="1"/>
  <c r="W126" i="39"/>
  <c r="W127" i="39" s="1"/>
  <c r="AA122" i="39"/>
  <c r="V126" i="39"/>
  <c r="V127" i="39" s="1"/>
  <c r="AE122" i="39"/>
  <c r="AK66" i="51"/>
  <c r="AK48" i="51"/>
  <c r="AK57" i="51"/>
  <c r="K49" i="51"/>
  <c r="K43" i="51"/>
  <c r="AA79" i="51"/>
  <c r="K79" i="51"/>
  <c r="AA94" i="55"/>
  <c r="AF87" i="55"/>
  <c r="AA42" i="55"/>
  <c r="AF41" i="55"/>
  <c r="AB41" i="55"/>
  <c r="AA51" i="52"/>
  <c r="K51" i="52"/>
  <c r="AI68" i="52"/>
  <c r="AF68" i="52"/>
  <c r="AA52" i="53"/>
  <c r="AI52" i="53" s="1"/>
  <c r="K52" i="53"/>
  <c r="AF99" i="57"/>
  <c r="AB99" i="57"/>
  <c r="AI99" i="57"/>
  <c r="S126" i="57"/>
  <c r="S127" i="57" s="1"/>
  <c r="AA67" i="61"/>
  <c r="K67" i="61"/>
  <c r="AB51" i="62"/>
  <c r="AA53" i="62"/>
  <c r="AI51" i="62"/>
  <c r="AF51" i="62"/>
  <c r="AF40" i="62"/>
  <c r="AI40" i="62"/>
  <c r="AI109" i="62"/>
  <c r="AF109" i="62"/>
  <c r="Z16" i="4"/>
  <c r="AI38" i="6"/>
  <c r="AB115" i="6"/>
  <c r="AB79" i="6"/>
  <c r="AF115" i="6"/>
  <c r="AI115" i="6"/>
  <c r="AK42" i="7"/>
  <c r="AK51" i="7"/>
  <c r="AL53" i="16"/>
  <c r="AL61" i="16"/>
  <c r="AM61" i="16"/>
  <c r="AI108" i="17"/>
  <c r="AA144" i="17"/>
  <c r="AH43" i="9"/>
  <c r="AM67" i="9"/>
  <c r="AA63" i="39"/>
  <c r="AI108" i="39"/>
  <c r="AI115" i="39"/>
  <c r="U126" i="39"/>
  <c r="U127" i="39" s="1"/>
  <c r="K63" i="51"/>
  <c r="AM64" i="51"/>
  <c r="AM66" i="51"/>
  <c r="AA82" i="51"/>
  <c r="K82" i="51"/>
  <c r="AI92" i="51"/>
  <c r="AI116" i="55"/>
  <c r="AF116" i="55"/>
  <c r="S126" i="55"/>
  <c r="S127" i="55" s="1"/>
  <c r="AA146" i="55"/>
  <c r="AF130" i="55"/>
  <c r="AF134" i="55"/>
  <c r="AI134" i="55"/>
  <c r="AF36" i="52"/>
  <c r="AB36" i="52"/>
  <c r="AI76" i="52"/>
  <c r="AI88" i="52"/>
  <c r="AB88" i="52"/>
  <c r="AM88" i="52" s="1"/>
  <c r="AI83" i="56"/>
  <c r="AB83" i="56"/>
  <c r="AB49" i="56"/>
  <c r="AI49" i="56"/>
  <c r="AI38" i="56"/>
  <c r="AB38" i="56"/>
  <c r="AA63" i="53"/>
  <c r="K63" i="53"/>
  <c r="AI80" i="61"/>
  <c r="AF80" i="61"/>
  <c r="AB80" i="61"/>
  <c r="AN80" i="61" s="1"/>
  <c r="AA67" i="4"/>
  <c r="AA19" i="6"/>
  <c r="AK40" i="37"/>
  <c r="AD57" i="37"/>
  <c r="AD69" i="37"/>
  <c r="AD98" i="37"/>
  <c r="K68" i="4"/>
  <c r="AM91" i="4"/>
  <c r="AH69" i="6"/>
  <c r="AI63" i="6"/>
  <c r="AH58" i="6"/>
  <c r="AH45" i="6"/>
  <c r="AH38" i="6"/>
  <c r="AA154" i="6"/>
  <c r="AB61" i="6"/>
  <c r="AB107" i="6"/>
  <c r="AF91" i="6"/>
  <c r="K39" i="7"/>
  <c r="AE38" i="7"/>
  <c r="AK50" i="7"/>
  <c r="Z16" i="16"/>
  <c r="K38" i="16"/>
  <c r="K43" i="16"/>
  <c r="AL52" i="16"/>
  <c r="K67" i="16"/>
  <c r="AM66" i="16"/>
  <c r="AL65" i="16"/>
  <c r="K115" i="16"/>
  <c r="K108" i="16"/>
  <c r="K104" i="16"/>
  <c r="K97" i="16"/>
  <c r="AA20" i="17"/>
  <c r="AB104" i="17" s="1"/>
  <c r="AI45" i="17"/>
  <c r="AI72" i="17"/>
  <c r="AB84" i="17"/>
  <c r="AA50" i="17"/>
  <c r="AF119" i="17"/>
  <c r="AE134" i="17"/>
  <c r="AA145" i="17"/>
  <c r="T148" i="17"/>
  <c r="AA19" i="9"/>
  <c r="AH35" i="9"/>
  <c r="AA64" i="9"/>
  <c r="AI64" i="9" s="1"/>
  <c r="K108" i="9"/>
  <c r="K106" i="9"/>
  <c r="AA102" i="9"/>
  <c r="AI102" i="9" s="1"/>
  <c r="AA19" i="39"/>
  <c r="AF55" i="39"/>
  <c r="AH68" i="39"/>
  <c r="AI75" i="39"/>
  <c r="AA144" i="39"/>
  <c r="AA62" i="39"/>
  <c r="AF110" i="39"/>
  <c r="AI106" i="39"/>
  <c r="AA146" i="39"/>
  <c r="AA46" i="51"/>
  <c r="AF46" i="51" s="1"/>
  <c r="AM70" i="52"/>
  <c r="AI78" i="52"/>
  <c r="AF78" i="52"/>
  <c r="AF46" i="6"/>
  <c r="AF99" i="6"/>
  <c r="AF79" i="6"/>
  <c r="AA21" i="7"/>
  <c r="AA63" i="7" s="1"/>
  <c r="AA47" i="7"/>
  <c r="AF47" i="7" s="1"/>
  <c r="AL70" i="16"/>
  <c r="AB74" i="17"/>
  <c r="AI84" i="17"/>
  <c r="AA146" i="17"/>
  <c r="AM65" i="9"/>
  <c r="AH67" i="39"/>
  <c r="AB77" i="39"/>
  <c r="AA143" i="39"/>
  <c r="AI63" i="51"/>
  <c r="AF63" i="51"/>
  <c r="AA97" i="51"/>
  <c r="K97" i="51"/>
  <c r="AF109" i="55"/>
  <c r="AA121" i="55"/>
  <c r="AI130" i="55"/>
  <c r="AM63" i="52"/>
  <c r="AF110" i="56"/>
  <c r="AI110" i="56"/>
  <c r="AB110" i="56"/>
  <c r="Y126" i="56"/>
  <c r="Y127" i="56" s="1"/>
  <c r="AF42" i="57"/>
  <c r="AI42" i="57"/>
  <c r="W51" i="37"/>
  <c r="W52" i="37" s="1"/>
  <c r="AB83" i="6"/>
  <c r="AA19" i="7"/>
  <c r="AJ35" i="7"/>
  <c r="AL47" i="16"/>
  <c r="AL39" i="16"/>
  <c r="AA113" i="16"/>
  <c r="AM99" i="16"/>
  <c r="AF47" i="17"/>
  <c r="AE56" i="17"/>
  <c r="AB82" i="17"/>
  <c r="AB91" i="17"/>
  <c r="AE117" i="17"/>
  <c r="AI136" i="17"/>
  <c r="S148" i="17"/>
  <c r="Z148" i="17"/>
  <c r="R148" i="17"/>
  <c r="AF154" i="17"/>
  <c r="AA42" i="9"/>
  <c r="AF42" i="9" s="1"/>
  <c r="AM64" i="9"/>
  <c r="AA72" i="9"/>
  <c r="AL72" i="9"/>
  <c r="K115" i="9"/>
  <c r="K100" i="9"/>
  <c r="K98" i="9"/>
  <c r="AA98" i="9"/>
  <c r="AF98" i="9" s="1"/>
  <c r="AF61" i="39"/>
  <c r="AF140" i="39"/>
  <c r="AA19" i="51"/>
  <c r="AB101" i="51" s="1"/>
  <c r="K35" i="51"/>
  <c r="AK70" i="51"/>
  <c r="AN63" i="51"/>
  <c r="K91" i="51"/>
  <c r="AA20" i="55"/>
  <c r="AB87" i="55" s="1"/>
  <c r="AI80" i="55"/>
  <c r="AA82" i="55"/>
  <c r="AF80" i="55"/>
  <c r="AB80" i="55"/>
  <c r="AF58" i="55"/>
  <c r="AI58" i="55"/>
  <c r="O126" i="55"/>
  <c r="AB87" i="52"/>
  <c r="AI70" i="56"/>
  <c r="P126" i="56"/>
  <c r="P127" i="56" s="1"/>
  <c r="K66" i="53"/>
  <c r="AA66" i="53"/>
  <c r="AF66" i="53" s="1"/>
  <c r="K70" i="63"/>
  <c r="AA70" i="63"/>
  <c r="AF70" i="63" s="1"/>
  <c r="K68" i="63"/>
  <c r="AA68" i="63"/>
  <c r="V61" i="37"/>
  <c r="AH57" i="37"/>
  <c r="AD77" i="37"/>
  <c r="AA19" i="4"/>
  <c r="AB91" i="4" s="1"/>
  <c r="AF62" i="6"/>
  <c r="AI61" i="6"/>
  <c r="AI49" i="6"/>
  <c r="AA130" i="6"/>
  <c r="AB111" i="6"/>
  <c r="AA145" i="6"/>
  <c r="AB75" i="6"/>
  <c r="AE105" i="6"/>
  <c r="AE77" i="6"/>
  <c r="AI83" i="6"/>
  <c r="AK39" i="7"/>
  <c r="AK34" i="7"/>
  <c r="AE47" i="7"/>
  <c r="AA19" i="16"/>
  <c r="AL46" i="16"/>
  <c r="AL38" i="16"/>
  <c r="AL49" i="16"/>
  <c r="AM65" i="16"/>
  <c r="AA70" i="16"/>
  <c r="AE83" i="16"/>
  <c r="K100" i="16"/>
  <c r="AF72" i="17"/>
  <c r="AF116" i="17"/>
  <c r="Y148" i="17"/>
  <c r="Q148" i="17"/>
  <c r="AA20" i="9"/>
  <c r="AM63" i="9"/>
  <c r="AN69" i="9"/>
  <c r="AA20" i="39"/>
  <c r="AB87" i="39" s="1"/>
  <c r="AF39" i="39"/>
  <c r="AB75" i="39"/>
  <c r="AF117" i="39"/>
  <c r="S126" i="39"/>
  <c r="S127" i="39" s="1"/>
  <c r="AA16" i="51"/>
  <c r="K51" i="51"/>
  <c r="AA76" i="51"/>
  <c r="AB76" i="51" s="1"/>
  <c r="AN76" i="51" s="1"/>
  <c r="AA84" i="55"/>
  <c r="AG126" i="55"/>
  <c r="AH121" i="55"/>
  <c r="AF138" i="55"/>
  <c r="AF52" i="52"/>
  <c r="AB52" i="52"/>
  <c r="AI83" i="52"/>
  <c r="AF83" i="52"/>
  <c r="AF88" i="52"/>
  <c r="AI86" i="56"/>
  <c r="K44" i="61"/>
  <c r="AA44" i="61"/>
  <c r="AF44" i="61" s="1"/>
  <c r="K81" i="4"/>
  <c r="N61" i="37"/>
  <c r="V51" i="37"/>
  <c r="V52" i="37" s="1"/>
  <c r="AA97" i="37"/>
  <c r="AK46" i="4"/>
  <c r="AK38" i="4"/>
  <c r="AA59" i="4"/>
  <c r="U51" i="37"/>
  <c r="U52" i="37" s="1"/>
  <c r="O51" i="37"/>
  <c r="O52" i="37" s="1"/>
  <c r="Z49" i="37"/>
  <c r="AD63" i="37"/>
  <c r="K60" i="4"/>
  <c r="K91" i="4"/>
  <c r="K86" i="4"/>
  <c r="K82" i="4"/>
  <c r="AI96" i="4"/>
  <c r="AF57" i="6"/>
  <c r="AE37" i="6"/>
  <c r="AH61" i="6"/>
  <c r="AH49" i="6"/>
  <c r="AA137" i="6"/>
  <c r="AA129" i="6"/>
  <c r="AB103" i="6"/>
  <c r="AF111" i="6"/>
  <c r="AE87" i="6"/>
  <c r="AF75" i="6"/>
  <c r="AI95" i="6"/>
  <c r="K37" i="7"/>
  <c r="AK48" i="7"/>
  <c r="K58" i="7"/>
  <c r="AA20" i="16"/>
  <c r="AJ48" i="16" s="1"/>
  <c r="AE38" i="16"/>
  <c r="AL43" i="16"/>
  <c r="AL35" i="16"/>
  <c r="AE49" i="16"/>
  <c r="AN63" i="16"/>
  <c r="AN64" i="16"/>
  <c r="K78" i="16"/>
  <c r="K105" i="16"/>
  <c r="K94" i="16"/>
  <c r="AA97" i="16"/>
  <c r="Z16" i="17"/>
  <c r="AE47" i="17"/>
  <c r="AE54" i="17"/>
  <c r="AF64" i="17"/>
  <c r="AF84" i="17"/>
  <c r="AA78" i="17"/>
  <c r="AA79" i="17" s="1"/>
  <c r="G78" i="17" s="1"/>
  <c r="AA69" i="17"/>
  <c r="AF91" i="17"/>
  <c r="AF97" i="17"/>
  <c r="AE116" i="17"/>
  <c r="AB124" i="17"/>
  <c r="AI128" i="17"/>
  <c r="AA175" i="17"/>
  <c r="AF165" i="17"/>
  <c r="K41" i="9"/>
  <c r="AK52" i="9"/>
  <c r="AM68" i="9"/>
  <c r="AK86" i="9"/>
  <c r="K107" i="9"/>
  <c r="AA110" i="9"/>
  <c r="AI110" i="9" s="1"/>
  <c r="AA94" i="9"/>
  <c r="AI94" i="9" s="1"/>
  <c r="AE36" i="39"/>
  <c r="AI49" i="39"/>
  <c r="AH59" i="39"/>
  <c r="AF59" i="39"/>
  <c r="AF71" i="39"/>
  <c r="Z126" i="39"/>
  <c r="Z127" i="39" s="1"/>
  <c r="AA124" i="39"/>
  <c r="AA121" i="39"/>
  <c r="AM69" i="51"/>
  <c r="AF87" i="51"/>
  <c r="AI87" i="51"/>
  <c r="AI48" i="55"/>
  <c r="AF78" i="55"/>
  <c r="AB78" i="55"/>
  <c r="AI78" i="55"/>
  <c r="AB67" i="55"/>
  <c r="AI67" i="55"/>
  <c r="AF67" i="55"/>
  <c r="AI56" i="55"/>
  <c r="AB56" i="55"/>
  <c r="AF35" i="55"/>
  <c r="AI35" i="55"/>
  <c r="AF48" i="52"/>
  <c r="AB48" i="52"/>
  <c r="AI70" i="52"/>
  <c r="AF70" i="52"/>
  <c r="AI80" i="52"/>
  <c r="AF80" i="52"/>
  <c r="AI71" i="57"/>
  <c r="AF81" i="57"/>
  <c r="AF117" i="57"/>
  <c r="AB117" i="57"/>
  <c r="AI117" i="57"/>
  <c r="AD126" i="57"/>
  <c r="AE121" i="57"/>
  <c r="AA47" i="61"/>
  <c r="K47" i="61"/>
  <c r="AB47" i="64"/>
  <c r="AI47" i="64"/>
  <c r="AF47" i="64"/>
  <c r="AF36" i="64"/>
  <c r="AI36" i="64"/>
  <c r="AB36" i="64"/>
  <c r="AA122" i="64"/>
  <c r="AA35" i="54"/>
  <c r="AJ35" i="54" s="1"/>
  <c r="K35" i="54"/>
  <c r="K88" i="54"/>
  <c r="AA88" i="54"/>
  <c r="AF88" i="54" s="1"/>
  <c r="AA81" i="58"/>
  <c r="AA82" i="58"/>
  <c r="AF68" i="58"/>
  <c r="AI68" i="58"/>
  <c r="AA39" i="31"/>
  <c r="AA55" i="33"/>
  <c r="K55" i="33"/>
  <c r="AF56" i="34"/>
  <c r="AB56" i="34"/>
  <c r="AI56" i="34"/>
  <c r="AA16" i="35"/>
  <c r="Z16" i="35"/>
  <c r="AH121" i="39"/>
  <c r="AA20" i="51"/>
  <c r="AN67" i="51"/>
  <c r="K78" i="51"/>
  <c r="K94" i="51"/>
  <c r="K92" i="51"/>
  <c r="AI51" i="55"/>
  <c r="U126" i="55"/>
  <c r="U127" i="55" s="1"/>
  <c r="K55" i="52"/>
  <c r="AK41" i="52"/>
  <c r="K65" i="52"/>
  <c r="AN70" i="52"/>
  <c r="AM64" i="52"/>
  <c r="AA16" i="56"/>
  <c r="AF37" i="56"/>
  <c r="AI35" i="56"/>
  <c r="AB45" i="56"/>
  <c r="AI85" i="56"/>
  <c r="AA125" i="56"/>
  <c r="AA146" i="56"/>
  <c r="AA16" i="53"/>
  <c r="K44" i="53"/>
  <c r="AL45" i="53"/>
  <c r="AL39" i="53"/>
  <c r="AM69" i="53"/>
  <c r="AK70" i="53"/>
  <c r="AN67" i="53"/>
  <c r="AK78" i="53"/>
  <c r="AI58" i="57"/>
  <c r="AI79" i="57"/>
  <c r="AA144" i="57"/>
  <c r="AB103" i="57"/>
  <c r="AF98" i="57"/>
  <c r="AF116" i="57"/>
  <c r="U126" i="57"/>
  <c r="U127" i="57" s="1"/>
  <c r="Z126" i="57"/>
  <c r="Z127" i="57" s="1"/>
  <c r="R126" i="57"/>
  <c r="R127" i="57" s="1"/>
  <c r="AA146" i="57"/>
  <c r="AF132" i="57"/>
  <c r="AA20" i="61"/>
  <c r="AL53" i="61"/>
  <c r="AL68" i="61"/>
  <c r="AA20" i="62"/>
  <c r="AI71" i="62"/>
  <c r="AF71" i="62"/>
  <c r="AI108" i="62"/>
  <c r="AB108" i="62"/>
  <c r="AB57" i="64"/>
  <c r="AF57" i="64"/>
  <c r="K38" i="54"/>
  <c r="AA38" i="54"/>
  <c r="AH45" i="58"/>
  <c r="AA45" i="69"/>
  <c r="K45" i="69"/>
  <c r="AA72" i="57"/>
  <c r="AA93" i="57"/>
  <c r="AF109" i="57"/>
  <c r="Y126" i="57"/>
  <c r="Y127" i="57" s="1"/>
  <c r="Q126" i="57"/>
  <c r="Q127" i="57" s="1"/>
  <c r="AM64" i="61"/>
  <c r="AA52" i="62"/>
  <c r="AI99" i="62"/>
  <c r="AF99" i="62"/>
  <c r="AB99" i="62"/>
  <c r="AA43" i="63"/>
  <c r="AJ43" i="63" s="1"/>
  <c r="K43" i="63"/>
  <c r="AF78" i="64"/>
  <c r="AB78" i="64"/>
  <c r="AI78" i="64"/>
  <c r="AB67" i="64"/>
  <c r="AI67" i="64"/>
  <c r="AF67" i="64"/>
  <c r="AF101" i="58"/>
  <c r="AI101" i="58"/>
  <c r="AA62" i="66"/>
  <c r="AA63" i="66"/>
  <c r="AF59" i="66"/>
  <c r="AI59" i="66"/>
  <c r="AF37" i="66"/>
  <c r="AB37" i="66"/>
  <c r="AI37" i="66"/>
  <c r="AI43" i="67"/>
  <c r="AF43" i="67"/>
  <c r="AF61" i="55"/>
  <c r="AB71" i="55"/>
  <c r="Y126" i="55"/>
  <c r="Y127" i="55" s="1"/>
  <c r="Q126" i="55"/>
  <c r="Q127" i="55" s="1"/>
  <c r="AD126" i="55"/>
  <c r="K47" i="52"/>
  <c r="AK57" i="52"/>
  <c r="K70" i="52"/>
  <c r="K83" i="52"/>
  <c r="AF35" i="56"/>
  <c r="AB58" i="56"/>
  <c r="AI68" i="56"/>
  <c r="AI99" i="56"/>
  <c r="AA123" i="56"/>
  <c r="AB123" i="56" s="1"/>
  <c r="K62" i="53"/>
  <c r="AM67" i="53"/>
  <c r="K76" i="53"/>
  <c r="AK88" i="53"/>
  <c r="AF37" i="57"/>
  <c r="AI48" i="57"/>
  <c r="AB87" i="57"/>
  <c r="AA143" i="57"/>
  <c r="AF102" i="57"/>
  <c r="AI103" i="57"/>
  <c r="AB114" i="57"/>
  <c r="AF115" i="57"/>
  <c r="X126" i="57"/>
  <c r="X127" i="57" s="1"/>
  <c r="P126" i="57"/>
  <c r="P127" i="57" s="1"/>
  <c r="AF130" i="57"/>
  <c r="AA56" i="61"/>
  <c r="AL52" i="61"/>
  <c r="AL48" i="61"/>
  <c r="AK44" i="61"/>
  <c r="AL35" i="61"/>
  <c r="K64" i="61"/>
  <c r="AM69" i="61"/>
  <c r="AN68" i="61"/>
  <c r="AF55" i="62"/>
  <c r="AF77" i="62"/>
  <c r="P126" i="62"/>
  <c r="P127" i="62" s="1"/>
  <c r="AA121" i="56"/>
  <c r="AA19" i="57"/>
  <c r="AB65" i="57"/>
  <c r="AI65" i="57"/>
  <c r="AB80" i="57"/>
  <c r="AB107" i="57"/>
  <c r="AF108" i="57"/>
  <c r="W126" i="57"/>
  <c r="W127" i="57" s="1"/>
  <c r="AA122" i="57"/>
  <c r="K46" i="61"/>
  <c r="K43" i="61"/>
  <c r="AA52" i="61"/>
  <c r="AF52" i="61" s="1"/>
  <c r="AL56" i="61"/>
  <c r="AK52" i="61"/>
  <c r="AA79" i="61"/>
  <c r="AF79" i="61" s="1"/>
  <c r="AF76" i="61"/>
  <c r="AL77" i="61"/>
  <c r="AI45" i="62"/>
  <c r="AI138" i="62"/>
  <c r="K52" i="63"/>
  <c r="AA52" i="63"/>
  <c r="AA48" i="63"/>
  <c r="AJ48" i="63" s="1"/>
  <c r="AA67" i="63"/>
  <c r="K67" i="63"/>
  <c r="K63" i="63"/>
  <c r="AB76" i="63"/>
  <c r="AF76" i="63"/>
  <c r="AI76" i="63"/>
  <c r="AF100" i="64"/>
  <c r="AB100" i="64"/>
  <c r="AI100" i="64"/>
  <c r="AB56" i="52"/>
  <c r="AB40" i="52"/>
  <c r="AB85" i="52"/>
  <c r="AM85" i="52" s="1"/>
  <c r="AG91" i="52"/>
  <c r="AB56" i="56"/>
  <c r="AB99" i="56"/>
  <c r="AD126" i="56"/>
  <c r="AD127" i="56" s="1"/>
  <c r="AK80" i="53"/>
  <c r="K84" i="53"/>
  <c r="AA20" i="57"/>
  <c r="AF69" i="57"/>
  <c r="AF79" i="57"/>
  <c r="AB100" i="57"/>
  <c r="AB118" i="57"/>
  <c r="AA123" i="57"/>
  <c r="AI123" i="57" s="1"/>
  <c r="AA19" i="61"/>
  <c r="AA48" i="61"/>
  <c r="AL43" i="61"/>
  <c r="AL67" i="61"/>
  <c r="AL72" i="61"/>
  <c r="AL87" i="61"/>
  <c r="AI35" i="62"/>
  <c r="AB35" i="62"/>
  <c r="V126" i="62"/>
  <c r="V127" i="62" s="1"/>
  <c r="AN67" i="63"/>
  <c r="AM67" i="63"/>
  <c r="AA146" i="64"/>
  <c r="AI130" i="64"/>
  <c r="AF134" i="64"/>
  <c r="AI134" i="64"/>
  <c r="AF138" i="64"/>
  <c r="AI138" i="64"/>
  <c r="K93" i="54"/>
  <c r="AA93" i="54"/>
  <c r="AH117" i="58"/>
  <c r="AH85" i="58"/>
  <c r="AH78" i="58"/>
  <c r="AF38" i="58"/>
  <c r="AI38" i="58"/>
  <c r="AA123" i="55"/>
  <c r="AA20" i="56"/>
  <c r="AB68" i="56"/>
  <c r="U126" i="56"/>
  <c r="U127" i="56" s="1"/>
  <c r="T126" i="56"/>
  <c r="T127" i="56" s="1"/>
  <c r="S126" i="56"/>
  <c r="S127" i="56" s="1"/>
  <c r="AM66" i="53"/>
  <c r="AA124" i="57"/>
  <c r="AF124" i="57" s="1"/>
  <c r="AL51" i="61"/>
  <c r="AL37" i="61"/>
  <c r="AL69" i="61"/>
  <c r="AA19" i="62"/>
  <c r="AI91" i="62"/>
  <c r="AF91" i="62"/>
  <c r="AF111" i="62"/>
  <c r="AI111" i="62"/>
  <c r="AB111" i="62"/>
  <c r="AA39" i="63"/>
  <c r="K39" i="63"/>
  <c r="AA80" i="63"/>
  <c r="K80" i="63"/>
  <c r="AA51" i="54"/>
  <c r="K51" i="54"/>
  <c r="AA19" i="58"/>
  <c r="AB67" i="58" s="1"/>
  <c r="AA62" i="58"/>
  <c r="AI59" i="58"/>
  <c r="AF59" i="58"/>
  <c r="AB59" i="58"/>
  <c r="AA63" i="58"/>
  <c r="AF48" i="58"/>
  <c r="AI48" i="58"/>
  <c r="AA125" i="58"/>
  <c r="AA122" i="58"/>
  <c r="AL87" i="11"/>
  <c r="AL38" i="11"/>
  <c r="AL46" i="11"/>
  <c r="AL55" i="11"/>
  <c r="AL41" i="11"/>
  <c r="AL49" i="11"/>
  <c r="AL63" i="11"/>
  <c r="K87" i="51"/>
  <c r="AA16" i="55"/>
  <c r="AA19" i="55"/>
  <c r="AF57" i="55"/>
  <c r="AI66" i="55"/>
  <c r="AA62" i="55"/>
  <c r="AA143" i="55"/>
  <c r="AA124" i="55"/>
  <c r="V126" i="55"/>
  <c r="V127" i="55" s="1"/>
  <c r="AH122" i="55"/>
  <c r="Z16" i="52"/>
  <c r="AA19" i="52"/>
  <c r="AB78" i="52" s="1"/>
  <c r="AL46" i="52"/>
  <c r="AL42" i="52"/>
  <c r="AM66" i="52"/>
  <c r="AL76" i="52"/>
  <c r="AA90" i="52"/>
  <c r="AB37" i="56"/>
  <c r="AB47" i="56"/>
  <c r="AA93" i="56"/>
  <c r="AF85" i="56"/>
  <c r="AI117" i="56"/>
  <c r="Z126" i="56"/>
  <c r="Z127" i="56" s="1"/>
  <c r="R126" i="56"/>
  <c r="R127" i="56" s="1"/>
  <c r="AE122" i="56"/>
  <c r="K43" i="53"/>
  <c r="AK46" i="53"/>
  <c r="AK36" i="53"/>
  <c r="AL79" i="53"/>
  <c r="AB75" i="57"/>
  <c r="AB83" i="57"/>
  <c r="AA82" i="57"/>
  <c r="AA84" i="57" s="1"/>
  <c r="G82" i="57" s="1"/>
  <c r="AA73" i="57"/>
  <c r="AA43" i="57"/>
  <c r="AA44" i="57" s="1"/>
  <c r="G43" i="57" s="1"/>
  <c r="AI100" i="57"/>
  <c r="AI118" i="57"/>
  <c r="AA125" i="57"/>
  <c r="AI130" i="57"/>
  <c r="Z16" i="61"/>
  <c r="AA40" i="61"/>
  <c r="AK42" i="61"/>
  <c r="AK66" i="61"/>
  <c r="AN67" i="61"/>
  <c r="AA72" i="61"/>
  <c r="AK72" i="61"/>
  <c r="AK85" i="61"/>
  <c r="AF35" i="62"/>
  <c r="AF66" i="62"/>
  <c r="AI87" i="62"/>
  <c r="AB87" i="62"/>
  <c r="AI65" i="62"/>
  <c r="AB65" i="62"/>
  <c r="AF110" i="62"/>
  <c r="AB110" i="62"/>
  <c r="AA146" i="62"/>
  <c r="AI130" i="62"/>
  <c r="AF130" i="62"/>
  <c r="AA121" i="64"/>
  <c r="AI121" i="64" s="1"/>
  <c r="AA54" i="54"/>
  <c r="K54" i="54"/>
  <c r="AA63" i="54"/>
  <c r="K63" i="54"/>
  <c r="AA124" i="64"/>
  <c r="AF124" i="64" s="1"/>
  <c r="AK58" i="54"/>
  <c r="AK47" i="54"/>
  <c r="AK37" i="54"/>
  <c r="AM70" i="54"/>
  <c r="AA123" i="58"/>
  <c r="AA55" i="11"/>
  <c r="K55" i="11"/>
  <c r="AA68" i="11"/>
  <c r="AB68" i="11" s="1"/>
  <c r="K68" i="11"/>
  <c r="AA145" i="59"/>
  <c r="AB85" i="59"/>
  <c r="AA88" i="59"/>
  <c r="AI85" i="59"/>
  <c r="AF85" i="59"/>
  <c r="AI55" i="59"/>
  <c r="AF55" i="59"/>
  <c r="AB55" i="59"/>
  <c r="AA44" i="59"/>
  <c r="AF42" i="59"/>
  <c r="AI42" i="59"/>
  <c r="AF104" i="70"/>
  <c r="AI104" i="70"/>
  <c r="AB104" i="70"/>
  <c r="AJ54" i="24"/>
  <c r="AD54" i="24"/>
  <c r="Z16" i="62"/>
  <c r="AF39" i="62"/>
  <c r="AA63" i="62"/>
  <c r="T126" i="62"/>
  <c r="T127" i="62" s="1"/>
  <c r="K47" i="63"/>
  <c r="AL45" i="63"/>
  <c r="AA16" i="64"/>
  <c r="AA19" i="64"/>
  <c r="AB35" i="64"/>
  <c r="AI38" i="64"/>
  <c r="AB49" i="64"/>
  <c r="AB61" i="64"/>
  <c r="AF56" i="64"/>
  <c r="AF66" i="64"/>
  <c r="AF85" i="64"/>
  <c r="AI114" i="64"/>
  <c r="U126" i="64"/>
  <c r="U127" i="64" s="1"/>
  <c r="AG126" i="64"/>
  <c r="K43" i="54"/>
  <c r="AB46" i="54"/>
  <c r="AM46" i="54" s="1"/>
  <c r="AE45" i="54"/>
  <c r="AK57" i="54"/>
  <c r="AL35" i="54"/>
  <c r="AM68" i="54"/>
  <c r="K83" i="54"/>
  <c r="K80" i="54"/>
  <c r="K98" i="54"/>
  <c r="AF94" i="54"/>
  <c r="AI51" i="58"/>
  <c r="AB110" i="58"/>
  <c r="AF111" i="58"/>
  <c r="AI115" i="58"/>
  <c r="U126" i="58"/>
  <c r="U127" i="58" s="1"/>
  <c r="AH125" i="58"/>
  <c r="AA19" i="11"/>
  <c r="AA41" i="11"/>
  <c r="K41" i="11"/>
  <c r="AA51" i="11"/>
  <c r="AF51" i="11" s="1"/>
  <c r="AF50" i="11"/>
  <c r="AK37" i="11"/>
  <c r="AA67" i="65"/>
  <c r="K67" i="65"/>
  <c r="AA20" i="66"/>
  <c r="AI74" i="68"/>
  <c r="AF74" i="68"/>
  <c r="AI55" i="69"/>
  <c r="AF55" i="69"/>
  <c r="AJ35" i="63"/>
  <c r="AF38" i="64"/>
  <c r="AA63" i="64"/>
  <c r="AA52" i="64"/>
  <c r="AA144" i="64"/>
  <c r="AI86" i="64"/>
  <c r="AA125" i="64"/>
  <c r="AI125" i="64" s="1"/>
  <c r="T126" i="64"/>
  <c r="T127" i="64" s="1"/>
  <c r="AL56" i="54"/>
  <c r="AL51" i="54"/>
  <c r="AK45" i="54"/>
  <c r="AA20" i="58"/>
  <c r="AB87" i="58" s="1"/>
  <c r="AF61" i="58"/>
  <c r="AI61" i="58"/>
  <c r="AI92" i="58"/>
  <c r="AI103" i="58"/>
  <c r="AF110" i="58"/>
  <c r="AA124" i="58"/>
  <c r="AN59" i="11"/>
  <c r="B29" i="65"/>
  <c r="B62" i="65"/>
  <c r="AK95" i="65"/>
  <c r="AK66" i="65"/>
  <c r="AK41" i="65"/>
  <c r="AK54" i="65"/>
  <c r="AK49" i="65"/>
  <c r="AK42" i="65"/>
  <c r="AK56" i="65"/>
  <c r="AK64" i="65"/>
  <c r="AK35" i="65"/>
  <c r="AK43" i="65"/>
  <c r="AK50" i="65"/>
  <c r="AK75" i="65"/>
  <c r="AK67" i="65"/>
  <c r="AK51" i="65"/>
  <c r="AK65" i="65"/>
  <c r="AK46" i="65"/>
  <c r="AK40" i="65"/>
  <c r="AM69" i="65"/>
  <c r="AI67" i="66"/>
  <c r="AB67" i="66"/>
  <c r="AF67" i="66"/>
  <c r="AI43" i="69"/>
  <c r="AB43" i="69"/>
  <c r="AM43" i="69" s="1"/>
  <c r="AF43" i="69"/>
  <c r="Z16" i="63"/>
  <c r="AA56" i="63"/>
  <c r="AK44" i="63"/>
  <c r="AF46" i="64"/>
  <c r="AI46" i="64"/>
  <c r="AB59" i="64"/>
  <c r="AI69" i="64"/>
  <c r="AI75" i="64"/>
  <c r="S126" i="64"/>
  <c r="S127" i="64" s="1"/>
  <c r="K47" i="54"/>
  <c r="AF50" i="54"/>
  <c r="AF42" i="54"/>
  <c r="AL43" i="54"/>
  <c r="K69" i="54"/>
  <c r="K87" i="54"/>
  <c r="K84" i="54"/>
  <c r="K105" i="54"/>
  <c r="AB37" i="58"/>
  <c r="AF41" i="58"/>
  <c r="AI40" i="58"/>
  <c r="AI67" i="58"/>
  <c r="AF78" i="58"/>
  <c r="AI108" i="58"/>
  <c r="AH123" i="58"/>
  <c r="AK62" i="11"/>
  <c r="AF102" i="59"/>
  <c r="AB102" i="59"/>
  <c r="AI102" i="59"/>
  <c r="AI88" i="68"/>
  <c r="AF88" i="68"/>
  <c r="AB69" i="70"/>
  <c r="AA71" i="70"/>
  <c r="AF71" i="70" s="1"/>
  <c r="AI69" i="70"/>
  <c r="AF69" i="70"/>
  <c r="AF47" i="70"/>
  <c r="AI47" i="70"/>
  <c r="AB47" i="70"/>
  <c r="AI36" i="70"/>
  <c r="AB36" i="70"/>
  <c r="AB61" i="70"/>
  <c r="AI83" i="70"/>
  <c r="AF83" i="70"/>
  <c r="AF59" i="62"/>
  <c r="AA72" i="62"/>
  <c r="AA20" i="63"/>
  <c r="AJ76" i="63" s="1"/>
  <c r="AL37" i="63"/>
  <c r="AL69" i="63"/>
  <c r="AB41" i="64"/>
  <c r="AI35" i="64"/>
  <c r="AB80" i="64"/>
  <c r="AA143" i="64"/>
  <c r="AI118" i="64"/>
  <c r="Z126" i="64"/>
  <c r="Z127" i="64" s="1"/>
  <c r="R126" i="64"/>
  <c r="R127" i="64" s="1"/>
  <c r="AA16" i="54"/>
  <c r="AA19" i="54"/>
  <c r="AK55" i="54"/>
  <c r="AK50" i="54"/>
  <c r="AK42" i="54"/>
  <c r="AL70" i="54"/>
  <c r="AA65" i="54"/>
  <c r="AA105" i="54"/>
  <c r="AI47" i="58"/>
  <c r="AA144" i="58"/>
  <c r="AB108" i="58"/>
  <c r="Y126" i="58"/>
  <c r="Y127" i="58" s="1"/>
  <c r="Q126" i="58"/>
  <c r="Q127" i="58" s="1"/>
  <c r="AA20" i="11"/>
  <c r="AI107" i="59"/>
  <c r="AF107" i="59"/>
  <c r="AB39" i="67"/>
  <c r="AF39" i="67"/>
  <c r="AB35" i="69"/>
  <c r="AM35" i="69" s="1"/>
  <c r="AF35" i="69"/>
  <c r="AI35" i="69"/>
  <c r="K41" i="15"/>
  <c r="AA41" i="15"/>
  <c r="AK48" i="24"/>
  <c r="AK45" i="24"/>
  <c r="AK37" i="24"/>
  <c r="AK46" i="24"/>
  <c r="AK38" i="24"/>
  <c r="AK34" i="24"/>
  <c r="AK43" i="24"/>
  <c r="AK47" i="24"/>
  <c r="AK36" i="24"/>
  <c r="AK40" i="24"/>
  <c r="Z34" i="24"/>
  <c r="K34" i="24"/>
  <c r="AA20" i="64"/>
  <c r="AA20" i="54"/>
  <c r="AN64" i="54"/>
  <c r="AE47" i="58"/>
  <c r="AB78" i="58"/>
  <c r="AH121" i="58"/>
  <c r="AK86" i="11"/>
  <c r="AK69" i="11"/>
  <c r="AK77" i="11"/>
  <c r="AK84" i="11"/>
  <c r="AK40" i="11"/>
  <c r="AK45" i="11"/>
  <c r="AF72" i="59"/>
  <c r="AA46" i="65"/>
  <c r="AI46" i="65" s="1"/>
  <c r="K46" i="65"/>
  <c r="AK48" i="65"/>
  <c r="AI68" i="65"/>
  <c r="AF68" i="65"/>
  <c r="AK83" i="65"/>
  <c r="AB98" i="66"/>
  <c r="AF98" i="66"/>
  <c r="AI98" i="66"/>
  <c r="Z16" i="67"/>
  <c r="AA16" i="67"/>
  <c r="AI47" i="69"/>
  <c r="AB47" i="69"/>
  <c r="AI51" i="69"/>
  <c r="AF51" i="69"/>
  <c r="AF50" i="62"/>
  <c r="AF117" i="62"/>
  <c r="AA44" i="63"/>
  <c r="AL53" i="63"/>
  <c r="AK36" i="63"/>
  <c r="AM66" i="63"/>
  <c r="AA72" i="63"/>
  <c r="AI41" i="64"/>
  <c r="AF51" i="64"/>
  <c r="AF59" i="64"/>
  <c r="AF77" i="64"/>
  <c r="Y126" i="64"/>
  <c r="Y127" i="64" s="1"/>
  <c r="AA123" i="64"/>
  <c r="X126" i="64"/>
  <c r="X127" i="64" s="1"/>
  <c r="P126" i="64"/>
  <c r="P127" i="64" s="1"/>
  <c r="AD126" i="64"/>
  <c r="AF132" i="64"/>
  <c r="AL54" i="54"/>
  <c r="AK49" i="54"/>
  <c r="AK39" i="54"/>
  <c r="K70" i="54"/>
  <c r="AN65" i="54"/>
  <c r="AA101" i="54"/>
  <c r="AF102" i="54"/>
  <c r="AE65" i="58"/>
  <c r="AA52" i="58"/>
  <c r="AA143" i="58"/>
  <c r="X126" i="58"/>
  <c r="X127" i="58" s="1"/>
  <c r="P126" i="58"/>
  <c r="P127" i="58" s="1"/>
  <c r="W126" i="58"/>
  <c r="W127" i="58" s="1"/>
  <c r="AA121" i="58"/>
  <c r="AA38" i="11"/>
  <c r="AM61" i="11"/>
  <c r="AA125" i="59"/>
  <c r="AF125" i="59" s="1"/>
  <c r="AB80" i="68"/>
  <c r="AI80" i="68"/>
  <c r="AF80" i="68"/>
  <c r="K39" i="69"/>
  <c r="AA39" i="69"/>
  <c r="K83" i="11"/>
  <c r="K81" i="11"/>
  <c r="AD126" i="59"/>
  <c r="K68" i="65"/>
  <c r="K99" i="65"/>
  <c r="AA35" i="67"/>
  <c r="AI98" i="68"/>
  <c r="AI104" i="68"/>
  <c r="AA19" i="69"/>
  <c r="AF35" i="70"/>
  <c r="AI35" i="70"/>
  <c r="AB103" i="70"/>
  <c r="AF103" i="70"/>
  <c r="AH64" i="15"/>
  <c r="AH61" i="15"/>
  <c r="AH38" i="15"/>
  <c r="AH58" i="15"/>
  <c r="AH72" i="15"/>
  <c r="AH51" i="15"/>
  <c r="AH35" i="15"/>
  <c r="AF38" i="15"/>
  <c r="AI38" i="15"/>
  <c r="K37" i="24"/>
  <c r="Z37" i="24"/>
  <c r="U62" i="24"/>
  <c r="Z57" i="24"/>
  <c r="AE57" i="24" s="1"/>
  <c r="AG70" i="19"/>
  <c r="AH51" i="19"/>
  <c r="K49" i="11"/>
  <c r="K46" i="11"/>
  <c r="AH42" i="11"/>
  <c r="AA63" i="11"/>
  <c r="AA90" i="11" s="1"/>
  <c r="AK63" i="11"/>
  <c r="AA20" i="59"/>
  <c r="AI69" i="59"/>
  <c r="AI77" i="59"/>
  <c r="AA82" i="59"/>
  <c r="AB110" i="59"/>
  <c r="AB116" i="59"/>
  <c r="AA16" i="65"/>
  <c r="K54" i="65"/>
  <c r="K51" i="65"/>
  <c r="K38" i="65"/>
  <c r="K35" i="65"/>
  <c r="AE37" i="65"/>
  <c r="AH53" i="65"/>
  <c r="AH39" i="65"/>
  <c r="AF60" i="65"/>
  <c r="AN61" i="65"/>
  <c r="AM62" i="65"/>
  <c r="AK70" i="65"/>
  <c r="AA83" i="65"/>
  <c r="K93" i="65"/>
  <c r="AI47" i="66"/>
  <c r="AE59" i="66"/>
  <c r="AI58" i="66"/>
  <c r="AF66" i="66"/>
  <c r="AF101" i="66"/>
  <c r="AH118" i="66"/>
  <c r="AA142" i="66"/>
  <c r="AF47" i="67"/>
  <c r="X115" i="68"/>
  <c r="P115" i="68"/>
  <c r="AH49" i="68"/>
  <c r="AF49" i="68"/>
  <c r="AF70" i="68"/>
  <c r="AA71" i="68"/>
  <c r="AI71" i="68" s="1"/>
  <c r="AF69" i="68"/>
  <c r="AH97" i="68"/>
  <c r="X112" i="68"/>
  <c r="X113" i="68" s="1"/>
  <c r="AA109" i="68"/>
  <c r="W112" i="68"/>
  <c r="W113" i="68" s="1"/>
  <c r="AA108" i="68"/>
  <c r="AB39" i="70"/>
  <c r="AI67" i="70"/>
  <c r="AF67" i="70"/>
  <c r="Z16" i="15"/>
  <c r="AB37" i="15"/>
  <c r="AF37" i="15"/>
  <c r="AA69" i="15"/>
  <c r="K69" i="15"/>
  <c r="AI59" i="18"/>
  <c r="AB59" i="18"/>
  <c r="AF59" i="18"/>
  <c r="AF61" i="18"/>
  <c r="AI61" i="18"/>
  <c r="AB61" i="18"/>
  <c r="AA66" i="18"/>
  <c r="AI63" i="18"/>
  <c r="AF63" i="18"/>
  <c r="K36" i="21"/>
  <c r="AA36" i="21"/>
  <c r="AA40" i="30"/>
  <c r="K40" i="30"/>
  <c r="AA124" i="59"/>
  <c r="AI124" i="59" s="1"/>
  <c r="AH45" i="65"/>
  <c r="AH37" i="65"/>
  <c r="AM79" i="65"/>
  <c r="AH59" i="66"/>
  <c r="AF76" i="66"/>
  <c r="AA120" i="66"/>
  <c r="AA51" i="67"/>
  <c r="AH44" i="67"/>
  <c r="W115" i="68"/>
  <c r="O115" i="68"/>
  <c r="AD112" i="68"/>
  <c r="AA20" i="69"/>
  <c r="AJ43" i="69" s="1"/>
  <c r="AA20" i="70"/>
  <c r="AB83" i="70" s="1"/>
  <c r="AI103" i="70"/>
  <c r="AH37" i="15"/>
  <c r="U58" i="24"/>
  <c r="AI48" i="19"/>
  <c r="AF48" i="19"/>
  <c r="AA50" i="28"/>
  <c r="K50" i="28"/>
  <c r="K43" i="29"/>
  <c r="AA43" i="29"/>
  <c r="Z16" i="11"/>
  <c r="K77" i="11"/>
  <c r="AI39" i="59"/>
  <c r="AI49" i="59"/>
  <c r="AB79" i="59"/>
  <c r="AB99" i="59"/>
  <c r="AF100" i="59"/>
  <c r="AB109" i="59"/>
  <c r="AI110" i="59"/>
  <c r="AB115" i="59"/>
  <c r="X126" i="59"/>
  <c r="X127" i="59" s="1"/>
  <c r="P126" i="59"/>
  <c r="P127" i="59" s="1"/>
  <c r="AA70" i="65"/>
  <c r="Z16" i="66"/>
  <c r="AB41" i="66"/>
  <c r="AH49" i="66"/>
  <c r="AF47" i="66"/>
  <c r="AI45" i="66"/>
  <c r="AH57" i="66"/>
  <c r="AI69" i="66"/>
  <c r="AA72" i="66"/>
  <c r="AF75" i="66"/>
  <c r="AB101" i="66"/>
  <c r="AF100" i="66"/>
  <c r="AI109" i="66"/>
  <c r="AF132" i="66"/>
  <c r="AA20" i="67"/>
  <c r="AK42" i="67"/>
  <c r="V115" i="68"/>
  <c r="AH46" i="68"/>
  <c r="AI58" i="68"/>
  <c r="AI69" i="68"/>
  <c r="AI57" i="68"/>
  <c r="AB57" i="68"/>
  <c r="AE52" i="69"/>
  <c r="AB35" i="70"/>
  <c r="AB66" i="70"/>
  <c r="AI65" i="70"/>
  <c r="AF65" i="70"/>
  <c r="AB65" i="70"/>
  <c r="AB51" i="70"/>
  <c r="AA111" i="70"/>
  <c r="AA36" i="15"/>
  <c r="AI36" i="15" s="1"/>
  <c r="K36" i="15"/>
  <c r="T58" i="24"/>
  <c r="X58" i="24"/>
  <c r="P58" i="24"/>
  <c r="AA69" i="19"/>
  <c r="AB64" i="19"/>
  <c r="AN64" i="19" s="1"/>
  <c r="AF91" i="59"/>
  <c r="AI99" i="59"/>
  <c r="AF115" i="59"/>
  <c r="AI116" i="59"/>
  <c r="AF74" i="66"/>
  <c r="AH109" i="66"/>
  <c r="X122" i="66"/>
  <c r="X123" i="66" s="1"/>
  <c r="O122" i="66"/>
  <c r="AH52" i="67"/>
  <c r="U115" i="68"/>
  <c r="AB58" i="68"/>
  <c r="AI68" i="68"/>
  <c r="AF91" i="68"/>
  <c r="AI91" i="68"/>
  <c r="AA111" i="68"/>
  <c r="T112" i="68"/>
  <c r="T113" i="68" s="1"/>
  <c r="AA41" i="69"/>
  <c r="K41" i="69"/>
  <c r="AM45" i="15"/>
  <c r="K56" i="15"/>
  <c r="AA56" i="15"/>
  <c r="AH60" i="15"/>
  <c r="AD52" i="24"/>
  <c r="AJ52" i="24"/>
  <c r="AA48" i="22"/>
  <c r="K48" i="22"/>
  <c r="AN58" i="11"/>
  <c r="AH36" i="59"/>
  <c r="AI37" i="59"/>
  <c r="AB48" i="59"/>
  <c r="AF49" i="59"/>
  <c r="AI47" i="59"/>
  <c r="AF60" i="59"/>
  <c r="AB77" i="59"/>
  <c r="AA93" i="59"/>
  <c r="AA94" i="59"/>
  <c r="AF94" i="59" s="1"/>
  <c r="AI109" i="59"/>
  <c r="AF138" i="59"/>
  <c r="AE52" i="65"/>
  <c r="AH55" i="65"/>
  <c r="AL41" i="65"/>
  <c r="AN69" i="65"/>
  <c r="AA75" i="65"/>
  <c r="K94" i="65"/>
  <c r="AA19" i="66"/>
  <c r="AB51" i="66"/>
  <c r="AB66" i="66"/>
  <c r="AH66" i="66"/>
  <c r="AA139" i="66"/>
  <c r="AF84" i="66"/>
  <c r="V122" i="66"/>
  <c r="V123" i="66" s="1"/>
  <c r="U122" i="66"/>
  <c r="U123" i="66" s="1"/>
  <c r="AK51" i="67"/>
  <c r="AK39" i="67"/>
  <c r="Z16" i="68"/>
  <c r="AA20" i="68"/>
  <c r="AD20" i="68" s="1"/>
  <c r="AB38" i="68"/>
  <c r="AH58" i="68"/>
  <c r="AB68" i="68"/>
  <c r="AI66" i="68"/>
  <c r="AA119" i="68"/>
  <c r="AH110" i="68"/>
  <c r="AI66" i="70"/>
  <c r="U112" i="70"/>
  <c r="U113" i="70" s="1"/>
  <c r="AD112" i="70"/>
  <c r="AA74" i="11"/>
  <c r="AI74" i="11" s="1"/>
  <c r="AA81" i="11"/>
  <c r="AF81" i="11" s="1"/>
  <c r="AA19" i="59"/>
  <c r="AH35" i="59"/>
  <c r="AF59" i="59"/>
  <c r="AI59" i="59"/>
  <c r="AF114" i="59"/>
  <c r="AA20" i="65"/>
  <c r="AJ47" i="65" s="1"/>
  <c r="AE40" i="65"/>
  <c r="K65" i="65"/>
  <c r="AN62" i="65"/>
  <c r="AM65" i="65"/>
  <c r="K77" i="65"/>
  <c r="AF87" i="65"/>
  <c r="AA52" i="66"/>
  <c r="AF90" i="66"/>
  <c r="AI105" i="66"/>
  <c r="AA118" i="66"/>
  <c r="K48" i="67"/>
  <c r="AK50" i="67"/>
  <c r="AH36" i="67"/>
  <c r="S115" i="68"/>
  <c r="AI49" i="68"/>
  <c r="AH57" i="68"/>
  <c r="AB67" i="68"/>
  <c r="AA63" i="68"/>
  <c r="AA52" i="68"/>
  <c r="AI105" i="68"/>
  <c r="AF105" i="68"/>
  <c r="Z112" i="68"/>
  <c r="Z113" i="68" s="1"/>
  <c r="R112" i="68"/>
  <c r="R113" i="68" s="1"/>
  <c r="K55" i="69"/>
  <c r="AE48" i="69"/>
  <c r="AH55" i="69"/>
  <c r="AI50" i="70"/>
  <c r="AA63" i="70"/>
  <c r="AA62" i="70"/>
  <c r="AI37" i="70"/>
  <c r="AB37" i="70"/>
  <c r="AI105" i="70"/>
  <c r="AF105" i="70"/>
  <c r="AB105" i="70"/>
  <c r="AA19" i="15"/>
  <c r="AB38" i="15" s="1"/>
  <c r="K38" i="15"/>
  <c r="AH41" i="15"/>
  <c r="AA49" i="19"/>
  <c r="K49" i="19"/>
  <c r="AA44" i="19"/>
  <c r="AI44" i="19" s="1"/>
  <c r="AE51" i="19"/>
  <c r="AD70" i="19"/>
  <c r="AI51" i="23"/>
  <c r="AF51" i="23"/>
  <c r="AA38" i="25"/>
  <c r="K35" i="26"/>
  <c r="AA35" i="26"/>
  <c r="AF35" i="26" s="1"/>
  <c r="AA44" i="27"/>
  <c r="K44" i="27"/>
  <c r="AA37" i="31"/>
  <c r="AB50" i="34"/>
  <c r="AI50" i="34"/>
  <c r="AF50" i="34"/>
  <c r="AN45" i="15"/>
  <c r="AF62" i="24"/>
  <c r="W58" i="24"/>
  <c r="O58" i="24"/>
  <c r="AC62" i="24"/>
  <c r="AA16" i="18"/>
  <c r="B29" i="19"/>
  <c r="AA41" i="19"/>
  <c r="AF41" i="19" s="1"/>
  <c r="AM50" i="19"/>
  <c r="AA20" i="20"/>
  <c r="AK62" i="21"/>
  <c r="AK71" i="21"/>
  <c r="AK48" i="21"/>
  <c r="AK43" i="21"/>
  <c r="AK39" i="21"/>
  <c r="AK69" i="21"/>
  <c r="AK52" i="21"/>
  <c r="AK37" i="21"/>
  <c r="AK44" i="21"/>
  <c r="AK73" i="21"/>
  <c r="AK66" i="21"/>
  <c r="AK55" i="21"/>
  <c r="AK47" i="21"/>
  <c r="AK53" i="21"/>
  <c r="AK38" i="21"/>
  <c r="AK56" i="21"/>
  <c r="AA64" i="21"/>
  <c r="K64" i="21"/>
  <c r="AI69" i="21"/>
  <c r="AB69" i="21"/>
  <c r="AM69" i="21" s="1"/>
  <c r="AN74" i="23"/>
  <c r="AA41" i="25"/>
  <c r="K41" i="25"/>
  <c r="AA38" i="26"/>
  <c r="AF38" i="26" s="1"/>
  <c r="K38" i="26"/>
  <c r="AA58" i="28"/>
  <c r="K58" i="28"/>
  <c r="AA19" i="29"/>
  <c r="AA19" i="31"/>
  <c r="AB34" i="31" s="1"/>
  <c r="K34" i="31"/>
  <c r="AA34" i="31"/>
  <c r="K48" i="36"/>
  <c r="AA48" i="36"/>
  <c r="AA51" i="36"/>
  <c r="K51" i="36"/>
  <c r="AF90" i="70"/>
  <c r="AB106" i="70"/>
  <c r="AI106" i="70"/>
  <c r="AM50" i="15"/>
  <c r="AK64" i="15"/>
  <c r="V58" i="24"/>
  <c r="N58" i="24"/>
  <c r="AK55" i="24"/>
  <c r="AK53" i="24"/>
  <c r="X62" i="24"/>
  <c r="P62" i="24"/>
  <c r="K38" i="18"/>
  <c r="AK62" i="19"/>
  <c r="AK55" i="19"/>
  <c r="K39" i="19"/>
  <c r="K36" i="19"/>
  <c r="K48" i="19"/>
  <c r="AM49" i="19"/>
  <c r="AK47" i="19"/>
  <c r="AK67" i="20"/>
  <c r="AK50" i="20"/>
  <c r="AK66" i="20"/>
  <c r="AK55" i="20"/>
  <c r="AK41" i="20"/>
  <c r="K41" i="20"/>
  <c r="AI41" i="20"/>
  <c r="AK44" i="20"/>
  <c r="K60" i="20"/>
  <c r="AF71" i="21"/>
  <c r="AM52" i="22"/>
  <c r="AN52" i="22"/>
  <c r="AA93" i="23"/>
  <c r="AA89" i="23"/>
  <c r="AA85" i="23"/>
  <c r="AB85" i="23" s="1"/>
  <c r="AA81" i="23"/>
  <c r="AA77" i="23"/>
  <c r="U96" i="23"/>
  <c r="U100" i="23" s="1"/>
  <c r="Y96" i="23"/>
  <c r="Y100" i="23" s="1"/>
  <c r="Q96" i="23"/>
  <c r="Q100" i="23" s="1"/>
  <c r="AF53" i="29"/>
  <c r="AI53" i="29"/>
  <c r="AI36" i="34"/>
  <c r="AB36" i="34"/>
  <c r="AF36" i="34"/>
  <c r="AA60" i="36"/>
  <c r="K60" i="36"/>
  <c r="AI64" i="36"/>
  <c r="AB64" i="36"/>
  <c r="AM64" i="36" s="1"/>
  <c r="AA19" i="70"/>
  <c r="AA52" i="70"/>
  <c r="AA117" i="70"/>
  <c r="AB90" i="70"/>
  <c r="AE90" i="70"/>
  <c r="K60" i="15"/>
  <c r="AK63" i="15"/>
  <c r="AL57" i="15"/>
  <c r="Y58" i="24"/>
  <c r="Q58" i="24"/>
  <c r="AK57" i="24"/>
  <c r="AE48" i="18"/>
  <c r="Z16" i="19"/>
  <c r="AA51" i="19"/>
  <c r="AB66" i="19"/>
  <c r="AA51" i="20"/>
  <c r="K51" i="20"/>
  <c r="K48" i="20"/>
  <c r="AA48" i="20"/>
  <c r="AL63" i="21"/>
  <c r="AL54" i="21"/>
  <c r="AL36" i="21"/>
  <c r="AL71" i="21"/>
  <c r="AL48" i="21"/>
  <c r="AL39" i="21"/>
  <c r="AL69" i="21"/>
  <c r="AL37" i="21"/>
  <c r="AL44" i="21"/>
  <c r="AL55" i="21"/>
  <c r="AI40" i="21"/>
  <c r="AF40" i="21"/>
  <c r="AA47" i="21"/>
  <c r="K47" i="21"/>
  <c r="AK74" i="21"/>
  <c r="AN51" i="22"/>
  <c r="AA49" i="23"/>
  <c r="K49" i="23"/>
  <c r="AB51" i="23"/>
  <c r="AN51" i="23" s="1"/>
  <c r="AA50" i="25"/>
  <c r="K50" i="25"/>
  <c r="K47" i="26"/>
  <c r="AA47" i="26"/>
  <c r="AA74" i="26" s="1"/>
  <c r="K36" i="26"/>
  <c r="AA36" i="26"/>
  <c r="AI36" i="26" s="1"/>
  <c r="AK58" i="36"/>
  <c r="AK47" i="36"/>
  <c r="AK35" i="36"/>
  <c r="AK59" i="36"/>
  <c r="AK36" i="36"/>
  <c r="AK60" i="36"/>
  <c r="AK45" i="36"/>
  <c r="AK37" i="36"/>
  <c r="AK46" i="36"/>
  <c r="P112" i="70"/>
  <c r="P113" i="70" s="1"/>
  <c r="AK41" i="15"/>
  <c r="AK37" i="15"/>
  <c r="AN48" i="15"/>
  <c r="AK70" i="15"/>
  <c r="Z35" i="24"/>
  <c r="Y62" i="24"/>
  <c r="Q62" i="24"/>
  <c r="V62" i="24"/>
  <c r="N62" i="24"/>
  <c r="AA20" i="19"/>
  <c r="AL35" i="19"/>
  <c r="AA59" i="19"/>
  <c r="AF59" i="19" s="1"/>
  <c r="K62" i="19"/>
  <c r="AL64" i="20"/>
  <c r="AL50" i="20"/>
  <c r="AL51" i="20"/>
  <c r="AL60" i="20"/>
  <c r="AL48" i="20"/>
  <c r="AL43" i="20"/>
  <c r="AF60" i="20"/>
  <c r="AB60" i="20"/>
  <c r="AM60" i="20" s="1"/>
  <c r="Z16" i="21"/>
  <c r="AA16" i="21"/>
  <c r="AB41" i="21"/>
  <c r="AN37" i="21"/>
  <c r="AM37" i="21"/>
  <c r="AI41" i="21"/>
  <c r="AK36" i="21"/>
  <c r="AK54" i="21"/>
  <c r="AA54" i="21"/>
  <c r="AI54" i="21" s="1"/>
  <c r="AF65" i="21"/>
  <c r="AI65" i="21"/>
  <c r="AB65" i="21"/>
  <c r="AN65" i="21" s="1"/>
  <c r="AB70" i="21"/>
  <c r="AF70" i="21"/>
  <c r="K50" i="23"/>
  <c r="AM57" i="23"/>
  <c r="AN57" i="23"/>
  <c r="AA20" i="26"/>
  <c r="AK54" i="26"/>
  <c r="AK71" i="26"/>
  <c r="AK61" i="26"/>
  <c r="AK36" i="26"/>
  <c r="AK62" i="26"/>
  <c r="AK40" i="26"/>
  <c r="AK64" i="26"/>
  <c r="AK51" i="26"/>
  <c r="AK65" i="26"/>
  <c r="AK42" i="26"/>
  <c r="AK67" i="26"/>
  <c r="AK43" i="26"/>
  <c r="AK53" i="26"/>
  <c r="AK68" i="26"/>
  <c r="AK44" i="26"/>
  <c r="AK57" i="26"/>
  <c r="AK45" i="26"/>
  <c r="AI72" i="26"/>
  <c r="AF72" i="26"/>
  <c r="AA65" i="29"/>
  <c r="K65" i="29"/>
  <c r="K61" i="29"/>
  <c r="AK61" i="15"/>
  <c r="B29" i="18"/>
  <c r="AA44" i="18"/>
  <c r="AN50" i="19"/>
  <c r="AB55" i="19"/>
  <c r="AF55" i="19"/>
  <c r="AA55" i="20"/>
  <c r="K55" i="20"/>
  <c r="AI63" i="20"/>
  <c r="AB63" i="20"/>
  <c r="AM63" i="20" s="1"/>
  <c r="AI44" i="21"/>
  <c r="AF44" i="21"/>
  <c r="AB44" i="21"/>
  <c r="AM44" i="21" s="1"/>
  <c r="AI73" i="21"/>
  <c r="AB73" i="21"/>
  <c r="AI40" i="22"/>
  <c r="AB40" i="22"/>
  <c r="AM40" i="22" s="1"/>
  <c r="AI35" i="23"/>
  <c r="AB35" i="23"/>
  <c r="AF35" i="23"/>
  <c r="AB43" i="23"/>
  <c r="AI43" i="23"/>
  <c r="AF34" i="25"/>
  <c r="AF38" i="27"/>
  <c r="K45" i="30"/>
  <c r="AA45" i="30"/>
  <c r="K46" i="33"/>
  <c r="AA46" i="33"/>
  <c r="AA42" i="68"/>
  <c r="AA110" i="68"/>
  <c r="AI110" i="68" s="1"/>
  <c r="AA53" i="70"/>
  <c r="AI88" i="70"/>
  <c r="AK40" i="15"/>
  <c r="AK36" i="15"/>
  <c r="AN50" i="15"/>
  <c r="AL48" i="15"/>
  <c r="AK56" i="15"/>
  <c r="AL69" i="15"/>
  <c r="AD60" i="24"/>
  <c r="W62" i="24"/>
  <c r="O62" i="24"/>
  <c r="Z56" i="24"/>
  <c r="Z52" i="24"/>
  <c r="T62" i="24"/>
  <c r="AA43" i="18"/>
  <c r="AL44" i="19"/>
  <c r="AK39" i="19"/>
  <c r="AF50" i="19"/>
  <c r="AK57" i="19"/>
  <c r="AK37" i="20"/>
  <c r="AK62" i="20"/>
  <c r="AK35" i="21"/>
  <c r="AL53" i="21"/>
  <c r="AF36" i="22"/>
  <c r="AB36" i="22"/>
  <c r="AM36" i="22" s="1"/>
  <c r="AA57" i="26"/>
  <c r="AI57" i="26" s="1"/>
  <c r="K57" i="26"/>
  <c r="AA20" i="27"/>
  <c r="AE40" i="27"/>
  <c r="AE34" i="27"/>
  <c r="AE42" i="27"/>
  <c r="AE43" i="27"/>
  <c r="K38" i="27"/>
  <c r="K47" i="28"/>
  <c r="AA47" i="28"/>
  <c r="AI47" i="28" s="1"/>
  <c r="AA37" i="29"/>
  <c r="AI37" i="29" s="1"/>
  <c r="K37" i="29"/>
  <c r="AF61" i="29"/>
  <c r="AI61" i="29"/>
  <c r="AA47" i="36"/>
  <c r="AF47" i="36" s="1"/>
  <c r="K47" i="36"/>
  <c r="Z16" i="22"/>
  <c r="K68" i="22"/>
  <c r="AJ53" i="23"/>
  <c r="AE54" i="26"/>
  <c r="AE52" i="26"/>
  <c r="AE65" i="26"/>
  <c r="AE38" i="26"/>
  <c r="AE51" i="26"/>
  <c r="AK59" i="28"/>
  <c r="AK39" i="28"/>
  <c r="AK35" i="28"/>
  <c r="Z16" i="29"/>
  <c r="AL51" i="30"/>
  <c r="AL60" i="30"/>
  <c r="AL38" i="30"/>
  <c r="AL47" i="30"/>
  <c r="AL52" i="30"/>
  <c r="AL40" i="30"/>
  <c r="AL53" i="30"/>
  <c r="AL69" i="30"/>
  <c r="AL39" i="30"/>
  <c r="AA21" i="33"/>
  <c r="AJ43" i="33" s="1"/>
  <c r="R60" i="34"/>
  <c r="AN35" i="35"/>
  <c r="AM35" i="35"/>
  <c r="AN42" i="20"/>
  <c r="K44" i="21"/>
  <c r="K41" i="21"/>
  <c r="AN49" i="21"/>
  <c r="K69" i="21"/>
  <c r="AA20" i="22"/>
  <c r="K43" i="22"/>
  <c r="AL39" i="22"/>
  <c r="K47" i="22"/>
  <c r="AK50" i="22"/>
  <c r="AN49" i="22"/>
  <c r="AK64" i="22"/>
  <c r="AA20" i="23"/>
  <c r="AJ36" i="23" s="1"/>
  <c r="AE34" i="23"/>
  <c r="AL46" i="23"/>
  <c r="K61" i="23"/>
  <c r="T96" i="23"/>
  <c r="T100" i="23" s="1"/>
  <c r="X96" i="23"/>
  <c r="X100" i="23" s="1"/>
  <c r="P96" i="23"/>
  <c r="P100" i="23" s="1"/>
  <c r="K46" i="25"/>
  <c r="AK38" i="25"/>
  <c r="AL34" i="25"/>
  <c r="K43" i="26"/>
  <c r="AE35" i="26"/>
  <c r="AE45" i="26"/>
  <c r="AE61" i="26"/>
  <c r="AE45" i="27"/>
  <c r="AK42" i="28"/>
  <c r="AK49" i="28"/>
  <c r="AK54" i="28"/>
  <c r="AF69" i="29"/>
  <c r="AI66" i="29"/>
  <c r="AA57" i="30"/>
  <c r="K57" i="30"/>
  <c r="AL62" i="30"/>
  <c r="AA20" i="31"/>
  <c r="AJ35" i="31" s="1"/>
  <c r="AE35" i="31"/>
  <c r="AE36" i="31"/>
  <c r="AA16" i="32"/>
  <c r="X60" i="34"/>
  <c r="P60" i="34"/>
  <c r="Z60" i="34"/>
  <c r="AA19" i="35"/>
  <c r="AA20" i="21"/>
  <c r="AJ44" i="21" s="1"/>
  <c r="AA58" i="21"/>
  <c r="AI53" i="23"/>
  <c r="AA56" i="23"/>
  <c r="AN67" i="23"/>
  <c r="AA92" i="23"/>
  <c r="AI92" i="23" s="1"/>
  <c r="AA88" i="23"/>
  <c r="AA84" i="23"/>
  <c r="AA80" i="23"/>
  <c r="AB80" i="23" s="1"/>
  <c r="AA90" i="23"/>
  <c r="AA82" i="23"/>
  <c r="AA20" i="25"/>
  <c r="K40" i="26"/>
  <c r="AA40" i="26"/>
  <c r="AE42" i="26"/>
  <c r="AA53" i="26"/>
  <c r="AE60" i="26"/>
  <c r="AK64" i="28"/>
  <c r="AK60" i="29"/>
  <c r="AK45" i="29"/>
  <c r="AK55" i="29"/>
  <c r="AK69" i="29"/>
  <c r="AK41" i="29"/>
  <c r="Z16" i="30"/>
  <c r="AL61" i="30"/>
  <c r="AA19" i="33"/>
  <c r="AK43" i="34"/>
  <c r="AK36" i="34"/>
  <c r="AA58" i="34"/>
  <c r="AI58" i="34" s="1"/>
  <c r="AM45" i="35"/>
  <c r="AL51" i="36"/>
  <c r="AL52" i="36"/>
  <c r="AL48" i="36"/>
  <c r="AL36" i="36"/>
  <c r="AL37" i="36"/>
  <c r="AL38" i="36"/>
  <c r="AA56" i="36"/>
  <c r="K56" i="36"/>
  <c r="K34" i="20"/>
  <c r="AA16" i="22"/>
  <c r="AA19" i="22"/>
  <c r="AB62" i="22" s="1"/>
  <c r="AL56" i="22"/>
  <c r="AA46" i="23"/>
  <c r="AK49" i="25"/>
  <c r="AK46" i="25"/>
  <c r="AK37" i="25"/>
  <c r="AE41" i="26"/>
  <c r="AA52" i="26"/>
  <c r="AI52" i="26" s="1"/>
  <c r="K39" i="28"/>
  <c r="AA39" i="28"/>
  <c r="AI39" i="28" s="1"/>
  <c r="AA39" i="29"/>
  <c r="K39" i="29"/>
  <c r="AF50" i="29"/>
  <c r="AL46" i="30"/>
  <c r="AA63" i="30"/>
  <c r="AH50" i="35"/>
  <c r="AL50" i="35"/>
  <c r="AA40" i="36"/>
  <c r="K40" i="36"/>
  <c r="AA46" i="36"/>
  <c r="K46" i="36"/>
  <c r="K43" i="36"/>
  <c r="AA43" i="36"/>
  <c r="AI43" i="36" s="1"/>
  <c r="K59" i="36"/>
  <c r="AA59" i="36"/>
  <c r="AF59" i="36" s="1"/>
  <c r="AL60" i="36"/>
  <c r="AA16" i="20"/>
  <c r="AE44" i="20"/>
  <c r="AN56" i="21"/>
  <c r="B29" i="22"/>
  <c r="AK38" i="22"/>
  <c r="AL49" i="22"/>
  <c r="AA56" i="22"/>
  <c r="AB56" i="22" s="1"/>
  <c r="AM54" i="22"/>
  <c r="AM46" i="22"/>
  <c r="AE56" i="22"/>
  <c r="AF62" i="22"/>
  <c r="Z16" i="23"/>
  <c r="AA44" i="23"/>
  <c r="AJ44" i="23" s="1"/>
  <c r="AE38" i="23"/>
  <c r="AJ71" i="23"/>
  <c r="AA72" i="23"/>
  <c r="AM60" i="23"/>
  <c r="AN66" i="23"/>
  <c r="AA91" i="23"/>
  <c r="AA87" i="23"/>
  <c r="AA83" i="23"/>
  <c r="AA79" i="23"/>
  <c r="AK45" i="25"/>
  <c r="AL40" i="25"/>
  <c r="AK52" i="25"/>
  <c r="AD54" i="25"/>
  <c r="AA44" i="26"/>
  <c r="AH42" i="26"/>
  <c r="AA63" i="26"/>
  <c r="AI63" i="26" s="1"/>
  <c r="K63" i="26"/>
  <c r="AE69" i="26"/>
  <c r="AE57" i="26"/>
  <c r="AE72" i="26"/>
  <c r="AA36" i="28"/>
  <c r="K36" i="28"/>
  <c r="AF42" i="28"/>
  <c r="AI42" i="28"/>
  <c r="AA54" i="28"/>
  <c r="AL75" i="29"/>
  <c r="AL62" i="29"/>
  <c r="AL71" i="29"/>
  <c r="AL54" i="29"/>
  <c r="AL38" i="29"/>
  <c r="AL60" i="29"/>
  <c r="AL64" i="29"/>
  <c r="AL39" i="29"/>
  <c r="AL50" i="29"/>
  <c r="AL56" i="29"/>
  <c r="AL61" i="29"/>
  <c r="AL70" i="29"/>
  <c r="AL42" i="29"/>
  <c r="AA60" i="29"/>
  <c r="K60" i="29"/>
  <c r="AA58" i="29"/>
  <c r="K58" i="29"/>
  <c r="AL72" i="29"/>
  <c r="AL63" i="29"/>
  <c r="AL53" i="29"/>
  <c r="AA55" i="30"/>
  <c r="AA16" i="33"/>
  <c r="Z16" i="33"/>
  <c r="W66" i="33"/>
  <c r="AL51" i="34"/>
  <c r="AL38" i="34"/>
  <c r="AL35" i="34"/>
  <c r="AL37" i="34"/>
  <c r="AN51" i="21"/>
  <c r="AN54" i="21"/>
  <c r="AL58" i="21"/>
  <c r="K70" i="21"/>
  <c r="K35" i="22"/>
  <c r="AK41" i="22"/>
  <c r="AK51" i="22"/>
  <c r="AK49" i="22"/>
  <c r="AA68" i="22"/>
  <c r="AK67" i="22"/>
  <c r="K53" i="23"/>
  <c r="AN71" i="23"/>
  <c r="AM72" i="23"/>
  <c r="AM64" i="23"/>
  <c r="AM56" i="23"/>
  <c r="AK48" i="25"/>
  <c r="AK40" i="25"/>
  <c r="AL36" i="25"/>
  <c r="AG54" i="25"/>
  <c r="K55" i="26"/>
  <c r="AK37" i="27"/>
  <c r="AK35" i="27"/>
  <c r="AA37" i="27"/>
  <c r="K37" i="27"/>
  <c r="AF42" i="27"/>
  <c r="AK38" i="27"/>
  <c r="AD47" i="27"/>
  <c r="AA52" i="28"/>
  <c r="K52" i="28"/>
  <c r="AK63" i="28"/>
  <c r="K52" i="29"/>
  <c r="AK71" i="29"/>
  <c r="AK63" i="29"/>
  <c r="AL70" i="30"/>
  <c r="AL54" i="30"/>
  <c r="AA20" i="32"/>
  <c r="AA35" i="32"/>
  <c r="AB35" i="32" s="1"/>
  <c r="K35" i="32"/>
  <c r="AA35" i="33"/>
  <c r="K35" i="33"/>
  <c r="AE44" i="34"/>
  <c r="AD46" i="34"/>
  <c r="AE46" i="34" s="1"/>
  <c r="AB57" i="34"/>
  <c r="AF57" i="34"/>
  <c r="AE41" i="30"/>
  <c r="AL37" i="31"/>
  <c r="AA19" i="32"/>
  <c r="U53" i="34"/>
  <c r="U60" i="34" s="1"/>
  <c r="S53" i="34"/>
  <c r="S60" i="34" s="1"/>
  <c r="AA63" i="34"/>
  <c r="AA50" i="35"/>
  <c r="AH43" i="27"/>
  <c r="Y69" i="28"/>
  <c r="Q69" i="28"/>
  <c r="AE42" i="29"/>
  <c r="AH46" i="29"/>
  <c r="AE38" i="30"/>
  <c r="AH42" i="30"/>
  <c r="AH35" i="30"/>
  <c r="AE58" i="30"/>
  <c r="AL36" i="31"/>
  <c r="AE53" i="33"/>
  <c r="AK62" i="33"/>
  <c r="AL45" i="33"/>
  <c r="K38" i="35"/>
  <c r="AL41" i="35"/>
  <c r="W52" i="35"/>
  <c r="W59" i="35" s="1"/>
  <c r="K36" i="36"/>
  <c r="AH44" i="36"/>
  <c r="AH38" i="27"/>
  <c r="X69" i="28"/>
  <c r="P69" i="28"/>
  <c r="AE47" i="28"/>
  <c r="AL59" i="28"/>
  <c r="AA64" i="28"/>
  <c r="AL67" i="28"/>
  <c r="AE40" i="29"/>
  <c r="AH60" i="29"/>
  <c r="AA37" i="30"/>
  <c r="AL35" i="31"/>
  <c r="AA38" i="32"/>
  <c r="AA62" i="33"/>
  <c r="AL55" i="33"/>
  <c r="AL57" i="35"/>
  <c r="AL35" i="35"/>
  <c r="V52" i="35"/>
  <c r="V59" i="35" s="1"/>
  <c r="AL55" i="35"/>
  <c r="AA20" i="36"/>
  <c r="AJ45" i="36" s="1"/>
  <c r="AA46" i="34"/>
  <c r="U59" i="35"/>
  <c r="S59" i="35"/>
  <c r="AA62" i="35"/>
  <c r="Z16" i="36"/>
  <c r="AM62" i="23"/>
  <c r="V96" i="23"/>
  <c r="V100" i="23" s="1"/>
  <c r="Z96" i="23"/>
  <c r="Z100" i="23" s="1"/>
  <c r="R96" i="23"/>
  <c r="R100" i="23" s="1"/>
  <c r="AB47" i="25"/>
  <c r="AN47" i="25" s="1"/>
  <c r="AH46" i="25"/>
  <c r="AH40" i="27"/>
  <c r="U69" i="28"/>
  <c r="K62" i="28"/>
  <c r="K44" i="29"/>
  <c r="K41" i="29"/>
  <c r="AH42" i="29"/>
  <c r="K66" i="29"/>
  <c r="AH68" i="29"/>
  <c r="AH58" i="29"/>
  <c r="AE45" i="30"/>
  <c r="K65" i="30"/>
  <c r="AE66" i="30"/>
  <c r="AE37" i="31"/>
  <c r="AL39" i="33"/>
  <c r="W53" i="34"/>
  <c r="W60" i="34" s="1"/>
  <c r="O53" i="34"/>
  <c r="O60" i="34" s="1"/>
  <c r="K45" i="35"/>
  <c r="K38" i="36"/>
  <c r="AH40" i="36"/>
  <c r="Y86" i="37"/>
  <c r="Y88" i="37" s="1"/>
  <c r="Y82" i="37"/>
  <c r="Y84" i="37" s="1"/>
  <c r="Y85" i="37" s="1"/>
  <c r="Y75" i="37"/>
  <c r="Q86" i="37"/>
  <c r="Q88" i="37" s="1"/>
  <c r="Q82" i="37"/>
  <c r="Q84" i="37" s="1"/>
  <c r="Q85" i="37" s="1"/>
  <c r="Q75" i="37"/>
  <c r="AE49" i="37"/>
  <c r="Z50" i="37"/>
  <c r="AA50" i="37" s="1"/>
  <c r="AH49" i="37"/>
  <c r="AD17" i="35"/>
  <c r="AD18" i="35" s="1"/>
  <c r="AD17" i="34"/>
  <c r="AD18" i="34" s="1"/>
  <c r="AD17" i="36"/>
  <c r="AD18" i="36" s="1"/>
  <c r="AD17" i="33"/>
  <c r="AD18" i="33" s="1"/>
  <c r="AD17" i="31"/>
  <c r="AD18" i="31" s="1"/>
  <c r="AD17" i="30"/>
  <c r="AD18" i="30" s="1"/>
  <c r="AD17" i="32"/>
  <c r="AD18" i="32" s="1"/>
  <c r="AD17" i="29"/>
  <c r="AD18" i="29" s="1"/>
  <c r="AD17" i="28"/>
  <c r="AD18" i="28" s="1"/>
  <c r="AD17" i="27"/>
  <c r="AD18" i="27" s="1"/>
  <c r="AD17" i="25"/>
  <c r="AD18" i="25" s="1"/>
  <c r="AD17" i="26"/>
  <c r="AD18" i="26" s="1"/>
  <c r="AD17" i="23"/>
  <c r="AD18" i="23" s="1"/>
  <c r="AD17" i="21"/>
  <c r="AD18" i="21" s="1"/>
  <c r="AD17" i="22"/>
  <c r="AD18" i="22" s="1"/>
  <c r="AD17" i="20"/>
  <c r="AD18" i="20" s="1"/>
  <c r="AC17" i="24"/>
  <c r="AC18" i="24" s="1"/>
  <c r="AD17" i="18"/>
  <c r="AD18" i="18" s="1"/>
  <c r="AD17" i="15"/>
  <c r="AD18" i="15" s="1"/>
  <c r="AD17" i="19"/>
  <c r="AD18" i="19" s="1"/>
  <c r="AD17" i="67"/>
  <c r="AD18" i="67" s="1"/>
  <c r="AD17" i="69"/>
  <c r="AD18" i="69" s="1"/>
  <c r="AD17" i="68"/>
  <c r="AD18" i="68" s="1"/>
  <c r="AD17" i="70"/>
  <c r="AD18" i="70" s="1"/>
  <c r="AD17" i="66"/>
  <c r="AD18" i="66" s="1"/>
  <c r="AD17" i="65"/>
  <c r="AD18" i="65" s="1"/>
  <c r="AD17" i="11"/>
  <c r="AD18" i="11" s="1"/>
  <c r="AD17" i="59"/>
  <c r="AD18" i="59" s="1"/>
  <c r="AD17" i="58"/>
  <c r="AD18" i="58" s="1"/>
  <c r="AD17" i="64"/>
  <c r="AD18" i="64" s="1"/>
  <c r="AD17" i="54"/>
  <c r="AD18" i="54" s="1"/>
  <c r="AD17" i="63"/>
  <c r="AD18" i="63" s="1"/>
  <c r="AD17" i="62"/>
  <c r="AD18" i="62" s="1"/>
  <c r="AD17" i="57"/>
  <c r="AD18" i="57" s="1"/>
  <c r="AD17" i="61"/>
  <c r="AD18" i="61" s="1"/>
  <c r="AD17" i="53"/>
  <c r="AD18" i="53" s="1"/>
  <c r="AD17" i="56"/>
  <c r="AD18" i="56" s="1"/>
  <c r="AD17" i="55"/>
  <c r="AD18" i="55" s="1"/>
  <c r="AD17" i="52"/>
  <c r="AD18" i="52" s="1"/>
  <c r="AD17" i="39"/>
  <c r="AD18" i="39" s="1"/>
  <c r="AD17" i="51"/>
  <c r="AD18" i="51" s="1"/>
  <c r="AD17" i="9"/>
  <c r="AD18" i="9" s="1"/>
  <c r="AD17" i="17"/>
  <c r="AD18" i="17" s="1"/>
  <c r="AD17" i="16"/>
  <c r="AD18" i="16" s="1"/>
  <c r="AD17" i="4"/>
  <c r="AD18" i="4" s="1"/>
  <c r="AC17" i="37"/>
  <c r="AC18" i="37" s="1"/>
  <c r="AD17" i="6"/>
  <c r="AD18" i="6" s="1"/>
  <c r="AD17" i="7"/>
  <c r="AD18" i="7" s="1"/>
  <c r="T51" i="37"/>
  <c r="T52" i="37" s="1"/>
  <c r="T44" i="37"/>
  <c r="N52" i="37"/>
  <c r="AG49" i="37"/>
  <c r="Z59" i="37"/>
  <c r="AE80" i="37"/>
  <c r="AH101" i="37"/>
  <c r="AE101" i="37"/>
  <c r="AI49" i="4"/>
  <c r="AF49" i="4"/>
  <c r="AF60" i="4"/>
  <c r="AI60" i="4"/>
  <c r="AI91" i="4"/>
  <c r="AF91" i="4"/>
  <c r="AI135" i="6"/>
  <c r="AF135" i="6"/>
  <c r="AI127" i="6"/>
  <c r="AF127" i="6"/>
  <c r="AI119" i="6"/>
  <c r="AF119" i="6"/>
  <c r="AF142" i="6"/>
  <c r="AI142" i="6"/>
  <c r="AF37" i="7"/>
  <c r="AB37" i="7"/>
  <c r="AI37" i="7"/>
  <c r="AJ37" i="7"/>
  <c r="AI50" i="7"/>
  <c r="AA73" i="7"/>
  <c r="AJ50" i="7"/>
  <c r="AF50" i="7"/>
  <c r="AI58" i="7"/>
  <c r="AF58" i="7"/>
  <c r="AB58" i="7"/>
  <c r="S51" i="37"/>
  <c r="S52" i="37" s="1"/>
  <c r="S44" i="37"/>
  <c r="Z95" i="37"/>
  <c r="AF40" i="4"/>
  <c r="AI40" i="4"/>
  <c r="AI76" i="4"/>
  <c r="AF76" i="4"/>
  <c r="AI99" i="4"/>
  <c r="AF99" i="4"/>
  <c r="AB36" i="6"/>
  <c r="AB44" i="6"/>
  <c r="AB52" i="6"/>
  <c r="AB38" i="6"/>
  <c r="AB46" i="6"/>
  <c r="AB56" i="6"/>
  <c r="AB64" i="6"/>
  <c r="AB68" i="6"/>
  <c r="AB39" i="6"/>
  <c r="AB47" i="6"/>
  <c r="AB57" i="6"/>
  <c r="AB65" i="6"/>
  <c r="AB69" i="6"/>
  <c r="AB41" i="6"/>
  <c r="AB49" i="6"/>
  <c r="AI41" i="7"/>
  <c r="AJ41" i="7"/>
  <c r="AF41" i="7"/>
  <c r="AB41" i="7"/>
  <c r="AI34" i="7"/>
  <c r="AJ34" i="7"/>
  <c r="AF34" i="7"/>
  <c r="AB34" i="7"/>
  <c r="AA65" i="7"/>
  <c r="AA76" i="7"/>
  <c r="AA72" i="7"/>
  <c r="AF48" i="7"/>
  <c r="AB48" i="7"/>
  <c r="AI48" i="7"/>
  <c r="AJ48" i="7"/>
  <c r="AB36" i="16"/>
  <c r="AF36" i="16"/>
  <c r="AI36" i="16"/>
  <c r="AB41" i="16"/>
  <c r="AI41" i="16"/>
  <c r="AF41" i="16"/>
  <c r="AI53" i="16"/>
  <c r="AF53" i="16"/>
  <c r="AB53" i="16"/>
  <c r="AI49" i="16"/>
  <c r="AF49" i="16"/>
  <c r="AB49" i="16"/>
  <c r="R64" i="37"/>
  <c r="R74" i="37" s="1"/>
  <c r="R62" i="37"/>
  <c r="R51" i="37"/>
  <c r="R52" i="37" s="1"/>
  <c r="R50" i="37"/>
  <c r="N71" i="37"/>
  <c r="AF72" i="37"/>
  <c r="AG72" i="37" s="1"/>
  <c r="AG71" i="37"/>
  <c r="AH105" i="37"/>
  <c r="AE105" i="37"/>
  <c r="AF37" i="4"/>
  <c r="AI37" i="4"/>
  <c r="AF64" i="4"/>
  <c r="AI64" i="4"/>
  <c r="AB87" i="4"/>
  <c r="AI87" i="4"/>
  <c r="AF87" i="4"/>
  <c r="AI85" i="4"/>
  <c r="AF85" i="4"/>
  <c r="AB55" i="6"/>
  <c r="AF45" i="7"/>
  <c r="AB45" i="7"/>
  <c r="AI45" i="7"/>
  <c r="AJ45" i="7"/>
  <c r="AA68" i="7"/>
  <c r="AI38" i="7"/>
  <c r="AF38" i="7"/>
  <c r="AB38" i="7"/>
  <c r="AJ38" i="7"/>
  <c r="AF44" i="4"/>
  <c r="AB44" i="4"/>
  <c r="AI44" i="4"/>
  <c r="AJ44" i="4"/>
  <c r="AI92" i="4"/>
  <c r="AF92" i="4"/>
  <c r="AI83" i="4"/>
  <c r="AF83" i="4"/>
  <c r="AF146" i="6"/>
  <c r="AI146" i="6"/>
  <c r="AB54" i="6"/>
  <c r="AA67" i="7"/>
  <c r="AI42" i="7"/>
  <c r="AJ42" i="7"/>
  <c r="AF42" i="7"/>
  <c r="AB42" i="7"/>
  <c r="AF69" i="7"/>
  <c r="AI69" i="7"/>
  <c r="AI52" i="16"/>
  <c r="AF52" i="16"/>
  <c r="AB52" i="16"/>
  <c r="AK34" i="37"/>
  <c r="Z35" i="37"/>
  <c r="Z36" i="37"/>
  <c r="Y51" i="37"/>
  <c r="Y52" i="37" s="1"/>
  <c r="Y50" i="37"/>
  <c r="AH42" i="37"/>
  <c r="AK42" i="37"/>
  <c r="U61" i="37"/>
  <c r="AI41" i="4"/>
  <c r="AF41" i="4"/>
  <c r="AJ68" i="4"/>
  <c r="AF68" i="4"/>
  <c r="AI68" i="4"/>
  <c r="AI131" i="6"/>
  <c r="AF131" i="6"/>
  <c r="AI123" i="6"/>
  <c r="AF123" i="6"/>
  <c r="AB67" i="6"/>
  <c r="AI67" i="16"/>
  <c r="AF67" i="16"/>
  <c r="AI60" i="16"/>
  <c r="AF60" i="16"/>
  <c r="AD39" i="37"/>
  <c r="AD43" i="37"/>
  <c r="AD40" i="37"/>
  <c r="AD41" i="37"/>
  <c r="Q51" i="37"/>
  <c r="Q52" i="37" s="1"/>
  <c r="Q50" i="37"/>
  <c r="AG42" i="37"/>
  <c r="U44" i="37"/>
  <c r="W74" i="37"/>
  <c r="O74" i="37"/>
  <c r="T61" i="37"/>
  <c r="AI79" i="37"/>
  <c r="AA20" i="4"/>
  <c r="AJ94" i="4" s="1"/>
  <c r="AB62" i="4"/>
  <c r="AE100" i="4"/>
  <c r="AE76" i="4"/>
  <c r="AE80" i="4"/>
  <c r="AE84" i="4"/>
  <c r="AE88" i="4"/>
  <c r="AE92" i="4"/>
  <c r="AE96" i="4"/>
  <c r="AE65" i="4"/>
  <c r="AE69" i="4"/>
  <c r="AE37" i="4"/>
  <c r="AE45" i="4"/>
  <c r="AE49" i="4"/>
  <c r="AE73" i="4"/>
  <c r="AE77" i="4"/>
  <c r="AE89" i="4"/>
  <c r="AE97" i="4"/>
  <c r="AE55" i="4"/>
  <c r="AE58" i="4"/>
  <c r="AE62" i="4"/>
  <c r="AE66" i="4"/>
  <c r="AE70" i="4"/>
  <c r="AE38" i="4"/>
  <c r="AE42" i="4"/>
  <c r="AE46" i="4"/>
  <c r="AE50" i="4"/>
  <c r="AE74" i="4"/>
  <c r="AE78" i="4"/>
  <c r="AE86" i="4"/>
  <c r="AE90" i="4"/>
  <c r="AE94" i="4"/>
  <c r="AE63" i="4"/>
  <c r="AE67" i="4"/>
  <c r="AE35" i="4"/>
  <c r="AE39" i="4"/>
  <c r="AE47" i="4"/>
  <c r="AE51" i="4"/>
  <c r="AE99" i="4"/>
  <c r="AE75" i="4"/>
  <c r="AE79" i="4"/>
  <c r="AE83" i="4"/>
  <c r="AE87" i="4"/>
  <c r="AE91" i="4"/>
  <c r="AE95" i="4"/>
  <c r="AE60" i="4"/>
  <c r="AE64" i="4"/>
  <c r="AE68" i="4"/>
  <c r="AE36" i="4"/>
  <c r="AE40" i="4"/>
  <c r="AE44" i="4"/>
  <c r="AF48" i="4"/>
  <c r="AI48" i="4"/>
  <c r="AB48" i="4"/>
  <c r="AI79" i="4"/>
  <c r="AF79" i="4"/>
  <c r="AI77" i="4"/>
  <c r="AJ77" i="4"/>
  <c r="AF77" i="4"/>
  <c r="AJ86" i="4"/>
  <c r="AF130" i="6"/>
  <c r="AI130" i="6"/>
  <c r="AF122" i="6"/>
  <c r="AI122" i="6"/>
  <c r="AI145" i="6"/>
  <c r="AF145" i="6"/>
  <c r="AB107" i="16"/>
  <c r="AB43" i="16"/>
  <c r="AB44" i="16"/>
  <c r="AB46" i="16"/>
  <c r="AB38" i="16"/>
  <c r="AF51" i="16"/>
  <c r="AB51" i="16"/>
  <c r="AI51" i="16"/>
  <c r="AB70" i="16"/>
  <c r="AI42" i="37"/>
  <c r="Z19" i="37"/>
  <c r="AG41" i="37"/>
  <c r="V64" i="37"/>
  <c r="V74" i="37" s="1"/>
  <c r="V62" i="37"/>
  <c r="N64" i="37"/>
  <c r="N62" i="37"/>
  <c r="AF51" i="37"/>
  <c r="Y62" i="37"/>
  <c r="S61" i="37"/>
  <c r="AH97" i="37"/>
  <c r="AE97" i="37"/>
  <c r="AF45" i="4"/>
  <c r="AB45" i="4"/>
  <c r="AI45" i="4"/>
  <c r="AJ45" i="4"/>
  <c r="AJ35" i="4"/>
  <c r="AI56" i="4"/>
  <c r="AB56" i="4"/>
  <c r="AJ56" i="4"/>
  <c r="AF56" i="4"/>
  <c r="AI84" i="4"/>
  <c r="AF84" i="4"/>
  <c r="AI75" i="4"/>
  <c r="AF75" i="4"/>
  <c r="AI137" i="6"/>
  <c r="AF137" i="6"/>
  <c r="AI129" i="6"/>
  <c r="AF129" i="6"/>
  <c r="AI121" i="6"/>
  <c r="AF121" i="6"/>
  <c r="AF150" i="6"/>
  <c r="AI150" i="6"/>
  <c r="AI144" i="6"/>
  <c r="AF144" i="6"/>
  <c r="AI57" i="7"/>
  <c r="AF57" i="7"/>
  <c r="AB57" i="7"/>
  <c r="AJ107" i="16"/>
  <c r="AE37" i="37"/>
  <c r="AK37" i="37"/>
  <c r="AH37" i="37"/>
  <c r="AI48" i="37"/>
  <c r="AK48" i="37"/>
  <c r="AF61" i="37"/>
  <c r="AD16" i="35"/>
  <c r="AD16" i="36"/>
  <c r="AD16" i="34"/>
  <c r="AD16" i="33"/>
  <c r="AD16" i="31"/>
  <c r="AD16" i="30"/>
  <c r="AD16" i="32"/>
  <c r="AD16" i="29"/>
  <c r="AD16" i="28"/>
  <c r="AD16" i="27"/>
  <c r="AD16" i="25"/>
  <c r="AD16" i="26"/>
  <c r="AD16" i="23"/>
  <c r="AD16" i="21"/>
  <c r="AD16" i="22"/>
  <c r="AC16" i="24"/>
  <c r="AD16" i="18"/>
  <c r="AD16" i="15"/>
  <c r="AD16" i="19"/>
  <c r="AD16" i="20"/>
  <c r="AD16" i="69"/>
  <c r="AD16" i="68"/>
  <c r="AD16" i="70"/>
  <c r="AD16" i="67"/>
  <c r="AD16" i="66"/>
  <c r="AD16" i="65"/>
  <c r="AD16" i="11"/>
  <c r="AD16" i="59"/>
  <c r="AD16" i="58"/>
  <c r="AD16" i="64"/>
  <c r="AD16" i="54"/>
  <c r="AD16" i="63"/>
  <c r="AD16" i="62"/>
  <c r="AD16" i="57"/>
  <c r="AD16" i="61"/>
  <c r="AD16" i="53"/>
  <c r="AD16" i="56"/>
  <c r="AD16" i="55"/>
  <c r="AD16" i="52"/>
  <c r="AD16" i="39"/>
  <c r="AD16" i="51"/>
  <c r="AD16" i="9"/>
  <c r="AD16" i="17"/>
  <c r="AD16" i="16"/>
  <c r="AD16" i="4"/>
  <c r="AC16" i="37"/>
  <c r="AD16" i="6"/>
  <c r="AD16" i="7"/>
  <c r="AE34" i="37"/>
  <c r="AG40" i="37"/>
  <c r="AE54" i="37"/>
  <c r="AA16" i="4"/>
  <c r="AF36" i="4"/>
  <c r="AB36" i="4"/>
  <c r="AI36" i="4"/>
  <c r="AJ36" i="4"/>
  <c r="AI95" i="4"/>
  <c r="AJ95" i="4"/>
  <c r="AF95" i="4"/>
  <c r="AI93" i="4"/>
  <c r="AJ93" i="4"/>
  <c r="AF93" i="4"/>
  <c r="AI136" i="6"/>
  <c r="AF136" i="6"/>
  <c r="AI128" i="6"/>
  <c r="AF128" i="6"/>
  <c r="AI120" i="6"/>
  <c r="AF120" i="6"/>
  <c r="AI143" i="6"/>
  <c r="AF143" i="6"/>
  <c r="AI61" i="7"/>
  <c r="AF61" i="7"/>
  <c r="AB61" i="7"/>
  <c r="AI54" i="7"/>
  <c r="AF54" i="7"/>
  <c r="AB54" i="7"/>
  <c r="AI37" i="16"/>
  <c r="AB37" i="16"/>
  <c r="AF37" i="16"/>
  <c r="AF54" i="16"/>
  <c r="AB54" i="16"/>
  <c r="AI54" i="16"/>
  <c r="AJ54" i="16"/>
  <c r="AF50" i="16"/>
  <c r="AB50" i="16"/>
  <c r="AI50" i="16"/>
  <c r="AI56" i="16"/>
  <c r="AF56" i="16"/>
  <c r="AB56" i="16"/>
  <c r="Z94" i="37"/>
  <c r="B10" i="4"/>
  <c r="AG17" i="4"/>
  <c r="AG18" i="4" s="1"/>
  <c r="K49" i="4"/>
  <c r="K45" i="4"/>
  <c r="K41" i="4"/>
  <c r="K37" i="4"/>
  <c r="AI51" i="4"/>
  <c r="AM47" i="4"/>
  <c r="AK45" i="4"/>
  <c r="AI43" i="4"/>
  <c r="AM39" i="4"/>
  <c r="AK37" i="4"/>
  <c r="AI35" i="4"/>
  <c r="AB55" i="4"/>
  <c r="AI55" i="4"/>
  <c r="AM56" i="4"/>
  <c r="AK70" i="4"/>
  <c r="AM64" i="4"/>
  <c r="AK62" i="4"/>
  <c r="K92" i="4"/>
  <c r="K84" i="4"/>
  <c r="K76" i="4"/>
  <c r="AK96" i="4"/>
  <c r="AI94" i="4"/>
  <c r="AM90" i="4"/>
  <c r="AK88" i="4"/>
  <c r="AI86" i="4"/>
  <c r="AM82" i="4"/>
  <c r="AK80" i="4"/>
  <c r="AI78" i="4"/>
  <c r="AM74" i="4"/>
  <c r="AA102" i="4"/>
  <c r="B9" i="6"/>
  <c r="AB114" i="6"/>
  <c r="AB106" i="6"/>
  <c r="AB102" i="6"/>
  <c r="AB94" i="6"/>
  <c r="AB90" i="6"/>
  <c r="AB86" i="6"/>
  <c r="AB82" i="6"/>
  <c r="AB78" i="6"/>
  <c r="AB74" i="6"/>
  <c r="AI116" i="6"/>
  <c r="AI112" i="6"/>
  <c r="AI108" i="6"/>
  <c r="AI104" i="6"/>
  <c r="AI100" i="6"/>
  <c r="AI96" i="6"/>
  <c r="AI92" i="6"/>
  <c r="AI88" i="6"/>
  <c r="AI84" i="6"/>
  <c r="AI80" i="6"/>
  <c r="AI76" i="6"/>
  <c r="AI72" i="6"/>
  <c r="AA44" i="7"/>
  <c r="AA40" i="7"/>
  <c r="AA36" i="7"/>
  <c r="AM51" i="7"/>
  <c r="AA60" i="7"/>
  <c r="AA56" i="7"/>
  <c r="M11" i="16"/>
  <c r="AH118" i="16"/>
  <c r="AH95" i="16"/>
  <c r="AH103" i="16"/>
  <c r="AH111" i="16"/>
  <c r="AH84" i="16"/>
  <c r="AH94" i="16"/>
  <c r="AH102" i="16"/>
  <c r="AH75" i="16"/>
  <c r="AH83" i="16"/>
  <c r="AH93" i="16"/>
  <c r="AH101" i="16"/>
  <c r="AH109" i="16"/>
  <c r="AH74" i="16"/>
  <c r="AH82" i="16"/>
  <c r="AH92" i="16"/>
  <c r="AH116" i="16"/>
  <c r="AH81" i="16"/>
  <c r="AH89" i="16"/>
  <c r="AH98" i="16"/>
  <c r="AH106" i="16"/>
  <c r="AH114" i="16"/>
  <c r="AH79" i="16"/>
  <c r="AH87" i="16"/>
  <c r="AH119" i="16"/>
  <c r="AH96" i="16"/>
  <c r="AH104" i="16"/>
  <c r="AH112" i="16"/>
  <c r="AH77" i="16"/>
  <c r="AH85" i="16"/>
  <c r="AH37" i="16"/>
  <c r="AH45" i="16"/>
  <c r="AH41" i="16"/>
  <c r="AH56" i="16"/>
  <c r="AI83" i="16"/>
  <c r="AJ83" i="16"/>
  <c r="AF83" i="16"/>
  <c r="AB83" i="16"/>
  <c r="AL84" i="16"/>
  <c r="AH80" i="16"/>
  <c r="AI112" i="16"/>
  <c r="AF112" i="16"/>
  <c r="AB112" i="16"/>
  <c r="AE113" i="16"/>
  <c r="AL111" i="16"/>
  <c r="AL103" i="16"/>
  <c r="AI77" i="17"/>
  <c r="AF77" i="17"/>
  <c r="AF143" i="17"/>
  <c r="AI143" i="17"/>
  <c r="AI47" i="9"/>
  <c r="AJ47" i="9"/>
  <c r="AF47" i="9"/>
  <c r="AB47" i="9"/>
  <c r="AJ41" i="9"/>
  <c r="AF41" i="9"/>
  <c r="AB41" i="9"/>
  <c r="AI41" i="9"/>
  <c r="AF90" i="9"/>
  <c r="AA121" i="9"/>
  <c r="AI90" i="9"/>
  <c r="AJ90" i="9"/>
  <c r="AB90" i="9"/>
  <c r="AI87" i="9"/>
  <c r="AB87" i="9"/>
  <c r="AJ87" i="9"/>
  <c r="AF87" i="9"/>
  <c r="AI101" i="9"/>
  <c r="AF101" i="9"/>
  <c r="AB101" i="9"/>
  <c r="AJ101" i="9"/>
  <c r="AF97" i="9"/>
  <c r="AB97" i="9"/>
  <c r="AI97" i="9"/>
  <c r="AJ97" i="9"/>
  <c r="AI116" i="9"/>
  <c r="AJ116" i="9"/>
  <c r="AF116" i="9"/>
  <c r="AB116" i="9"/>
  <c r="AB122" i="39"/>
  <c r="AI122" i="39"/>
  <c r="AF122" i="39"/>
  <c r="AF45" i="51"/>
  <c r="AB45" i="51"/>
  <c r="AI45" i="51"/>
  <c r="AJ45" i="51"/>
  <c r="AK97" i="4"/>
  <c r="AK89" i="4"/>
  <c r="AK81" i="4"/>
  <c r="AK73" i="4"/>
  <c r="AF45" i="6"/>
  <c r="AF37" i="6"/>
  <c r="AI45" i="6"/>
  <c r="AI37" i="6"/>
  <c r="AB48" i="6"/>
  <c r="AB40" i="6"/>
  <c r="AH116" i="6"/>
  <c r="AH100" i="6"/>
  <c r="AH96" i="6"/>
  <c r="AH92" i="6"/>
  <c r="AH88" i="6"/>
  <c r="AH84" i="6"/>
  <c r="AH80" i="6"/>
  <c r="AH76" i="6"/>
  <c r="AH72" i="6"/>
  <c r="AA149" i="6"/>
  <c r="AA141" i="6"/>
  <c r="AA133" i="6"/>
  <c r="AA125" i="6"/>
  <c r="AB43" i="7"/>
  <c r="AB39" i="7"/>
  <c r="AB35" i="7"/>
  <c r="AF43" i="7"/>
  <c r="AF39" i="7"/>
  <c r="AF35" i="7"/>
  <c r="AH43" i="7"/>
  <c r="AM40" i="7"/>
  <c r="AK43" i="16"/>
  <c r="AK35" i="16"/>
  <c r="AA47" i="16"/>
  <c r="AK52" i="16"/>
  <c r="AH49" i="16"/>
  <c r="AK66" i="16"/>
  <c r="AM64" i="16"/>
  <c r="AA80" i="16"/>
  <c r="AK75" i="16"/>
  <c r="AB114" i="16"/>
  <c r="AJ114" i="16"/>
  <c r="AF114" i="16"/>
  <c r="AB98" i="16"/>
  <c r="AF98" i="16"/>
  <c r="AI109" i="16"/>
  <c r="AF109" i="16"/>
  <c r="AB109" i="16"/>
  <c r="AE101" i="16"/>
  <c r="AF144" i="17"/>
  <c r="AI144" i="17"/>
  <c r="AF53" i="9"/>
  <c r="AB53" i="9"/>
  <c r="AI53" i="9"/>
  <c r="AJ53" i="9"/>
  <c r="AF70" i="9"/>
  <c r="AI70" i="9"/>
  <c r="AJ70" i="9"/>
  <c r="AJ95" i="9"/>
  <c r="AF95" i="9"/>
  <c r="AB95" i="9"/>
  <c r="AI95" i="9"/>
  <c r="AI55" i="51"/>
  <c r="AJ55" i="51"/>
  <c r="AF55" i="51"/>
  <c r="AB55" i="51"/>
  <c r="AI39" i="51"/>
  <c r="AJ39" i="51"/>
  <c r="AF39" i="51"/>
  <c r="AB39" i="51"/>
  <c r="AJ68" i="51"/>
  <c r="AK47" i="4"/>
  <c r="AJ46" i="4"/>
  <c r="AK39" i="4"/>
  <c r="AJ38" i="4"/>
  <c r="AK56" i="4"/>
  <c r="AI70" i="4"/>
  <c r="AM66" i="4"/>
  <c r="AK64" i="4"/>
  <c r="AJ63" i="4"/>
  <c r="AI62" i="4"/>
  <c r="AM58" i="4"/>
  <c r="AF94" i="4"/>
  <c r="AF90" i="4"/>
  <c r="AF86" i="4"/>
  <c r="AF82" i="4"/>
  <c r="AF78" i="4"/>
  <c r="AF74" i="4"/>
  <c r="AM92" i="4"/>
  <c r="AK90" i="4"/>
  <c r="AM84" i="4"/>
  <c r="AK82" i="4"/>
  <c r="AM76" i="4"/>
  <c r="AK74" i="4"/>
  <c r="AM99" i="4"/>
  <c r="AA103" i="4"/>
  <c r="B4" i="6"/>
  <c r="AB113" i="6"/>
  <c r="AB109" i="6"/>
  <c r="AB105" i="6"/>
  <c r="AB97" i="6"/>
  <c r="AB93" i="6"/>
  <c r="AB89" i="6"/>
  <c r="AB85" i="6"/>
  <c r="AB77" i="6"/>
  <c r="AF114" i="6"/>
  <c r="AF110" i="6"/>
  <c r="AF106" i="6"/>
  <c r="AF102" i="6"/>
  <c r="AF98" i="6"/>
  <c r="AF94" i="6"/>
  <c r="AF90" i="6"/>
  <c r="AF86" i="6"/>
  <c r="AF82" i="6"/>
  <c r="AF78" i="6"/>
  <c r="AF74" i="6"/>
  <c r="AA148" i="6"/>
  <c r="AA140" i="6"/>
  <c r="AI152" i="6"/>
  <c r="AH44" i="7"/>
  <c r="AM41" i="7"/>
  <c r="AK98" i="16"/>
  <c r="AK106" i="16"/>
  <c r="AK114" i="16"/>
  <c r="AK79" i="16"/>
  <c r="AK87" i="16"/>
  <c r="AK97" i="16"/>
  <c r="AK105" i="16"/>
  <c r="AK113" i="16"/>
  <c r="AK78" i="16"/>
  <c r="AK86" i="16"/>
  <c r="AK67" i="16"/>
  <c r="AK119" i="16"/>
  <c r="AK96" i="16"/>
  <c r="AK104" i="16"/>
  <c r="AK112" i="16"/>
  <c r="AK77" i="16"/>
  <c r="AK85" i="16"/>
  <c r="AK118" i="16"/>
  <c r="AK95" i="16"/>
  <c r="AK103" i="16"/>
  <c r="AK111" i="16"/>
  <c r="AK76" i="16"/>
  <c r="AK84" i="16"/>
  <c r="AK93" i="16"/>
  <c r="AK101" i="16"/>
  <c r="AK109" i="16"/>
  <c r="AK74" i="16"/>
  <c r="AK82" i="16"/>
  <c r="AK63" i="16"/>
  <c r="AK99" i="16"/>
  <c r="AK107" i="16"/>
  <c r="AK115" i="16"/>
  <c r="AK80" i="16"/>
  <c r="AK88" i="16"/>
  <c r="AK61" i="16"/>
  <c r="AH36" i="16"/>
  <c r="AK46" i="16"/>
  <c r="AK38" i="16"/>
  <c r="AH44" i="16"/>
  <c r="AK53" i="16"/>
  <c r="AH50" i="16"/>
  <c r="AK64" i="16"/>
  <c r="AF79" i="16"/>
  <c r="AB79" i="16"/>
  <c r="AH88" i="16"/>
  <c r="AK83" i="16"/>
  <c r="AL74" i="16"/>
  <c r="AI103" i="16"/>
  <c r="AF103" i="16"/>
  <c r="AB103" i="16"/>
  <c r="AF108" i="16"/>
  <c r="AJ108" i="16"/>
  <c r="AB108" i="16"/>
  <c r="AF97" i="16"/>
  <c r="AI97" i="16"/>
  <c r="AB97" i="16"/>
  <c r="AH115" i="16"/>
  <c r="AN115" i="16" s="1"/>
  <c r="AK110" i="16"/>
  <c r="AH107" i="16"/>
  <c r="AK102" i="16"/>
  <c r="AL93" i="16"/>
  <c r="AI118" i="16"/>
  <c r="AB118" i="16"/>
  <c r="AF118" i="16"/>
  <c r="AI50" i="17"/>
  <c r="AF50" i="17"/>
  <c r="AB145" i="17"/>
  <c r="AI145" i="17"/>
  <c r="AF145" i="17"/>
  <c r="AB118" i="9"/>
  <c r="AB119" i="9"/>
  <c r="AI39" i="9"/>
  <c r="AJ39" i="9"/>
  <c r="AF39" i="9"/>
  <c r="AB39" i="9"/>
  <c r="AF82" i="9"/>
  <c r="AI82" i="9"/>
  <c r="AJ82" i="9"/>
  <c r="AB82" i="9"/>
  <c r="AI79" i="9"/>
  <c r="AB79" i="9"/>
  <c r="AJ79" i="9"/>
  <c r="AF79" i="9"/>
  <c r="AB76" i="9"/>
  <c r="AI93" i="9"/>
  <c r="AF93" i="9"/>
  <c r="AB93" i="9"/>
  <c r="AJ93" i="9"/>
  <c r="AB45" i="39"/>
  <c r="AB115" i="39"/>
  <c r="AB119" i="39"/>
  <c r="AB108" i="39"/>
  <c r="AB85" i="39"/>
  <c r="AB55" i="39"/>
  <c r="AB46" i="39"/>
  <c r="AB39" i="39"/>
  <c r="AB65" i="39"/>
  <c r="AB56" i="39"/>
  <c r="AB47" i="39"/>
  <c r="AB57" i="39"/>
  <c r="AB48" i="39"/>
  <c r="AB58" i="39"/>
  <c r="AB49" i="39"/>
  <c r="AB117" i="39"/>
  <c r="AB106" i="39"/>
  <c r="AB99" i="39"/>
  <c r="AB103" i="39"/>
  <c r="AB68" i="39"/>
  <c r="AB59" i="39"/>
  <c r="AB35" i="39"/>
  <c r="AB83" i="39"/>
  <c r="AB69" i="39"/>
  <c r="AB36" i="39"/>
  <c r="AB37" i="39"/>
  <c r="AI88" i="39"/>
  <c r="AF88" i="39"/>
  <c r="AI49" i="51"/>
  <c r="AF49" i="51"/>
  <c r="AB49" i="51"/>
  <c r="AJ49" i="51"/>
  <c r="AI41" i="37"/>
  <c r="Z43" i="37"/>
  <c r="AA80" i="37" s="1"/>
  <c r="AC51" i="37"/>
  <c r="AD58" i="37"/>
  <c r="AD54" i="37"/>
  <c r="AG57" i="37"/>
  <c r="AG55" i="37"/>
  <c r="AG59" i="37"/>
  <c r="AK67" i="37"/>
  <c r="AD78" i="37"/>
  <c r="AK83" i="37"/>
  <c r="AD105" i="37"/>
  <c r="AD101" i="37"/>
  <c r="AD97" i="37"/>
  <c r="AG102" i="37"/>
  <c r="AG98" i="37"/>
  <c r="AF50" i="4"/>
  <c r="AF46" i="4"/>
  <c r="AF42" i="4"/>
  <c r="AF38" i="4"/>
  <c r="AM50" i="4"/>
  <c r="AK48" i="4"/>
  <c r="AJ47" i="4"/>
  <c r="AH45" i="4"/>
  <c r="AM42" i="4"/>
  <c r="AK40" i="4"/>
  <c r="AJ39" i="4"/>
  <c r="AH37" i="4"/>
  <c r="AM57" i="4"/>
  <c r="AF66" i="4"/>
  <c r="AF58" i="4"/>
  <c r="AH70" i="4"/>
  <c r="AM67" i="4"/>
  <c r="AK65" i="4"/>
  <c r="AI63" i="4"/>
  <c r="AH62" i="4"/>
  <c r="AM59" i="4"/>
  <c r="K93" i="4"/>
  <c r="K85" i="4"/>
  <c r="K77" i="4"/>
  <c r="AA89" i="4"/>
  <c r="AA81" i="4"/>
  <c r="AA73" i="4"/>
  <c r="AI97" i="4"/>
  <c r="AH96" i="4"/>
  <c r="AM93" i="4"/>
  <c r="AK91" i="4"/>
  <c r="AJ90" i="4"/>
  <c r="AH88" i="4"/>
  <c r="AM85" i="4"/>
  <c r="AK83" i="4"/>
  <c r="AJ82" i="4"/>
  <c r="AH80" i="4"/>
  <c r="AM77" i="4"/>
  <c r="AK75" i="4"/>
  <c r="AJ74" i="4"/>
  <c r="AM100" i="4"/>
  <c r="B10" i="6"/>
  <c r="AF52" i="6"/>
  <c r="AF48" i="6"/>
  <c r="AF44" i="6"/>
  <c r="AF40" i="6"/>
  <c r="AF36" i="6"/>
  <c r="AI52" i="6"/>
  <c r="AI44" i="6"/>
  <c r="AI36" i="6"/>
  <c r="AE106" i="6"/>
  <c r="AE102" i="6"/>
  <c r="AE98" i="6"/>
  <c r="AE94" i="6"/>
  <c r="AE90" i="6"/>
  <c r="AE86" i="6"/>
  <c r="AE82" i="6"/>
  <c r="AE78" i="6"/>
  <c r="AE74" i="6"/>
  <c r="AH115" i="6"/>
  <c r="AH111" i="6"/>
  <c r="AH107" i="6"/>
  <c r="AH103" i="6"/>
  <c r="AH99" i="6"/>
  <c r="AH95" i="6"/>
  <c r="AH87" i="6"/>
  <c r="AH83" i="6"/>
  <c r="AH79" i="6"/>
  <c r="AH75" i="6"/>
  <c r="AA147" i="6"/>
  <c r="AA139" i="6"/>
  <c r="B4" i="7"/>
  <c r="I21" i="7" s="1"/>
  <c r="AH45" i="7"/>
  <c r="AM42" i="7"/>
  <c r="AK40" i="7"/>
  <c r="AJ39" i="7"/>
  <c r="AM34" i="7"/>
  <c r="AH47" i="7"/>
  <c r="AJ51" i="7"/>
  <c r="AE119" i="16"/>
  <c r="AE95" i="16"/>
  <c r="AE107" i="16"/>
  <c r="AE81" i="16"/>
  <c r="AE85" i="16"/>
  <c r="AE89" i="16"/>
  <c r="AE92" i="16"/>
  <c r="AE96" i="16"/>
  <c r="AE100" i="16"/>
  <c r="AE104" i="16"/>
  <c r="AE112" i="16"/>
  <c r="AE116" i="16"/>
  <c r="AE74" i="16"/>
  <c r="AE78" i="16"/>
  <c r="AE86" i="16"/>
  <c r="AE118" i="16"/>
  <c r="K36" i="16"/>
  <c r="AF38" i="16"/>
  <c r="AI39" i="16"/>
  <c r="AL44" i="16"/>
  <c r="AK41" i="16"/>
  <c r="AL36" i="16"/>
  <c r="AA45" i="16"/>
  <c r="AE56" i="16"/>
  <c r="AE52" i="16"/>
  <c r="AL55" i="16"/>
  <c r="AK54" i="16"/>
  <c r="K60" i="16"/>
  <c r="AL67" i="16"/>
  <c r="AA64" i="16"/>
  <c r="K85" i="16"/>
  <c r="AI77" i="16"/>
  <c r="AJ77" i="16"/>
  <c r="AF77" i="16"/>
  <c r="AB77" i="16"/>
  <c r="AA76" i="16"/>
  <c r="AE79" i="16"/>
  <c r="AL82" i="16"/>
  <c r="AH78" i="16"/>
  <c r="AB110" i="16"/>
  <c r="AI110" i="16"/>
  <c r="AF110" i="16"/>
  <c r="K106" i="16"/>
  <c r="K101" i="16"/>
  <c r="AB94" i="16"/>
  <c r="AI94" i="16"/>
  <c r="AF94" i="16"/>
  <c r="AI96" i="16"/>
  <c r="AF96" i="16"/>
  <c r="AB96" i="16"/>
  <c r="AE98" i="16"/>
  <c r="AI114" i="16"/>
  <c r="AL101" i="16"/>
  <c r="AI119" i="16"/>
  <c r="AF119" i="16"/>
  <c r="AB119" i="16"/>
  <c r="AB146" i="17"/>
  <c r="AF146" i="17"/>
  <c r="AI146" i="17"/>
  <c r="AI168" i="17"/>
  <c r="AF168" i="17"/>
  <c r="AI51" i="9"/>
  <c r="AF51" i="9"/>
  <c r="AB51" i="9"/>
  <c r="AJ51" i="9"/>
  <c r="AF45" i="9"/>
  <c r="AB45" i="9"/>
  <c r="AI45" i="9"/>
  <c r="AJ45" i="9"/>
  <c r="AF62" i="9"/>
  <c r="AI62" i="9"/>
  <c r="AJ62" i="9"/>
  <c r="AJ89" i="9"/>
  <c r="AI43" i="51"/>
  <c r="AJ43" i="51"/>
  <c r="AF43" i="51"/>
  <c r="AB43" i="51"/>
  <c r="AB88" i="51"/>
  <c r="AG17" i="36"/>
  <c r="AG18" i="36" s="1"/>
  <c r="AG17" i="35"/>
  <c r="AG18" i="35" s="1"/>
  <c r="AG17" i="33"/>
  <c r="AG18" i="33" s="1"/>
  <c r="AG17" i="34"/>
  <c r="AG18" i="34" s="1"/>
  <c r="AG17" i="31"/>
  <c r="AG18" i="31" s="1"/>
  <c r="AG17" i="32"/>
  <c r="AG18" i="32" s="1"/>
  <c r="AG17" i="30"/>
  <c r="AG18" i="30" s="1"/>
  <c r="AG17" i="27"/>
  <c r="AG18" i="27" s="1"/>
  <c r="AG17" i="28"/>
  <c r="AG18" i="28" s="1"/>
  <c r="AG17" i="29"/>
  <c r="AG18" i="29" s="1"/>
  <c r="AG17" i="26"/>
  <c r="AG18" i="26" s="1"/>
  <c r="AG17" i="25"/>
  <c r="AG18" i="25" s="1"/>
  <c r="AG17" i="20"/>
  <c r="AG18" i="20" s="1"/>
  <c r="AG17" i="23"/>
  <c r="AG18" i="23" s="1"/>
  <c r="AG17" i="21"/>
  <c r="AG18" i="21" s="1"/>
  <c r="AG17" i="22"/>
  <c r="AG18" i="22" s="1"/>
  <c r="AG17" i="19"/>
  <c r="AG18" i="19" s="1"/>
  <c r="AG17" i="15"/>
  <c r="AG18" i="15" s="1"/>
  <c r="AG17" i="70"/>
  <c r="AG18" i="70" s="1"/>
  <c r="AG17" i="67"/>
  <c r="AG18" i="67" s="1"/>
  <c r="AG17" i="68"/>
  <c r="AG18" i="68" s="1"/>
  <c r="AF17" i="24"/>
  <c r="AF18" i="24" s="1"/>
  <c r="AG17" i="69"/>
  <c r="AG18" i="69" s="1"/>
  <c r="AG17" i="18"/>
  <c r="AG18" i="18" s="1"/>
  <c r="AG17" i="66"/>
  <c r="AG18" i="66" s="1"/>
  <c r="AG17" i="65"/>
  <c r="AG18" i="65" s="1"/>
  <c r="AG17" i="58"/>
  <c r="AG18" i="58" s="1"/>
  <c r="AG17" i="11"/>
  <c r="AG18" i="11" s="1"/>
  <c r="AG17" i="59"/>
  <c r="AG18" i="59" s="1"/>
  <c r="AG17" i="64"/>
  <c r="AG18" i="64" s="1"/>
  <c r="AG17" i="54"/>
  <c r="AG18" i="54" s="1"/>
  <c r="AG17" i="63"/>
  <c r="AG18" i="63" s="1"/>
  <c r="AG17" i="57"/>
  <c r="AG18" i="57" s="1"/>
  <c r="AG17" i="61"/>
  <c r="AG18" i="61" s="1"/>
  <c r="AG17" i="53"/>
  <c r="AG18" i="53" s="1"/>
  <c r="AG17" i="62"/>
  <c r="AG18" i="62" s="1"/>
  <c r="AG17" i="55"/>
  <c r="AG18" i="55" s="1"/>
  <c r="AG17" i="52"/>
  <c r="AG18" i="52" s="1"/>
  <c r="AG17" i="56"/>
  <c r="AG18" i="56" s="1"/>
  <c r="AG17" i="17"/>
  <c r="AG18" i="17" s="1"/>
  <c r="AG17" i="39"/>
  <c r="AG18" i="39" s="1"/>
  <c r="AG17" i="51"/>
  <c r="AG18" i="51" s="1"/>
  <c r="AG17" i="9"/>
  <c r="AG18" i="9" s="1"/>
  <c r="B9" i="35"/>
  <c r="B9" i="36"/>
  <c r="B9" i="34"/>
  <c r="B9" i="33"/>
  <c r="B9" i="32"/>
  <c r="B9" i="31"/>
  <c r="B9" i="30"/>
  <c r="B9" i="27"/>
  <c r="B9" i="29"/>
  <c r="B9" i="28"/>
  <c r="B9" i="26"/>
  <c r="B9" i="25"/>
  <c r="B9" i="21"/>
  <c r="B9" i="23"/>
  <c r="B9" i="22"/>
  <c r="B9" i="20"/>
  <c r="B9" i="15"/>
  <c r="B9" i="18"/>
  <c r="B9" i="19"/>
  <c r="B9" i="24"/>
  <c r="B9" i="69"/>
  <c r="B9" i="68"/>
  <c r="B9" i="70"/>
  <c r="B9" i="66"/>
  <c r="B9" i="65"/>
  <c r="B9" i="67"/>
  <c r="B9" i="58"/>
  <c r="B9" i="11"/>
  <c r="B9" i="59"/>
  <c r="B9" i="54"/>
  <c r="B9" i="64"/>
  <c r="B9" i="63"/>
  <c r="B9" i="53"/>
  <c r="B9" i="62"/>
  <c r="B9" i="61"/>
  <c r="B9" i="57"/>
  <c r="B9" i="52"/>
  <c r="B9" i="55"/>
  <c r="B9" i="56"/>
  <c r="B9" i="51"/>
  <c r="B9" i="39"/>
  <c r="B9" i="9"/>
  <c r="B9" i="17"/>
  <c r="AA40" i="37"/>
  <c r="AE40" i="37"/>
  <c r="AA47" i="37"/>
  <c r="AC61" i="37"/>
  <c r="AD68" i="37"/>
  <c r="AA78" i="37"/>
  <c r="AA103" i="37"/>
  <c r="AA99" i="37"/>
  <c r="AE104" i="37"/>
  <c r="AE100" i="37"/>
  <c r="AM51" i="4"/>
  <c r="AK49" i="4"/>
  <c r="AI47" i="4"/>
  <c r="AH46" i="4"/>
  <c r="AM43" i="4"/>
  <c r="AK41" i="4"/>
  <c r="AI39" i="4"/>
  <c r="AH38" i="4"/>
  <c r="AM35" i="4"/>
  <c r="AA69" i="4"/>
  <c r="AA65" i="4"/>
  <c r="AA61" i="4"/>
  <c r="AM68" i="4"/>
  <c r="AK66" i="4"/>
  <c r="AH63" i="4"/>
  <c r="AM60" i="4"/>
  <c r="AK58" i="4"/>
  <c r="AB80" i="4"/>
  <c r="AH97" i="4"/>
  <c r="AM94" i="4"/>
  <c r="AK92" i="4"/>
  <c r="AH89" i="4"/>
  <c r="AM86" i="4"/>
  <c r="AK84" i="4"/>
  <c r="AH81" i="4"/>
  <c r="AM78" i="4"/>
  <c r="AK76" i="4"/>
  <c r="AH73" i="4"/>
  <c r="AK99" i="4"/>
  <c r="M11" i="6"/>
  <c r="AA16" i="6"/>
  <c r="AE68" i="6"/>
  <c r="AE64" i="6"/>
  <c r="AE60" i="6"/>
  <c r="AE56" i="6"/>
  <c r="AE52" i="6"/>
  <c r="AE48" i="6"/>
  <c r="AE44" i="6"/>
  <c r="AE40" i="6"/>
  <c r="AE36" i="6"/>
  <c r="AH68" i="6"/>
  <c r="AH64" i="6"/>
  <c r="AH60" i="6"/>
  <c r="AH56" i="6"/>
  <c r="AH52" i="6"/>
  <c r="AH48" i="6"/>
  <c r="AH44" i="6"/>
  <c r="AH40" i="6"/>
  <c r="AH36" i="6"/>
  <c r="AB45" i="6"/>
  <c r="AB37" i="6"/>
  <c r="AB59" i="6"/>
  <c r="AB116" i="6"/>
  <c r="AB112" i="6"/>
  <c r="AB108" i="6"/>
  <c r="AB104" i="6"/>
  <c r="AB100" i="6"/>
  <c r="AB96" i="6"/>
  <c r="AB92" i="6"/>
  <c r="AB88" i="6"/>
  <c r="AB84" i="6"/>
  <c r="AB80" i="6"/>
  <c r="AB76" i="6"/>
  <c r="AB72" i="6"/>
  <c r="AF113" i="6"/>
  <c r="AF109" i="6"/>
  <c r="AF105" i="6"/>
  <c r="AF101" i="6"/>
  <c r="AF97" i="6"/>
  <c r="AF93" i="6"/>
  <c r="AF89" i="6"/>
  <c r="AF85" i="6"/>
  <c r="AF81" i="6"/>
  <c r="AF77" i="6"/>
  <c r="AF73" i="6"/>
  <c r="AI98" i="6"/>
  <c r="AA138" i="6"/>
  <c r="AM43" i="7"/>
  <c r="AN43" i="7" s="1"/>
  <c r="AK41" i="7"/>
  <c r="AI39" i="7"/>
  <c r="AH38" i="7"/>
  <c r="AM35" i="7"/>
  <c r="AN35" i="7" s="1"/>
  <c r="AH48" i="7"/>
  <c r="AI51" i="7"/>
  <c r="AE58" i="7"/>
  <c r="AH58" i="7"/>
  <c r="AA74" i="7"/>
  <c r="B9" i="16"/>
  <c r="AA16" i="16"/>
  <c r="AH39" i="16"/>
  <c r="AH35" i="16"/>
  <c r="AK44" i="16"/>
  <c r="AK36" i="16"/>
  <c r="AB39" i="16"/>
  <c r="AH47" i="16"/>
  <c r="AH43" i="16"/>
  <c r="AB55" i="16"/>
  <c r="AF55" i="16"/>
  <c r="AL56" i="16"/>
  <c r="AK55" i="16"/>
  <c r="AH52" i="16"/>
  <c r="AF66" i="16"/>
  <c r="AL68" i="16"/>
  <c r="AK62" i="16"/>
  <c r="K89" i="16"/>
  <c r="AF81" i="16"/>
  <c r="AB81" i="16"/>
  <c r="AB74" i="16"/>
  <c r="AI75" i="16"/>
  <c r="AJ75" i="16"/>
  <c r="AF75" i="16"/>
  <c r="AB75" i="16"/>
  <c r="AF116" i="16"/>
  <c r="AB116" i="16"/>
  <c r="AF105" i="16"/>
  <c r="AI105" i="16"/>
  <c r="AB105" i="16"/>
  <c r="AI93" i="16"/>
  <c r="AF93" i="16"/>
  <c r="AB93" i="16"/>
  <c r="AE97" i="16"/>
  <c r="AL109" i="16"/>
  <c r="AH97" i="16"/>
  <c r="AK92" i="16"/>
  <c r="AJ57" i="9"/>
  <c r="AF57" i="9"/>
  <c r="AB57" i="9"/>
  <c r="AI57" i="9"/>
  <c r="AB72" i="9"/>
  <c r="AF72" i="9"/>
  <c r="AA122" i="9"/>
  <c r="AI72" i="9"/>
  <c r="AJ72" i="9"/>
  <c r="AF113" i="9"/>
  <c r="AB113" i="9"/>
  <c r="AI113" i="9"/>
  <c r="AJ113" i="9"/>
  <c r="AB38" i="39"/>
  <c r="AM101" i="51"/>
  <c r="AF53" i="51"/>
  <c r="AB53" i="51"/>
  <c r="AI53" i="51"/>
  <c r="AJ53" i="51"/>
  <c r="AF37" i="51"/>
  <c r="AB37" i="51"/>
  <c r="AI37" i="51"/>
  <c r="AJ37" i="51"/>
  <c r="X61" i="37"/>
  <c r="P61" i="37"/>
  <c r="AD80" i="37"/>
  <c r="AD87" i="37"/>
  <c r="AD104" i="37"/>
  <c r="AD100" i="37"/>
  <c r="AG105" i="37"/>
  <c r="AG101" i="37"/>
  <c r="AG97" i="37"/>
  <c r="B9" i="4"/>
  <c r="AK50" i="4"/>
  <c r="AM44" i="4"/>
  <c r="AK42" i="4"/>
  <c r="AM36" i="4"/>
  <c r="AK57" i="4"/>
  <c r="AM55" i="4"/>
  <c r="AM69" i="4"/>
  <c r="AK67" i="4"/>
  <c r="AJ66" i="4"/>
  <c r="AM61" i="4"/>
  <c r="AK59" i="4"/>
  <c r="AJ58" i="4"/>
  <c r="AM95" i="4"/>
  <c r="AK93" i="4"/>
  <c r="AH90" i="4"/>
  <c r="AM87" i="4"/>
  <c r="AK85" i="4"/>
  <c r="AH82" i="4"/>
  <c r="AM79" i="4"/>
  <c r="AK77" i="4"/>
  <c r="AH74" i="4"/>
  <c r="AK100" i="4"/>
  <c r="AM44" i="7"/>
  <c r="AM36" i="7"/>
  <c r="O63" i="7"/>
  <c r="O67" i="7" s="1"/>
  <c r="AA66" i="7"/>
  <c r="AI38" i="16"/>
  <c r="AK47" i="16"/>
  <c r="AK39" i="16"/>
  <c r="AI46" i="16"/>
  <c r="AA35" i="16"/>
  <c r="AK56" i="16"/>
  <c r="AH53" i="16"/>
  <c r="AK68" i="16"/>
  <c r="AK60" i="16"/>
  <c r="AI70" i="16"/>
  <c r="AA122" i="16"/>
  <c r="AF70" i="16"/>
  <c r="AG122" i="16"/>
  <c r="AH70" i="16"/>
  <c r="AI85" i="16"/>
  <c r="AF85" i="16"/>
  <c r="AB85" i="16"/>
  <c r="AJ78" i="16"/>
  <c r="AF78" i="16"/>
  <c r="AB78" i="16"/>
  <c r="AI78" i="16"/>
  <c r="AI88" i="16"/>
  <c r="AF88" i="16"/>
  <c r="AB88" i="16"/>
  <c r="AE88" i="16"/>
  <c r="AH86" i="16"/>
  <c r="AK81" i="16"/>
  <c r="AB106" i="16"/>
  <c r="AF106" i="16"/>
  <c r="AI104" i="16"/>
  <c r="AF104" i="16"/>
  <c r="AB104" i="16"/>
  <c r="AF92" i="16"/>
  <c r="AB92" i="16"/>
  <c r="AE106" i="16"/>
  <c r="AE94" i="16"/>
  <c r="AH113" i="16"/>
  <c r="AH105" i="16"/>
  <c r="AK100" i="16"/>
  <c r="AI92" i="16"/>
  <c r="AL118" i="16"/>
  <c r="AI43" i="9"/>
  <c r="AF43" i="9"/>
  <c r="AB43" i="9"/>
  <c r="AJ43" i="9"/>
  <c r="AF37" i="9"/>
  <c r="AB37" i="9"/>
  <c r="AI37" i="9"/>
  <c r="AJ37" i="9"/>
  <c r="AF86" i="9"/>
  <c r="AI86" i="9"/>
  <c r="AJ86" i="9"/>
  <c r="AB86" i="9"/>
  <c r="AB83" i="9"/>
  <c r="AF83" i="9"/>
  <c r="AI83" i="9"/>
  <c r="AJ83" i="9"/>
  <c r="AJ111" i="9"/>
  <c r="AF111" i="9"/>
  <c r="AB111" i="9"/>
  <c r="AI111" i="9"/>
  <c r="AI47" i="51"/>
  <c r="AJ47" i="51"/>
  <c r="AF47" i="51"/>
  <c r="AB47" i="51"/>
  <c r="AB84" i="51"/>
  <c r="AI40" i="37"/>
  <c r="AK46" i="37"/>
  <c r="AE56" i="37"/>
  <c r="AD59" i="37"/>
  <c r="AG69" i="37"/>
  <c r="AK79" i="37"/>
  <c r="AA102" i="37"/>
  <c r="AA98" i="37"/>
  <c r="K48" i="4"/>
  <c r="K44" i="4"/>
  <c r="K40" i="4"/>
  <c r="K36" i="4"/>
  <c r="AK51" i="4"/>
  <c r="AJ50" i="4"/>
  <c r="AM45" i="4"/>
  <c r="AK43" i="4"/>
  <c r="AJ42" i="4"/>
  <c r="AH40" i="4"/>
  <c r="AM37" i="4"/>
  <c r="AK35" i="4"/>
  <c r="AM70" i="4"/>
  <c r="AK68" i="4"/>
  <c r="AH65" i="4"/>
  <c r="AM62" i="4"/>
  <c r="AK60" i="4"/>
  <c r="AM96" i="4"/>
  <c r="AK94" i="4"/>
  <c r="AH91" i="4"/>
  <c r="AM88" i="4"/>
  <c r="AK86" i="4"/>
  <c r="AH83" i="4"/>
  <c r="AM80" i="4"/>
  <c r="AK78" i="4"/>
  <c r="AH75" i="4"/>
  <c r="AF100" i="4"/>
  <c r="AJ100" i="4"/>
  <c r="AG17" i="6"/>
  <c r="AG18" i="6" s="1"/>
  <c r="AE67" i="6"/>
  <c r="AE63" i="6"/>
  <c r="AE55" i="6"/>
  <c r="AE51" i="6"/>
  <c r="AE47" i="6"/>
  <c r="AE39" i="6"/>
  <c r="AH67" i="6"/>
  <c r="AH63" i="6"/>
  <c r="AH59" i="6"/>
  <c r="AH55" i="6"/>
  <c r="AH51" i="6"/>
  <c r="AH47" i="6"/>
  <c r="AH39" i="6"/>
  <c r="AB51" i="6"/>
  <c r="AB43" i="6"/>
  <c r="AB35" i="6"/>
  <c r="AB58" i="6"/>
  <c r="M11" i="7"/>
  <c r="AE45" i="7"/>
  <c r="AE41" i="7"/>
  <c r="AM45" i="7"/>
  <c r="AK43" i="7"/>
  <c r="AL43" i="7" s="1"/>
  <c r="AM37" i="7"/>
  <c r="AK35" i="7"/>
  <c r="AL35" i="7" s="1"/>
  <c r="AM50" i="7"/>
  <c r="AE37" i="16"/>
  <c r="AH38" i="16"/>
  <c r="AL45" i="16"/>
  <c r="AK42" i="16"/>
  <c r="AL37" i="16"/>
  <c r="AE47" i="16"/>
  <c r="AE43" i="16"/>
  <c r="AH46" i="16"/>
  <c r="AH42" i="16"/>
  <c r="AA42" i="16"/>
  <c r="AH54" i="16"/>
  <c r="AL50" i="16"/>
  <c r="AK49" i="16"/>
  <c r="K61" i="16"/>
  <c r="AF65" i="16"/>
  <c r="AF61" i="16"/>
  <c r="AK65" i="16"/>
  <c r="AM63" i="16"/>
  <c r="AE70" i="16"/>
  <c r="AF89" i="16"/>
  <c r="AB89" i="16"/>
  <c r="AA121" i="16"/>
  <c r="AI82" i="16"/>
  <c r="AF82" i="16"/>
  <c r="AB82" i="16"/>
  <c r="AF87" i="16"/>
  <c r="AB87" i="16"/>
  <c r="AE87" i="16"/>
  <c r="AE75" i="16"/>
  <c r="AI111" i="16"/>
  <c r="AF111" i="16"/>
  <c r="AB111" i="16"/>
  <c r="AI95" i="16"/>
  <c r="AF95" i="16"/>
  <c r="AB95" i="16"/>
  <c r="AI101" i="16"/>
  <c r="AF101" i="16"/>
  <c r="AB101" i="16"/>
  <c r="AE105" i="16"/>
  <c r="AE93" i="16"/>
  <c r="AK108" i="16"/>
  <c r="AI55" i="9"/>
  <c r="AJ55" i="9"/>
  <c r="AF55" i="9"/>
  <c r="AB55" i="9"/>
  <c r="AJ49" i="9"/>
  <c r="AF49" i="9"/>
  <c r="AB49" i="9"/>
  <c r="AI49" i="9"/>
  <c r="AI69" i="9"/>
  <c r="AJ69" i="9"/>
  <c r="AF69" i="9"/>
  <c r="AF67" i="9"/>
  <c r="AI67" i="9"/>
  <c r="AJ67" i="9"/>
  <c r="AB84" i="9"/>
  <c r="AI109" i="9"/>
  <c r="AF109" i="9"/>
  <c r="AB109" i="9"/>
  <c r="AJ109" i="9"/>
  <c r="AF105" i="9"/>
  <c r="AB105" i="9"/>
  <c r="AI105" i="9"/>
  <c r="AJ105" i="9"/>
  <c r="AJ119" i="9"/>
  <c r="AF124" i="39"/>
  <c r="AB124" i="39"/>
  <c r="AI124" i="39"/>
  <c r="AB121" i="39"/>
  <c r="AI121" i="39"/>
  <c r="AF121" i="39"/>
  <c r="AJ92" i="51"/>
  <c r="AJ93" i="51"/>
  <c r="AI57" i="51"/>
  <c r="AJ57" i="51"/>
  <c r="AF57" i="51"/>
  <c r="AB57" i="51"/>
  <c r="AI41" i="51"/>
  <c r="AF41" i="51"/>
  <c r="AB41" i="51"/>
  <c r="AJ41" i="51"/>
  <c r="B10" i="36"/>
  <c r="B10" i="35"/>
  <c r="B10" i="34"/>
  <c r="B10" i="33"/>
  <c r="B10" i="31"/>
  <c r="B10" i="30"/>
  <c r="B10" i="32"/>
  <c r="B10" i="27"/>
  <c r="B10" i="28"/>
  <c r="B10" i="29"/>
  <c r="B10" i="25"/>
  <c r="B10" i="26"/>
  <c r="B10" i="23"/>
  <c r="B10" i="22"/>
  <c r="B10" i="21"/>
  <c r="B10" i="18"/>
  <c r="B10" i="19"/>
  <c r="B10" i="20"/>
  <c r="B10" i="15"/>
  <c r="B10" i="69"/>
  <c r="B10" i="68"/>
  <c r="B10" i="70"/>
  <c r="B10" i="24"/>
  <c r="B10" i="67"/>
  <c r="B10" i="66"/>
  <c r="B10" i="65"/>
  <c r="B10" i="59"/>
  <c r="B10" i="58"/>
  <c r="B10" i="11"/>
  <c r="B10" i="54"/>
  <c r="B10" i="64"/>
  <c r="B10" i="63"/>
  <c r="B10" i="62"/>
  <c r="B10" i="61"/>
  <c r="B10" i="57"/>
  <c r="B10" i="53"/>
  <c r="B10" i="56"/>
  <c r="B10" i="52"/>
  <c r="B10" i="55"/>
  <c r="B10" i="51"/>
  <c r="B10" i="39"/>
  <c r="B10" i="9"/>
  <c r="B10" i="17"/>
  <c r="M11" i="36"/>
  <c r="B4" i="36"/>
  <c r="M11" i="35"/>
  <c r="B4" i="35"/>
  <c r="M11" i="34"/>
  <c r="M11" i="33"/>
  <c r="B4" i="34"/>
  <c r="B4" i="33"/>
  <c r="M11" i="31"/>
  <c r="M11" i="30"/>
  <c r="M11" i="32"/>
  <c r="B4" i="31"/>
  <c r="B4" i="32"/>
  <c r="B4" i="30"/>
  <c r="M11" i="28"/>
  <c r="B4" i="27"/>
  <c r="M11" i="29"/>
  <c r="B4" i="28"/>
  <c r="B4" i="29"/>
  <c r="B4" i="26"/>
  <c r="M11" i="26"/>
  <c r="M11" i="27"/>
  <c r="B4" i="25"/>
  <c r="M11" i="25"/>
  <c r="M11" i="23"/>
  <c r="M11" i="22"/>
  <c r="B4" i="21"/>
  <c r="B4" i="23"/>
  <c r="B4" i="22"/>
  <c r="M11" i="21"/>
  <c r="B4" i="15"/>
  <c r="M11" i="19"/>
  <c r="B4" i="18"/>
  <c r="B4" i="19"/>
  <c r="L11" i="24"/>
  <c r="M11" i="20"/>
  <c r="B4" i="24"/>
  <c r="B4" i="20"/>
  <c r="M11" i="18"/>
  <c r="M11" i="69"/>
  <c r="M11" i="68"/>
  <c r="B4" i="69"/>
  <c r="B4" i="68"/>
  <c r="M11" i="70"/>
  <c r="B4" i="70"/>
  <c r="M11" i="15"/>
  <c r="B4" i="67"/>
  <c r="M11" i="67"/>
  <c r="M11" i="66"/>
  <c r="M11" i="65"/>
  <c r="B4" i="66"/>
  <c r="B4" i="65"/>
  <c r="B4" i="11"/>
  <c r="M11" i="59"/>
  <c r="B4" i="59"/>
  <c r="M11" i="58"/>
  <c r="M11" i="11"/>
  <c r="B4" i="58"/>
  <c r="B4" i="54"/>
  <c r="B4" i="64"/>
  <c r="M11" i="63"/>
  <c r="B4" i="63"/>
  <c r="M11" i="54"/>
  <c r="M11" i="64"/>
  <c r="M11" i="62"/>
  <c r="B4" i="62"/>
  <c r="M11" i="61"/>
  <c r="M11" i="57"/>
  <c r="B4" i="61"/>
  <c r="B4" i="57"/>
  <c r="M11" i="53"/>
  <c r="B4" i="53"/>
  <c r="M11" i="56"/>
  <c r="B4" i="56"/>
  <c r="M11" i="52"/>
  <c r="M11" i="55"/>
  <c r="B4" i="52"/>
  <c r="B4" i="55"/>
  <c r="M11" i="51"/>
  <c r="M11" i="39"/>
  <c r="M11" i="9"/>
  <c r="B4" i="51"/>
  <c r="B4" i="39"/>
  <c r="B4" i="9"/>
  <c r="M11" i="17"/>
  <c r="B4" i="17"/>
  <c r="B4" i="37"/>
  <c r="AF17" i="37"/>
  <c r="AF18" i="37" s="1"/>
  <c r="X44" i="37"/>
  <c r="P44" i="37"/>
  <c r="AC44" i="37"/>
  <c r="AD44" i="37" s="1"/>
  <c r="AD56" i="37"/>
  <c r="AG58" i="37"/>
  <c r="AG56" i="37"/>
  <c r="AG54" i="37"/>
  <c r="AD103" i="37"/>
  <c r="AG104" i="37"/>
  <c r="B4" i="4"/>
  <c r="AH49" i="4"/>
  <c r="AM46" i="4"/>
  <c r="AK44" i="4"/>
  <c r="AM38" i="4"/>
  <c r="AK36" i="4"/>
  <c r="AK55" i="4"/>
  <c r="AK69" i="4"/>
  <c r="AH66" i="4"/>
  <c r="AM63" i="4"/>
  <c r="AK61" i="4"/>
  <c r="AH58" i="4"/>
  <c r="AM97" i="4"/>
  <c r="AK95" i="4"/>
  <c r="AH92" i="4"/>
  <c r="AM89" i="4"/>
  <c r="AK87" i="4"/>
  <c r="AH84" i="4"/>
  <c r="AM81" i="4"/>
  <c r="AH76" i="4"/>
  <c r="AF50" i="6"/>
  <c r="AF42" i="6"/>
  <c r="AF34" i="6"/>
  <c r="AI50" i="6"/>
  <c r="AI42" i="6"/>
  <c r="AI34" i="6"/>
  <c r="AB50" i="6"/>
  <c r="AB42" i="6"/>
  <c r="AB34" i="6"/>
  <c r="AE116" i="6"/>
  <c r="AE92" i="6"/>
  <c r="AE88" i="6"/>
  <c r="AE84" i="6"/>
  <c r="AE80" i="6"/>
  <c r="AE76" i="6"/>
  <c r="AH113" i="6"/>
  <c r="AH109" i="6"/>
  <c r="AH105" i="6"/>
  <c r="AH101" i="6"/>
  <c r="AH97" i="6"/>
  <c r="AH93" i="6"/>
  <c r="AH89" i="6"/>
  <c r="AH85" i="6"/>
  <c r="AH77" i="6"/>
  <c r="AG17" i="7"/>
  <c r="AG18" i="7" s="1"/>
  <c r="AK44" i="7"/>
  <c r="AM38" i="7"/>
  <c r="B10" i="16"/>
  <c r="AL99" i="16"/>
  <c r="AL107" i="16"/>
  <c r="AL115" i="16"/>
  <c r="AL80" i="16"/>
  <c r="AL88" i="16"/>
  <c r="AL98" i="16"/>
  <c r="AL106" i="16"/>
  <c r="AL114" i="16"/>
  <c r="AL79" i="16"/>
  <c r="AL87" i="16"/>
  <c r="AL60" i="16"/>
  <c r="AL97" i="16"/>
  <c r="AL105" i="16"/>
  <c r="AL113" i="16"/>
  <c r="AL78" i="16"/>
  <c r="AL86" i="16"/>
  <c r="AL119" i="16"/>
  <c r="AL96" i="16"/>
  <c r="AL104" i="16"/>
  <c r="AL112" i="16"/>
  <c r="AL77" i="16"/>
  <c r="AL85" i="16"/>
  <c r="AL94" i="16"/>
  <c r="AL102" i="16"/>
  <c r="AL110" i="16"/>
  <c r="AL75" i="16"/>
  <c r="AL83" i="16"/>
  <c r="AL64" i="16"/>
  <c r="AL92" i="16"/>
  <c r="AL100" i="16"/>
  <c r="AL108" i="16"/>
  <c r="AL116" i="16"/>
  <c r="AL81" i="16"/>
  <c r="AL89" i="16"/>
  <c r="AL62" i="16"/>
  <c r="AL48" i="16"/>
  <c r="AK45" i="16"/>
  <c r="AL40" i="16"/>
  <c r="AK37" i="16"/>
  <c r="AE54" i="16"/>
  <c r="AE50" i="16"/>
  <c r="AL51" i="16"/>
  <c r="AK50" i="16"/>
  <c r="AJ65" i="16"/>
  <c r="AL63" i="16"/>
  <c r="AN61" i="16"/>
  <c r="AF86" i="16"/>
  <c r="AB86" i="16"/>
  <c r="AI86" i="16"/>
  <c r="AA84" i="16"/>
  <c r="AE84" i="16"/>
  <c r="AK89" i="16"/>
  <c r="K114" i="16"/>
  <c r="K109" i="16"/>
  <c r="AB102" i="16"/>
  <c r="AI102" i="16"/>
  <c r="AJ102" i="16"/>
  <c r="AF102" i="16"/>
  <c r="K98" i="16"/>
  <c r="K93" i="16"/>
  <c r="AF113" i="16"/>
  <c r="AI113" i="16"/>
  <c r="AB113" i="16"/>
  <c r="AA100" i="16"/>
  <c r="AE114" i="16"/>
  <c r="AK116" i="16"/>
  <c r="AI108" i="16"/>
  <c r="AL95" i="16"/>
  <c r="AB56" i="17"/>
  <c r="AB125" i="17"/>
  <c r="AB102" i="17"/>
  <c r="AB36" i="17"/>
  <c r="AB45" i="17"/>
  <c r="AB65" i="17"/>
  <c r="AF147" i="17"/>
  <c r="AI147" i="17"/>
  <c r="AI35" i="9"/>
  <c r="AF35" i="9"/>
  <c r="AB35" i="9"/>
  <c r="AJ35" i="9"/>
  <c r="AJ65" i="9"/>
  <c r="AI65" i="9"/>
  <c r="AF65" i="9"/>
  <c r="AI63" i="9"/>
  <c r="AJ63" i="9"/>
  <c r="AF63" i="9"/>
  <c r="AF78" i="9"/>
  <c r="AI78" i="9"/>
  <c r="AJ78" i="9"/>
  <c r="AB78" i="9"/>
  <c r="AJ81" i="9"/>
  <c r="AJ103" i="9"/>
  <c r="AF103" i="9"/>
  <c r="AB103" i="9"/>
  <c r="AI103" i="9"/>
  <c r="AI51" i="51"/>
  <c r="AJ51" i="51"/>
  <c r="AF51" i="51"/>
  <c r="AB51" i="51"/>
  <c r="AI35" i="51"/>
  <c r="AJ35" i="51"/>
  <c r="AF35" i="51"/>
  <c r="AB35" i="51"/>
  <c r="AF70" i="51"/>
  <c r="AI70" i="51"/>
  <c r="AJ70" i="51"/>
  <c r="K111" i="16"/>
  <c r="K103" i="16"/>
  <c r="K95" i="16"/>
  <c r="AE36" i="17"/>
  <c r="AF41" i="17"/>
  <c r="AI49" i="17"/>
  <c r="AB81" i="17"/>
  <c r="AF86" i="17"/>
  <c r="AA92" i="17"/>
  <c r="AA68" i="17"/>
  <c r="AA60" i="17"/>
  <c r="AA93" i="17"/>
  <c r="AA94" i="17" s="1"/>
  <c r="G93" i="17" s="1"/>
  <c r="AF96" i="17"/>
  <c r="AI95" i="17"/>
  <c r="AA110" i="17"/>
  <c r="AF118" i="17"/>
  <c r="AI121" i="17"/>
  <c r="AI117" i="17"/>
  <c r="AE127" i="17"/>
  <c r="AH130" i="17"/>
  <c r="AH126" i="17"/>
  <c r="AF139" i="17"/>
  <c r="AF135" i="17"/>
  <c r="AI138" i="17"/>
  <c r="AI134" i="17"/>
  <c r="AI142" i="17"/>
  <c r="AI167" i="17"/>
  <c r="AI159" i="17"/>
  <c r="AJ58" i="9"/>
  <c r="AL52" i="9"/>
  <c r="AK51" i="9"/>
  <c r="AJ50" i="9"/>
  <c r="AH48" i="9"/>
  <c r="AL44" i="9"/>
  <c r="AK43" i="9"/>
  <c r="AJ42" i="9"/>
  <c r="AH40" i="9"/>
  <c r="AL36" i="9"/>
  <c r="AK35" i="9"/>
  <c r="K67" i="9"/>
  <c r="AN70" i="9"/>
  <c r="AM69" i="9"/>
  <c r="AL68" i="9"/>
  <c r="AK67" i="9"/>
  <c r="AJ66" i="9"/>
  <c r="AN62" i="9"/>
  <c r="K72" i="9"/>
  <c r="AK72" i="9"/>
  <c r="AF89" i="9"/>
  <c r="AF85" i="9"/>
  <c r="AF81" i="9"/>
  <c r="AF77" i="9"/>
  <c r="AI89" i="9"/>
  <c r="AH88" i="9"/>
  <c r="AL84" i="9"/>
  <c r="AK83" i="9"/>
  <c r="AI81" i="9"/>
  <c r="AH80" i="9"/>
  <c r="AL76" i="9"/>
  <c r="AB112" i="9"/>
  <c r="AB104" i="9"/>
  <c r="AB96" i="9"/>
  <c r="AF112" i="9"/>
  <c r="AF104" i="9"/>
  <c r="AF96" i="9"/>
  <c r="AL114" i="9"/>
  <c r="AK113" i="9"/>
  <c r="AJ112" i="9"/>
  <c r="AH110" i="9"/>
  <c r="AL106" i="9"/>
  <c r="AK105" i="9"/>
  <c r="AJ104" i="9"/>
  <c r="AH102" i="9"/>
  <c r="AL98" i="9"/>
  <c r="AK97" i="9"/>
  <c r="AJ96" i="9"/>
  <c r="AH94" i="9"/>
  <c r="AE119" i="9"/>
  <c r="AI119" i="9"/>
  <c r="AH118" i="9"/>
  <c r="AH39" i="39"/>
  <c r="AE49" i="39"/>
  <c r="AH47" i="39"/>
  <c r="AE58" i="39"/>
  <c r="AH56" i="39"/>
  <c r="AE67" i="39"/>
  <c r="AH65" i="39"/>
  <c r="AI79" i="39"/>
  <c r="AA52" i="39"/>
  <c r="AI86" i="39"/>
  <c r="AB100" i="39"/>
  <c r="AF102" i="39"/>
  <c r="AF98" i="39"/>
  <c r="AI100" i="39"/>
  <c r="AB111" i="39"/>
  <c r="AB107" i="39"/>
  <c r="AF109" i="39"/>
  <c r="AI111" i="39"/>
  <c r="AI107" i="39"/>
  <c r="AB118" i="39"/>
  <c r="AB114" i="39"/>
  <c r="AF116" i="39"/>
  <c r="AI118" i="39"/>
  <c r="AI114" i="39"/>
  <c r="AF132" i="39"/>
  <c r="AA141" i="39"/>
  <c r="AK58" i="51"/>
  <c r="AH57" i="51"/>
  <c r="AL54" i="51"/>
  <c r="AK49" i="51"/>
  <c r="AK45" i="51"/>
  <c r="AL41" i="51"/>
  <c r="AL37" i="51"/>
  <c r="AI68" i="51"/>
  <c r="AJ63" i="51"/>
  <c r="AA67" i="51"/>
  <c r="AB82" i="51"/>
  <c r="AI82" i="51"/>
  <c r="AJ82" i="51"/>
  <c r="AF82" i="51"/>
  <c r="AF80" i="51"/>
  <c r="AJ80" i="51"/>
  <c r="AL83" i="51"/>
  <c r="AI100" i="51"/>
  <c r="AJ100" i="51"/>
  <c r="AB100" i="51"/>
  <c r="AF100" i="51"/>
  <c r="AE126" i="55"/>
  <c r="AD127" i="55"/>
  <c r="AF55" i="52"/>
  <c r="AB55" i="52"/>
  <c r="AI55" i="52"/>
  <c r="AJ55" i="52"/>
  <c r="AI65" i="52"/>
  <c r="AF65" i="52"/>
  <c r="AJ65" i="52"/>
  <c r="AI63" i="52"/>
  <c r="AJ63" i="52"/>
  <c r="AF63" i="52"/>
  <c r="AI62" i="56"/>
  <c r="AF62" i="56"/>
  <c r="AA64" i="56"/>
  <c r="G63" i="56" s="1"/>
  <c r="AF47" i="53"/>
  <c r="AB47" i="53"/>
  <c r="AI47" i="53"/>
  <c r="AI39" i="17"/>
  <c r="AF49" i="17"/>
  <c r="AI57" i="17"/>
  <c r="AB71" i="17"/>
  <c r="AA59" i="17"/>
  <c r="AA51" i="17"/>
  <c r="AA52" i="17" s="1"/>
  <c r="G51" i="17" s="1"/>
  <c r="AI89" i="17"/>
  <c r="AE96" i="17"/>
  <c r="AH95" i="17"/>
  <c r="AF105" i="17"/>
  <c r="AE118" i="17"/>
  <c r="AH121" i="17"/>
  <c r="AH117" i="17"/>
  <c r="AF130" i="17"/>
  <c r="AF126" i="17"/>
  <c r="AE139" i="17"/>
  <c r="AE135" i="17"/>
  <c r="AH138" i="17"/>
  <c r="AH134" i="17"/>
  <c r="O148" i="17"/>
  <c r="AD148" i="17"/>
  <c r="AE148" i="17" s="1"/>
  <c r="AH146" i="17"/>
  <c r="AH142" i="17"/>
  <c r="AF159" i="17"/>
  <c r="AA171" i="17"/>
  <c r="K55" i="9"/>
  <c r="K51" i="9"/>
  <c r="K47" i="9"/>
  <c r="K43" i="9"/>
  <c r="K39" i="9"/>
  <c r="K35" i="9"/>
  <c r="AA56" i="9"/>
  <c r="AA52" i="9"/>
  <c r="AA48" i="9"/>
  <c r="AA44" i="9"/>
  <c r="AA40" i="9"/>
  <c r="AA36" i="9"/>
  <c r="AE44" i="9"/>
  <c r="AE40" i="9"/>
  <c r="AE36" i="9"/>
  <c r="AI58" i="9"/>
  <c r="AH57" i="9"/>
  <c r="AL53" i="9"/>
  <c r="AI50" i="9"/>
  <c r="AH49" i="9"/>
  <c r="AL45" i="9"/>
  <c r="AI42" i="9"/>
  <c r="AL37" i="9"/>
  <c r="K70" i="9"/>
  <c r="K62" i="9"/>
  <c r="AL69" i="9"/>
  <c r="AK68" i="9"/>
  <c r="AI66" i="9"/>
  <c r="AA68" i="9"/>
  <c r="K90" i="9"/>
  <c r="K86" i="9"/>
  <c r="K82" i="9"/>
  <c r="K78" i="9"/>
  <c r="AE89" i="9"/>
  <c r="AE85" i="9"/>
  <c r="AE81" i="9"/>
  <c r="AE77" i="9"/>
  <c r="AH89" i="9"/>
  <c r="AL85" i="9"/>
  <c r="AK84" i="9"/>
  <c r="AH81" i="9"/>
  <c r="AL77" i="9"/>
  <c r="AK76" i="9"/>
  <c r="K113" i="9"/>
  <c r="K105" i="9"/>
  <c r="K97" i="9"/>
  <c r="AA108" i="9"/>
  <c r="AA100" i="9"/>
  <c r="AE116" i="9"/>
  <c r="AE108" i="9"/>
  <c r="AE96" i="9"/>
  <c r="AL115" i="9"/>
  <c r="AK114" i="9"/>
  <c r="AL107" i="9"/>
  <c r="AK106" i="9"/>
  <c r="AH103" i="9"/>
  <c r="AL99" i="9"/>
  <c r="AK98" i="9"/>
  <c r="AH95" i="9"/>
  <c r="AF118" i="9"/>
  <c r="AH119" i="9"/>
  <c r="AH38" i="39"/>
  <c r="AE48" i="39"/>
  <c r="AH46" i="39"/>
  <c r="AE57" i="39"/>
  <c r="AH55" i="39"/>
  <c r="AE66" i="39"/>
  <c r="AF79" i="39"/>
  <c r="AI78" i="39"/>
  <c r="AA43" i="39"/>
  <c r="AI85" i="39"/>
  <c r="AA93" i="39"/>
  <c r="AE98" i="39"/>
  <c r="AH100" i="39"/>
  <c r="AE109" i="39"/>
  <c r="AH111" i="39"/>
  <c r="AH107" i="39"/>
  <c r="AE116" i="39"/>
  <c r="AH114" i="39"/>
  <c r="AE126" i="39"/>
  <c r="AH124" i="39"/>
  <c r="AA145" i="39"/>
  <c r="AK98" i="51"/>
  <c r="AK78" i="51"/>
  <c r="AK86" i="51"/>
  <c r="AK68" i="51"/>
  <c r="AK101" i="51"/>
  <c r="AK97" i="51"/>
  <c r="AK77" i="51"/>
  <c r="AK85" i="51"/>
  <c r="AK67" i="51"/>
  <c r="AK35" i="51"/>
  <c r="AK43" i="51"/>
  <c r="AK51" i="51"/>
  <c r="AK100" i="51"/>
  <c r="AK96" i="51"/>
  <c r="AK76" i="51"/>
  <c r="AK84" i="51"/>
  <c r="AK95" i="51"/>
  <c r="AK83" i="51"/>
  <c r="AK65" i="51"/>
  <c r="AK93" i="51"/>
  <c r="AK81" i="51"/>
  <c r="AK92" i="51"/>
  <c r="AK80" i="51"/>
  <c r="AK88" i="51"/>
  <c r="AK91" i="51"/>
  <c r="AK79" i="51"/>
  <c r="AK87" i="51"/>
  <c r="AI58" i="51"/>
  <c r="AK54" i="51"/>
  <c r="AL50" i="51"/>
  <c r="AL46" i="51"/>
  <c r="AK41" i="51"/>
  <c r="AK37" i="51"/>
  <c r="AL64" i="51"/>
  <c r="AA66" i="51"/>
  <c r="AN68" i="51"/>
  <c r="AL72" i="51"/>
  <c r="AG104" i="51"/>
  <c r="AH72" i="51"/>
  <c r="AK82" i="51"/>
  <c r="AM76" i="51"/>
  <c r="AH91" i="51"/>
  <c r="G82" i="55"/>
  <c r="AI42" i="55"/>
  <c r="AF42" i="55"/>
  <c r="AF121" i="55"/>
  <c r="AB121" i="55"/>
  <c r="AI121" i="55"/>
  <c r="AJ88" i="52"/>
  <c r="AJ78" i="52"/>
  <c r="AJ68" i="52"/>
  <c r="AJ36" i="52"/>
  <c r="AJ44" i="52"/>
  <c r="AJ52" i="52"/>
  <c r="AJ85" i="52"/>
  <c r="AJ76" i="52"/>
  <c r="AJ83" i="52"/>
  <c r="AJ40" i="52"/>
  <c r="AJ48" i="52"/>
  <c r="AJ56" i="52"/>
  <c r="AI41" i="52"/>
  <c r="AJ41" i="52"/>
  <c r="AF41" i="52"/>
  <c r="AB41" i="52"/>
  <c r="AI35" i="52"/>
  <c r="AF35" i="52"/>
  <c r="AB35" i="52"/>
  <c r="AJ35" i="52"/>
  <c r="AB121" i="56"/>
  <c r="AI121" i="56"/>
  <c r="AF121" i="56"/>
  <c r="AI115" i="16"/>
  <c r="AI107" i="16"/>
  <c r="AI99" i="16"/>
  <c r="AF39" i="17"/>
  <c r="AH48" i="17"/>
  <c r="AH57" i="17"/>
  <c r="AH66" i="17"/>
  <c r="AI65" i="17"/>
  <c r="AH75" i="17"/>
  <c r="AF75" i="17"/>
  <c r="AH84" i="17"/>
  <c r="AA42" i="17"/>
  <c r="AA43" i="17" s="1"/>
  <c r="G42" i="17" s="1"/>
  <c r="AF95" i="17"/>
  <c r="AF104" i="17"/>
  <c r="AF121" i="17"/>
  <c r="AF117" i="17"/>
  <c r="AE130" i="17"/>
  <c r="AE126" i="17"/>
  <c r="AH129" i="17"/>
  <c r="AH125" i="17"/>
  <c r="AF138" i="17"/>
  <c r="AF134" i="17"/>
  <c r="AI170" i="17"/>
  <c r="AA16" i="9"/>
  <c r="AH58" i="9"/>
  <c r="AL54" i="9"/>
  <c r="AK53" i="9"/>
  <c r="AL46" i="9"/>
  <c r="AK45" i="9"/>
  <c r="AH42" i="9"/>
  <c r="AL38" i="9"/>
  <c r="AK37" i="9"/>
  <c r="K65" i="9"/>
  <c r="AF64" i="9"/>
  <c r="AL70" i="9"/>
  <c r="AK69" i="9"/>
  <c r="AL62" i="9"/>
  <c r="AB89" i="9"/>
  <c r="AB85" i="9"/>
  <c r="AB81" i="9"/>
  <c r="AB77" i="9"/>
  <c r="AF88" i="9"/>
  <c r="AF84" i="9"/>
  <c r="AF80" i="9"/>
  <c r="AF76" i="9"/>
  <c r="AH90" i="9"/>
  <c r="AL86" i="9"/>
  <c r="AK85" i="9"/>
  <c r="AJ84" i="9"/>
  <c r="AH82" i="9"/>
  <c r="AL78" i="9"/>
  <c r="AK77" i="9"/>
  <c r="AJ76" i="9"/>
  <c r="AB115" i="9"/>
  <c r="AB107" i="9"/>
  <c r="AB99" i="9"/>
  <c r="AF115" i="9"/>
  <c r="AF107" i="9"/>
  <c r="AF99" i="9"/>
  <c r="AL116" i="9"/>
  <c r="AK115" i="9"/>
  <c r="AJ114" i="9"/>
  <c r="AH112" i="9"/>
  <c r="AL108" i="9"/>
  <c r="AK107" i="9"/>
  <c r="AJ106" i="9"/>
  <c r="AH104" i="9"/>
  <c r="AL100" i="9"/>
  <c r="AK99" i="9"/>
  <c r="AJ98" i="9"/>
  <c r="AH96" i="9"/>
  <c r="AE118" i="9"/>
  <c r="AG122" i="9"/>
  <c r="AH37" i="39"/>
  <c r="AE47" i="39"/>
  <c r="AH45" i="39"/>
  <c r="AE56" i="39"/>
  <c r="AE65" i="39"/>
  <c r="AB71" i="39"/>
  <c r="AH85" i="39"/>
  <c r="AA82" i="39"/>
  <c r="AA42" i="39"/>
  <c r="AI123" i="39"/>
  <c r="AF138" i="39"/>
  <c r="AF130" i="39"/>
  <c r="AA56" i="51"/>
  <c r="AA52" i="51"/>
  <c r="AA48" i="51"/>
  <c r="AA44" i="51"/>
  <c r="AA40" i="51"/>
  <c r="AA36" i="51"/>
  <c r="AH58" i="51"/>
  <c r="AL55" i="51"/>
  <c r="AJ54" i="51"/>
  <c r="AK50" i="51"/>
  <c r="AH49" i="51"/>
  <c r="AK46" i="51"/>
  <c r="AL42" i="51"/>
  <c r="AL38" i="51"/>
  <c r="AH36" i="51"/>
  <c r="AK69" i="51"/>
  <c r="AK64" i="51"/>
  <c r="AL62" i="51"/>
  <c r="AA65" i="51"/>
  <c r="AA72" i="51"/>
  <c r="AB86" i="51"/>
  <c r="AI86" i="51"/>
  <c r="AJ86" i="51"/>
  <c r="AF86" i="51"/>
  <c r="AF88" i="51"/>
  <c r="AJ88" i="51"/>
  <c r="AA103" i="51"/>
  <c r="AI95" i="51"/>
  <c r="AJ95" i="51"/>
  <c r="AF95" i="51"/>
  <c r="AB95" i="51"/>
  <c r="AJ101" i="51"/>
  <c r="AF53" i="52"/>
  <c r="AB53" i="52"/>
  <c r="AI53" i="52"/>
  <c r="AJ53" i="52"/>
  <c r="AF47" i="52"/>
  <c r="AB47" i="52"/>
  <c r="AI47" i="52"/>
  <c r="AJ47" i="52"/>
  <c r="AE126" i="56"/>
  <c r="AH56" i="17"/>
  <c r="AH65" i="17"/>
  <c r="AH74" i="17"/>
  <c r="AH83" i="17"/>
  <c r="AI111" i="17"/>
  <c r="AH120" i="17"/>
  <c r="AH116" i="17"/>
  <c r="AH137" i="17"/>
  <c r="AH133" i="17"/>
  <c r="AH147" i="17"/>
  <c r="AH143" i="17"/>
  <c r="AL55" i="9"/>
  <c r="AL47" i="9"/>
  <c r="AL39" i="9"/>
  <c r="AL63" i="9"/>
  <c r="AH72" i="9"/>
  <c r="K87" i="9"/>
  <c r="K83" i="9"/>
  <c r="K79" i="9"/>
  <c r="AE88" i="9"/>
  <c r="AE84" i="9"/>
  <c r="AE80" i="9"/>
  <c r="AE76" i="9"/>
  <c r="AL87" i="9"/>
  <c r="AJ85" i="9"/>
  <c r="AI84" i="9"/>
  <c r="AH83" i="9"/>
  <c r="AL79" i="9"/>
  <c r="AK78" i="9"/>
  <c r="AJ77" i="9"/>
  <c r="AI76" i="9"/>
  <c r="K111" i="9"/>
  <c r="K103" i="9"/>
  <c r="K95" i="9"/>
  <c r="AE107" i="9"/>
  <c r="AE99" i="9"/>
  <c r="AE95" i="9"/>
  <c r="AK116" i="9"/>
  <c r="AJ115" i="9"/>
  <c r="AI114" i="9"/>
  <c r="AH113" i="9"/>
  <c r="AL109" i="9"/>
  <c r="AK108" i="9"/>
  <c r="AJ107" i="9"/>
  <c r="AI106" i="9"/>
  <c r="AH105" i="9"/>
  <c r="AL101" i="9"/>
  <c r="AK100" i="9"/>
  <c r="AJ99" i="9"/>
  <c r="AI98" i="9"/>
  <c r="AH97" i="9"/>
  <c r="AL93" i="9"/>
  <c r="AE39" i="39"/>
  <c r="AE46" i="39"/>
  <c r="AE55" i="39"/>
  <c r="AB61" i="39"/>
  <c r="AA81" i="39"/>
  <c r="AA73" i="39"/>
  <c r="AF87" i="39"/>
  <c r="AE101" i="39"/>
  <c r="AH103" i="39"/>
  <c r="AH99" i="39"/>
  <c r="AE108" i="39"/>
  <c r="AH106" i="39"/>
  <c r="AE119" i="39"/>
  <c r="AE115" i="39"/>
  <c r="AH117" i="39"/>
  <c r="AE121" i="39"/>
  <c r="AH123" i="39"/>
  <c r="AI130" i="39"/>
  <c r="AL56" i="51"/>
  <c r="AK55" i="51"/>
  <c r="AI54" i="51"/>
  <c r="AL51" i="51"/>
  <c r="AI50" i="51"/>
  <c r="AL47" i="51"/>
  <c r="AK42" i="51"/>
  <c r="AK38" i="51"/>
  <c r="AJ69" i="51"/>
  <c r="AL67" i="51"/>
  <c r="AK62" i="51"/>
  <c r="AJ64" i="51"/>
  <c r="AA77" i="51"/>
  <c r="K77" i="51"/>
  <c r="AI76" i="51"/>
  <c r="AJ76" i="51"/>
  <c r="AF76" i="51"/>
  <c r="AI88" i="51"/>
  <c r="AI96" i="51"/>
  <c r="AJ96" i="51"/>
  <c r="AF96" i="51"/>
  <c r="AB96" i="51"/>
  <c r="AI123" i="55"/>
  <c r="AF123" i="55"/>
  <c r="AB123" i="55"/>
  <c r="AF79" i="52"/>
  <c r="AB79" i="52"/>
  <c r="AI79" i="52"/>
  <c r="AJ79" i="52"/>
  <c r="AF39" i="53"/>
  <c r="AB39" i="53"/>
  <c r="AI39" i="53"/>
  <c r="AH38" i="17"/>
  <c r="AH46" i="17"/>
  <c r="AH55" i="17"/>
  <c r="AF55" i="17"/>
  <c r="AE65" i="17"/>
  <c r="AH64" i="17"/>
  <c r="AH73" i="17"/>
  <c r="AF73" i="17"/>
  <c r="AH82" i="17"/>
  <c r="AI81" i="17"/>
  <c r="AA88" i="17"/>
  <c r="G87" i="17" s="1"/>
  <c r="AH99" i="17"/>
  <c r="AE102" i="17"/>
  <c r="AE125" i="17"/>
  <c r="AH128" i="17"/>
  <c r="AH124" i="17"/>
  <c r="AA141" i="17"/>
  <c r="AF167" i="17"/>
  <c r="AI163" i="17"/>
  <c r="AB58" i="9"/>
  <c r="AB54" i="9"/>
  <c r="AB50" i="9"/>
  <c r="AB46" i="9"/>
  <c r="AB42" i="9"/>
  <c r="AB38" i="9"/>
  <c r="AF54" i="9"/>
  <c r="AF46" i="9"/>
  <c r="AF38" i="9"/>
  <c r="AL56" i="9"/>
  <c r="AJ54" i="9"/>
  <c r="AL48" i="9"/>
  <c r="AJ46" i="9"/>
  <c r="AH44" i="9"/>
  <c r="AL40" i="9"/>
  <c r="AJ38" i="9"/>
  <c r="AH36" i="9"/>
  <c r="K63" i="9"/>
  <c r="AL64" i="9"/>
  <c r="AK63" i="9"/>
  <c r="AB88" i="9"/>
  <c r="AB80" i="9"/>
  <c r="AL88" i="9"/>
  <c r="AK87" i="9"/>
  <c r="AH84" i="9"/>
  <c r="AL80" i="9"/>
  <c r="AK79" i="9"/>
  <c r="AH76" i="9"/>
  <c r="AB114" i="9"/>
  <c r="AB110" i="9"/>
  <c r="AB106" i="9"/>
  <c r="AB102" i="9"/>
  <c r="AB98" i="9"/>
  <c r="AB94" i="9"/>
  <c r="AF110" i="9"/>
  <c r="AF102" i="9"/>
  <c r="AF94" i="9"/>
  <c r="AH114" i="9"/>
  <c r="AL110" i="9"/>
  <c r="AK109" i="9"/>
  <c r="AH106" i="9"/>
  <c r="AL102" i="9"/>
  <c r="AK101" i="9"/>
  <c r="AH98" i="9"/>
  <c r="AL94" i="9"/>
  <c r="AK93" i="9"/>
  <c r="AL118" i="9"/>
  <c r="AE38" i="39"/>
  <c r="AH35" i="39"/>
  <c r="AF38" i="39"/>
  <c r="AI38" i="39"/>
  <c r="AE45" i="39"/>
  <c r="AB51" i="39"/>
  <c r="AF47" i="39"/>
  <c r="AH69" i="39"/>
  <c r="AH83" i="39"/>
  <c r="AA72" i="39"/>
  <c r="AA94" i="39"/>
  <c r="AB102" i="39"/>
  <c r="AB98" i="39"/>
  <c r="AB109" i="39"/>
  <c r="AB116" i="39"/>
  <c r="R126" i="39"/>
  <c r="R127" i="39" s="1"/>
  <c r="AA125" i="39"/>
  <c r="AK56" i="51"/>
  <c r="AH54" i="51"/>
  <c r="AK47" i="51"/>
  <c r="AL43" i="51"/>
  <c r="AI42" i="51"/>
  <c r="AL39" i="51"/>
  <c r="AJ38" i="51"/>
  <c r="AL35" i="51"/>
  <c r="K70" i="51"/>
  <c r="AL70" i="51"/>
  <c r="AI69" i="51"/>
  <c r="AL65" i="51"/>
  <c r="AA62" i="51"/>
  <c r="AL95" i="51"/>
  <c r="AB49" i="55"/>
  <c r="AB45" i="55"/>
  <c r="AB46" i="55"/>
  <c r="AB47" i="55"/>
  <c r="AB48" i="55"/>
  <c r="AI62" i="55"/>
  <c r="AF62" i="55"/>
  <c r="AI124" i="55"/>
  <c r="AF124" i="55"/>
  <c r="AB124" i="55"/>
  <c r="AM78" i="52"/>
  <c r="AN78" i="52"/>
  <c r="AF45" i="52"/>
  <c r="AB45" i="52"/>
  <c r="AI45" i="52"/>
  <c r="AJ45" i="52"/>
  <c r="AF39" i="52"/>
  <c r="AB39" i="52"/>
  <c r="AI39" i="52"/>
  <c r="AJ39" i="52"/>
  <c r="AF93" i="56"/>
  <c r="AI93" i="56"/>
  <c r="AK70" i="16"/>
  <c r="AN99" i="16"/>
  <c r="AH37" i="17"/>
  <c r="AH45" i="17"/>
  <c r="AH54" i="17"/>
  <c r="AH63" i="17"/>
  <c r="AH72" i="17"/>
  <c r="AH81" i="17"/>
  <c r="AH90" i="17"/>
  <c r="AF89" i="17"/>
  <c r="AH97" i="17"/>
  <c r="AH102" i="17"/>
  <c r="AH119" i="17"/>
  <c r="AH115" i="17"/>
  <c r="AE133" i="17"/>
  <c r="AH136" i="17"/>
  <c r="AH148" i="17"/>
  <c r="AH144" i="17"/>
  <c r="AA173" i="17"/>
  <c r="AL57" i="9"/>
  <c r="AL49" i="9"/>
  <c r="AL41" i="9"/>
  <c r="AL65" i="9"/>
  <c r="AE87" i="9"/>
  <c r="AE79" i="9"/>
  <c r="AL89" i="9"/>
  <c r="AH85" i="9"/>
  <c r="AL81" i="9"/>
  <c r="AH77" i="9"/>
  <c r="AE114" i="9"/>
  <c r="AE106" i="9"/>
  <c r="AE102" i="9"/>
  <c r="AE98" i="9"/>
  <c r="AE94" i="9"/>
  <c r="AH115" i="9"/>
  <c r="AL111" i="9"/>
  <c r="AK110" i="9"/>
  <c r="AH107" i="9"/>
  <c r="AL103" i="9"/>
  <c r="AK102" i="9"/>
  <c r="AH99" i="9"/>
  <c r="AL95" i="9"/>
  <c r="AK94" i="9"/>
  <c r="AL119" i="9"/>
  <c r="AK118" i="9"/>
  <c r="AE100" i="39"/>
  <c r="AH98" i="39"/>
  <c r="AE111" i="39"/>
  <c r="AE107" i="39"/>
  <c r="AH109" i="39"/>
  <c r="AE114" i="39"/>
  <c r="AH116" i="39"/>
  <c r="AB123" i="39"/>
  <c r="AE124" i="39"/>
  <c r="AH122" i="39"/>
  <c r="AG126" i="39"/>
  <c r="AB58" i="51"/>
  <c r="AB54" i="51"/>
  <c r="AB50" i="51"/>
  <c r="AB42" i="51"/>
  <c r="AB38" i="51"/>
  <c r="AF38" i="51"/>
  <c r="AL57" i="51"/>
  <c r="AA81" i="51"/>
  <c r="K81" i="51"/>
  <c r="AI84" i="51"/>
  <c r="AJ84" i="51"/>
  <c r="AF84" i="51"/>
  <c r="AH87" i="51"/>
  <c r="AK94" i="51"/>
  <c r="AB125" i="55"/>
  <c r="AF125" i="55"/>
  <c r="AI125" i="55"/>
  <c r="AH126" i="55"/>
  <c r="AG127" i="55"/>
  <c r="AI57" i="52"/>
  <c r="AJ57" i="52"/>
  <c r="AF57" i="52"/>
  <c r="AB57" i="52"/>
  <c r="AI51" i="52"/>
  <c r="AF51" i="52"/>
  <c r="AB51" i="52"/>
  <c r="AJ51" i="52"/>
  <c r="AI52" i="56"/>
  <c r="AF52" i="56"/>
  <c r="AF55" i="53"/>
  <c r="AB55" i="53"/>
  <c r="AI55" i="53"/>
  <c r="AH36" i="17"/>
  <c r="AH44" i="17"/>
  <c r="AH53" i="17"/>
  <c r="AH62" i="17"/>
  <c r="AH71" i="17"/>
  <c r="AH80" i="17"/>
  <c r="AH89" i="17"/>
  <c r="AH127" i="17"/>
  <c r="AE147" i="17"/>
  <c r="AE143" i="17"/>
  <c r="AL58" i="9"/>
  <c r="AH54" i="9"/>
  <c r="AL50" i="9"/>
  <c r="AL42" i="9"/>
  <c r="AH38" i="9"/>
  <c r="AN68" i="9"/>
  <c r="AL66" i="9"/>
  <c r="AJ64" i="9"/>
  <c r="AE72" i="9"/>
  <c r="AL90" i="9"/>
  <c r="AK89" i="9"/>
  <c r="AJ88" i="9"/>
  <c r="AH86" i="9"/>
  <c r="AL82" i="9"/>
  <c r="AK81" i="9"/>
  <c r="AJ80" i="9"/>
  <c r="AH116" i="9"/>
  <c r="AL112" i="9"/>
  <c r="AK111" i="9"/>
  <c r="AJ110" i="9"/>
  <c r="AH108" i="9"/>
  <c r="AL104" i="9"/>
  <c r="AK103" i="9"/>
  <c r="AJ102" i="9"/>
  <c r="AL96" i="9"/>
  <c r="AK95" i="9"/>
  <c r="AJ94" i="9"/>
  <c r="AK119" i="9"/>
  <c r="AJ118" i="9"/>
  <c r="AF134" i="39"/>
  <c r="AL91" i="51"/>
  <c r="AL79" i="51"/>
  <c r="AL87" i="51"/>
  <c r="AL69" i="51"/>
  <c r="AL98" i="51"/>
  <c r="AL78" i="51"/>
  <c r="AL86" i="51"/>
  <c r="AL68" i="51"/>
  <c r="AL36" i="51"/>
  <c r="AL44" i="51"/>
  <c r="AL52" i="51"/>
  <c r="AL101" i="51"/>
  <c r="AL97" i="51"/>
  <c r="AL77" i="51"/>
  <c r="AL85" i="51"/>
  <c r="AL100" i="51"/>
  <c r="AL96" i="51"/>
  <c r="AL76" i="51"/>
  <c r="AL84" i="51"/>
  <c r="AL66" i="51"/>
  <c r="AL94" i="51"/>
  <c r="AL82" i="51"/>
  <c r="AL93" i="51"/>
  <c r="AL81" i="51"/>
  <c r="AL92" i="51"/>
  <c r="AL80" i="51"/>
  <c r="AL88" i="51"/>
  <c r="AJ58" i="51"/>
  <c r="AJ50" i="51"/>
  <c r="AJ42" i="51"/>
  <c r="AL53" i="51"/>
  <c r="AL40" i="51"/>
  <c r="AL63" i="51"/>
  <c r="AB78" i="51"/>
  <c r="AI78" i="51"/>
  <c r="AJ78" i="51"/>
  <c r="AF78" i="51"/>
  <c r="AF37" i="52"/>
  <c r="AB37" i="52"/>
  <c r="AI37" i="52"/>
  <c r="AJ37" i="52"/>
  <c r="AI77" i="52"/>
  <c r="AB77" i="52"/>
  <c r="AJ77" i="52"/>
  <c r="AF77" i="52"/>
  <c r="AJ87" i="52"/>
  <c r="AB125" i="56"/>
  <c r="AI125" i="56"/>
  <c r="AF125" i="56"/>
  <c r="AI43" i="53"/>
  <c r="AF43" i="53"/>
  <c r="AB43" i="53"/>
  <c r="AH35" i="17"/>
  <c r="AE44" i="17"/>
  <c r="AE53" i="17"/>
  <c r="AE62" i="17"/>
  <c r="AE97" i="17"/>
  <c r="AH96" i="17"/>
  <c r="AE115" i="17"/>
  <c r="AH118" i="17"/>
  <c r="AH139" i="17"/>
  <c r="AH135" i="17"/>
  <c r="AH145" i="17"/>
  <c r="AE57" i="9"/>
  <c r="AE49" i="9"/>
  <c r="AE45" i="9"/>
  <c r="AE37" i="9"/>
  <c r="AK58" i="9"/>
  <c r="AL51" i="9"/>
  <c r="AK50" i="9"/>
  <c r="AH47" i="9"/>
  <c r="AL43" i="9"/>
  <c r="AK42" i="9"/>
  <c r="AL35" i="9"/>
  <c r="AL67" i="9"/>
  <c r="AK66" i="9"/>
  <c r="AE90" i="9"/>
  <c r="AE86" i="9"/>
  <c r="AE82" i="9"/>
  <c r="AK90" i="9"/>
  <c r="AH87" i="9"/>
  <c r="AL83" i="9"/>
  <c r="AK82" i="9"/>
  <c r="AH79" i="9"/>
  <c r="AE113" i="9"/>
  <c r="AE105" i="9"/>
  <c r="AE101" i="9"/>
  <c r="AE97" i="9"/>
  <c r="AL113" i="9"/>
  <c r="AK112" i="9"/>
  <c r="AL105" i="9"/>
  <c r="AK104" i="9"/>
  <c r="AF119" i="9"/>
  <c r="AE35" i="39"/>
  <c r="AH48" i="39"/>
  <c r="AE59" i="39"/>
  <c r="AH57" i="39"/>
  <c r="AE68" i="39"/>
  <c r="AH66" i="39"/>
  <c r="AF70" i="39"/>
  <c r="AE85" i="39"/>
  <c r="AE103" i="39"/>
  <c r="AE99" i="39"/>
  <c r="AH101" i="39"/>
  <c r="AH108" i="39"/>
  <c r="AE117" i="39"/>
  <c r="AH119" i="39"/>
  <c r="O126" i="39"/>
  <c r="AH95" i="51"/>
  <c r="AH83" i="51"/>
  <c r="AH94" i="51"/>
  <c r="AH82" i="51"/>
  <c r="AH40" i="51"/>
  <c r="AH48" i="51"/>
  <c r="AH93" i="51"/>
  <c r="AH81" i="51"/>
  <c r="AH92" i="51"/>
  <c r="AN92" i="51" s="1"/>
  <c r="AH80" i="51"/>
  <c r="AH88" i="51"/>
  <c r="AH98" i="51"/>
  <c r="AH86" i="51"/>
  <c r="AH101" i="51"/>
  <c r="AN101" i="51" s="1"/>
  <c r="AH97" i="51"/>
  <c r="AH85" i="51"/>
  <c r="AH100" i="51"/>
  <c r="AH84" i="51"/>
  <c r="AL58" i="51"/>
  <c r="AK53" i="51"/>
  <c r="AL49" i="51"/>
  <c r="AH47" i="51"/>
  <c r="AL45" i="51"/>
  <c r="AH43" i="51"/>
  <c r="AK40" i="51"/>
  <c r="AK36" i="51"/>
  <c r="AF64" i="51"/>
  <c r="AK63" i="51"/>
  <c r="AM70" i="51"/>
  <c r="AN70" i="51"/>
  <c r="AM62" i="51"/>
  <c r="AN62" i="51"/>
  <c r="AA85" i="51"/>
  <c r="K85" i="51"/>
  <c r="AB80" i="51"/>
  <c r="AJ97" i="51"/>
  <c r="AF97" i="51"/>
  <c r="AB97" i="51"/>
  <c r="AI97" i="51"/>
  <c r="AA91" i="51"/>
  <c r="AF94" i="55"/>
  <c r="AI94" i="55"/>
  <c r="AI49" i="52"/>
  <c r="AJ49" i="52"/>
  <c r="AF49" i="52"/>
  <c r="AB49" i="52"/>
  <c r="AI43" i="52"/>
  <c r="AF43" i="52"/>
  <c r="AB43" i="52"/>
  <c r="AJ43" i="52"/>
  <c r="AF69" i="52"/>
  <c r="AI69" i="52"/>
  <c r="AJ69" i="52"/>
  <c r="AI67" i="52"/>
  <c r="AJ67" i="52"/>
  <c r="AF67" i="52"/>
  <c r="AM76" i="52"/>
  <c r="AN76" i="52"/>
  <c r="K96" i="51"/>
  <c r="AJ98" i="51"/>
  <c r="AI101" i="51"/>
  <c r="AF65" i="55"/>
  <c r="AI65" i="55"/>
  <c r="AI75" i="55"/>
  <c r="AH83" i="55"/>
  <c r="AA88" i="55"/>
  <c r="AA145" i="55" s="1"/>
  <c r="AA72" i="55"/>
  <c r="AF86" i="55"/>
  <c r="AB102" i="55"/>
  <c r="AB98" i="55"/>
  <c r="AF100" i="55"/>
  <c r="AB109" i="55"/>
  <c r="AF111" i="55"/>
  <c r="AF107" i="55"/>
  <c r="AB116" i="55"/>
  <c r="AF118" i="55"/>
  <c r="AF114" i="55"/>
  <c r="AI122" i="55"/>
  <c r="O127" i="55"/>
  <c r="AF136" i="55"/>
  <c r="AL55" i="52"/>
  <c r="AK54" i="52"/>
  <c r="AI52" i="52"/>
  <c r="AL47" i="52"/>
  <c r="AK46" i="52"/>
  <c r="AI44" i="52"/>
  <c r="AL39" i="52"/>
  <c r="AK38" i="52"/>
  <c r="AI36" i="52"/>
  <c r="AK70" i="52"/>
  <c r="AN65" i="52"/>
  <c r="AL63" i="52"/>
  <c r="AK62" i="52"/>
  <c r="AA66" i="52"/>
  <c r="K77" i="52"/>
  <c r="AK80" i="52"/>
  <c r="AA84" i="52"/>
  <c r="Z16" i="56"/>
  <c r="AB59" i="56"/>
  <c r="AB71" i="56"/>
  <c r="AF67" i="56"/>
  <c r="AI67" i="56"/>
  <c r="AI77" i="56"/>
  <c r="AF83" i="56"/>
  <c r="AA82" i="56"/>
  <c r="AA42" i="56"/>
  <c r="AF92" i="56"/>
  <c r="AF101" i="56"/>
  <c r="AF108" i="56"/>
  <c r="AF119" i="56"/>
  <c r="AF115" i="56"/>
  <c r="K54" i="53"/>
  <c r="AA54" i="53"/>
  <c r="K38" i="53"/>
  <c r="AA38" i="53"/>
  <c r="AF44" i="53"/>
  <c r="AB44" i="53"/>
  <c r="AF70" i="53"/>
  <c r="AI70" i="53"/>
  <c r="AI63" i="53"/>
  <c r="AF63" i="53"/>
  <c r="AF45" i="61"/>
  <c r="AB45" i="61"/>
  <c r="AI45" i="61"/>
  <c r="AJ45" i="61"/>
  <c r="AJ77" i="61"/>
  <c r="AF77" i="61"/>
  <c r="AI77" i="61"/>
  <c r="AB77" i="61"/>
  <c r="AI83" i="61"/>
  <c r="AJ83" i="61"/>
  <c r="AB83" i="61"/>
  <c r="AF83" i="61"/>
  <c r="AJ87" i="51"/>
  <c r="AJ79" i="51"/>
  <c r="AI98" i="51"/>
  <c r="AF37" i="55"/>
  <c r="AI37" i="55"/>
  <c r="AF75" i="55"/>
  <c r="AA63" i="55"/>
  <c r="AA64" i="55" s="1"/>
  <c r="G63" i="55" s="1"/>
  <c r="AF85" i="55"/>
  <c r="AL56" i="52"/>
  <c r="AK55" i="52"/>
  <c r="AL48" i="52"/>
  <c r="AK47" i="52"/>
  <c r="AL40" i="52"/>
  <c r="AK39" i="52"/>
  <c r="K63" i="52"/>
  <c r="AJ70" i="52"/>
  <c r="AN66" i="52"/>
  <c r="AL64" i="52"/>
  <c r="AK63" i="52"/>
  <c r="AB80" i="52"/>
  <c r="AJ80" i="52"/>
  <c r="AB83" i="52"/>
  <c r="AN85" i="52"/>
  <c r="AL83" i="52"/>
  <c r="AF87" i="52"/>
  <c r="AF39" i="56"/>
  <c r="AF77" i="56"/>
  <c r="AI76" i="56"/>
  <c r="AA81" i="56"/>
  <c r="AA73" i="56"/>
  <c r="AA144" i="56"/>
  <c r="AF87" i="56"/>
  <c r="AF91" i="56"/>
  <c r="AA141" i="56"/>
  <c r="AI140" i="56"/>
  <c r="K55" i="53"/>
  <c r="AF45" i="53"/>
  <c r="AB45" i="53"/>
  <c r="AI45" i="53"/>
  <c r="K39" i="53"/>
  <c r="AM70" i="53"/>
  <c r="AM64" i="53"/>
  <c r="AF88" i="53"/>
  <c r="AB88" i="53"/>
  <c r="AF122" i="57"/>
  <c r="AB122" i="57"/>
  <c r="AI122" i="57"/>
  <c r="AI58" i="61"/>
  <c r="AJ58" i="61"/>
  <c r="AF58" i="61"/>
  <c r="AB58" i="61"/>
  <c r="AI55" i="61"/>
  <c r="AJ55" i="61"/>
  <c r="AF55" i="61"/>
  <c r="AB55" i="61"/>
  <c r="AI42" i="61"/>
  <c r="AJ42" i="61"/>
  <c r="AF42" i="61"/>
  <c r="AB42" i="61"/>
  <c r="AI39" i="61"/>
  <c r="AJ39" i="61"/>
  <c r="AF39" i="61"/>
  <c r="AB39" i="61"/>
  <c r="AH49" i="55"/>
  <c r="AF45" i="55"/>
  <c r="AB77" i="55"/>
  <c r="AI81" i="55"/>
  <c r="AB85" i="55"/>
  <c r="AB101" i="55"/>
  <c r="AF103" i="55"/>
  <c r="AF99" i="55"/>
  <c r="AI101" i="55"/>
  <c r="AB108" i="55"/>
  <c r="AF110" i="55"/>
  <c r="AF106" i="55"/>
  <c r="AI108" i="55"/>
  <c r="AB119" i="55"/>
  <c r="AB115" i="55"/>
  <c r="AF117" i="55"/>
  <c r="AI119" i="55"/>
  <c r="AI115" i="55"/>
  <c r="P126" i="55"/>
  <c r="P127" i="55" s="1"/>
  <c r="AB122" i="55"/>
  <c r="AA144" i="55"/>
  <c r="K57" i="52"/>
  <c r="K53" i="52"/>
  <c r="K49" i="52"/>
  <c r="K45" i="52"/>
  <c r="K41" i="52"/>
  <c r="K37" i="52"/>
  <c r="AA58" i="52"/>
  <c r="AA54" i="52"/>
  <c r="AA50" i="52"/>
  <c r="AA46" i="52"/>
  <c r="AA42" i="52"/>
  <c r="AA38" i="52"/>
  <c r="AL57" i="52"/>
  <c r="AK56" i="52"/>
  <c r="AL49" i="52"/>
  <c r="AK48" i="52"/>
  <c r="AL41" i="52"/>
  <c r="AK40" i="52"/>
  <c r="AL65" i="52"/>
  <c r="AK64" i="52"/>
  <c r="AA64" i="52"/>
  <c r="AL84" i="52"/>
  <c r="AK83" i="52"/>
  <c r="AB51" i="56"/>
  <c r="AF47" i="56"/>
  <c r="AB79" i="56"/>
  <c r="AI75" i="56"/>
  <c r="AA88" i="56"/>
  <c r="AA72" i="56"/>
  <c r="AA94" i="56"/>
  <c r="AB102" i="56"/>
  <c r="AB98" i="56"/>
  <c r="AF100" i="56"/>
  <c r="AI102" i="56"/>
  <c r="AI98" i="56"/>
  <c r="AB109" i="56"/>
  <c r="AF111" i="56"/>
  <c r="AF107" i="56"/>
  <c r="AI109" i="56"/>
  <c r="AB116" i="56"/>
  <c r="AF118" i="56"/>
  <c r="AF114" i="56"/>
  <c r="AI116" i="56"/>
  <c r="Q126" i="56"/>
  <c r="Q127" i="56" s="1"/>
  <c r="AF132" i="56"/>
  <c r="K58" i="53"/>
  <c r="AA58" i="53"/>
  <c r="K42" i="53"/>
  <c r="AA42" i="53"/>
  <c r="AF56" i="53"/>
  <c r="AB56" i="53"/>
  <c r="AI56" i="53"/>
  <c r="AF40" i="53"/>
  <c r="AB40" i="53"/>
  <c r="AI40" i="53"/>
  <c r="AI44" i="53"/>
  <c r="AF68" i="53"/>
  <c r="AF123" i="57"/>
  <c r="AI49" i="61"/>
  <c r="AJ49" i="61"/>
  <c r="AF49" i="61"/>
  <c r="AB49" i="61"/>
  <c r="AI64" i="61"/>
  <c r="AJ64" i="61"/>
  <c r="AF64" i="61"/>
  <c r="AK84" i="52"/>
  <c r="AN88" i="52"/>
  <c r="AA143" i="56"/>
  <c r="AI49" i="53"/>
  <c r="AF49" i="53"/>
  <c r="AB49" i="53"/>
  <c r="K64" i="53"/>
  <c r="AA64" i="53"/>
  <c r="AA79" i="53"/>
  <c r="K79" i="53"/>
  <c r="AF83" i="53"/>
  <c r="AI83" i="53"/>
  <c r="AB83" i="53"/>
  <c r="AI124" i="57"/>
  <c r="AI46" i="61"/>
  <c r="AJ46" i="61"/>
  <c r="AF46" i="61"/>
  <c r="AB46" i="61"/>
  <c r="AJ43" i="61"/>
  <c r="AI43" i="61"/>
  <c r="AF43" i="61"/>
  <c r="AB43" i="61"/>
  <c r="AB78" i="61"/>
  <c r="AI78" i="61"/>
  <c r="AJ78" i="61"/>
  <c r="AF78" i="61"/>
  <c r="AE72" i="51"/>
  <c r="AB87" i="51"/>
  <c r="AB83" i="51"/>
  <c r="AB79" i="51"/>
  <c r="AB98" i="51"/>
  <c r="AB94" i="51"/>
  <c r="AF94" i="51"/>
  <c r="AJ94" i="51"/>
  <c r="AH47" i="55"/>
  <c r="AF69" i="55"/>
  <c r="AI69" i="55"/>
  <c r="AA52" i="55"/>
  <c r="AB100" i="55"/>
  <c r="AB111" i="55"/>
  <c r="AB107" i="55"/>
  <c r="AB118" i="55"/>
  <c r="AB114" i="55"/>
  <c r="AF132" i="55"/>
  <c r="AA141" i="55"/>
  <c r="AK58" i="52"/>
  <c r="AI56" i="52"/>
  <c r="AL51" i="52"/>
  <c r="AK50" i="52"/>
  <c r="AI48" i="52"/>
  <c r="AL43" i="52"/>
  <c r="AK42" i="52"/>
  <c r="AI40" i="52"/>
  <c r="AL35" i="52"/>
  <c r="AL67" i="52"/>
  <c r="AK66" i="52"/>
  <c r="AA72" i="52"/>
  <c r="AL72" i="52"/>
  <c r="K79" i="52"/>
  <c r="AL77" i="52"/>
  <c r="AK76" i="52"/>
  <c r="AK85" i="52"/>
  <c r="AL87" i="52"/>
  <c r="AB39" i="56"/>
  <c r="AF45" i="56"/>
  <c r="AF71" i="56"/>
  <c r="AB101" i="56"/>
  <c r="AB108" i="56"/>
  <c r="AB119" i="56"/>
  <c r="AB115" i="56"/>
  <c r="AA124" i="56"/>
  <c r="AA122" i="56"/>
  <c r="O126" i="56"/>
  <c r="AA19" i="53"/>
  <c r="K46" i="53"/>
  <c r="AA46" i="53"/>
  <c r="AF52" i="53"/>
  <c r="AB52" i="53"/>
  <c r="AF36" i="53"/>
  <c r="AB36" i="53"/>
  <c r="AF69" i="53"/>
  <c r="AI69" i="53"/>
  <c r="AM65" i="53"/>
  <c r="K80" i="53"/>
  <c r="AF76" i="53"/>
  <c r="AB76" i="53"/>
  <c r="AB85" i="53"/>
  <c r="AA90" i="53"/>
  <c r="AF85" i="53"/>
  <c r="AI87" i="53"/>
  <c r="AB87" i="53"/>
  <c r="AF87" i="53"/>
  <c r="AF125" i="57"/>
  <c r="AI125" i="57"/>
  <c r="AB125" i="57"/>
  <c r="AF53" i="61"/>
  <c r="AB53" i="61"/>
  <c r="AI53" i="61"/>
  <c r="AJ53" i="61"/>
  <c r="AF37" i="61"/>
  <c r="AB37" i="61"/>
  <c r="AI37" i="61"/>
  <c r="AJ37" i="61"/>
  <c r="AF69" i="61"/>
  <c r="AI69" i="61"/>
  <c r="AJ69" i="61"/>
  <c r="AJ72" i="61"/>
  <c r="AI84" i="61"/>
  <c r="AF84" i="61"/>
  <c r="AJ84" i="61"/>
  <c r="AB84" i="61"/>
  <c r="AJ83" i="51"/>
  <c r="AB69" i="55"/>
  <c r="AA43" i="55"/>
  <c r="AA44" i="55" s="1"/>
  <c r="G43" i="55" s="1"/>
  <c r="AI85" i="55"/>
  <c r="AH111" i="55"/>
  <c r="AH107" i="55"/>
  <c r="AK51" i="52"/>
  <c r="AK43" i="52"/>
  <c r="AK35" i="52"/>
  <c r="K67" i="52"/>
  <c r="AK67" i="52"/>
  <c r="AK72" i="52"/>
  <c r="AL78" i="52"/>
  <c r="AK77" i="52"/>
  <c r="AL88" i="52"/>
  <c r="AK87" i="52"/>
  <c r="AA53" i="56"/>
  <c r="AA54" i="56" s="1"/>
  <c r="G53" i="56" s="1"/>
  <c r="AI87" i="56"/>
  <c r="AH121" i="56"/>
  <c r="AG126" i="56"/>
  <c r="AF53" i="53"/>
  <c r="AB53" i="53"/>
  <c r="AI53" i="53"/>
  <c r="K47" i="53"/>
  <c r="AF37" i="53"/>
  <c r="AB37" i="53"/>
  <c r="AI37" i="53"/>
  <c r="AI51" i="53"/>
  <c r="AF51" i="53"/>
  <c r="AB51" i="53"/>
  <c r="AI35" i="53"/>
  <c r="AF35" i="53"/>
  <c r="AB35" i="53"/>
  <c r="AF62" i="53"/>
  <c r="AI62" i="53"/>
  <c r="AA72" i="53"/>
  <c r="O91" i="53"/>
  <c r="AF78" i="53"/>
  <c r="AB78" i="53"/>
  <c r="AB84" i="53"/>
  <c r="AI84" i="53"/>
  <c r="AF84" i="53"/>
  <c r="AE126" i="57"/>
  <c r="AD127" i="57"/>
  <c r="AI50" i="61"/>
  <c r="AJ50" i="61"/>
  <c r="AF50" i="61"/>
  <c r="AB50" i="61"/>
  <c r="AI47" i="61"/>
  <c r="AJ47" i="61"/>
  <c r="AF47" i="61"/>
  <c r="AB47" i="61"/>
  <c r="AJ67" i="61"/>
  <c r="AF67" i="61"/>
  <c r="AI67" i="61"/>
  <c r="AI65" i="61"/>
  <c r="AF65" i="61"/>
  <c r="AJ65" i="61"/>
  <c r="AK72" i="51"/>
  <c r="AF83" i="51"/>
  <c r="AB93" i="51"/>
  <c r="AH45" i="55"/>
  <c r="AI77" i="55"/>
  <c r="AH85" i="55"/>
  <c r="AB103" i="55"/>
  <c r="AB99" i="55"/>
  <c r="AB110" i="55"/>
  <c r="AB106" i="55"/>
  <c r="AB117" i="55"/>
  <c r="AK52" i="52"/>
  <c r="AK44" i="52"/>
  <c r="AK36" i="52"/>
  <c r="AK68" i="52"/>
  <c r="AL79" i="52"/>
  <c r="AK78" i="52"/>
  <c r="AK88" i="52"/>
  <c r="AF51" i="56"/>
  <c r="AI51" i="56"/>
  <c r="AF69" i="56"/>
  <c r="AI79" i="56"/>
  <c r="AB100" i="56"/>
  <c r="AB111" i="56"/>
  <c r="AB107" i="56"/>
  <c r="AB118" i="56"/>
  <c r="AB114" i="56"/>
  <c r="K50" i="53"/>
  <c r="AA50" i="53"/>
  <c r="AF48" i="53"/>
  <c r="AB48" i="53"/>
  <c r="AI48" i="53"/>
  <c r="K70" i="53"/>
  <c r="AI67" i="53"/>
  <c r="AF67" i="53"/>
  <c r="AF80" i="53"/>
  <c r="AI80" i="53"/>
  <c r="AB80" i="53"/>
  <c r="AI77" i="53"/>
  <c r="AB77" i="53"/>
  <c r="AF77" i="53"/>
  <c r="AI62" i="57"/>
  <c r="AF62" i="57"/>
  <c r="AJ76" i="61"/>
  <c r="AJ80" i="61"/>
  <c r="AI57" i="61"/>
  <c r="AJ57" i="61"/>
  <c r="AF57" i="61"/>
  <c r="AB57" i="61"/>
  <c r="AI41" i="61"/>
  <c r="AJ41" i="61"/>
  <c r="AF41" i="61"/>
  <c r="AB41" i="61"/>
  <c r="AM88" i="61"/>
  <c r="AN88" i="61"/>
  <c r="AI62" i="62"/>
  <c r="AF62" i="62"/>
  <c r="AA64" i="62"/>
  <c r="G63" i="62" s="1"/>
  <c r="AI42" i="62"/>
  <c r="AF42" i="62"/>
  <c r="AF101" i="51"/>
  <c r="AH103" i="55"/>
  <c r="AK53" i="52"/>
  <c r="AK45" i="52"/>
  <c r="AK37" i="52"/>
  <c r="AK69" i="52"/>
  <c r="AA43" i="56"/>
  <c r="AA20" i="53"/>
  <c r="AJ77" i="53" s="1"/>
  <c r="AI57" i="53"/>
  <c r="AF57" i="53"/>
  <c r="AB57" i="53"/>
  <c r="AI41" i="53"/>
  <c r="AF41" i="53"/>
  <c r="AB41" i="53"/>
  <c r="AI65" i="53"/>
  <c r="AF65" i="53"/>
  <c r="AA74" i="57"/>
  <c r="G73" i="57" s="1"/>
  <c r="AI72" i="57"/>
  <c r="AF72" i="57"/>
  <c r="AF93" i="57"/>
  <c r="AI93" i="57"/>
  <c r="AI54" i="61"/>
  <c r="AJ54" i="61"/>
  <c r="AF54" i="61"/>
  <c r="AB54" i="61"/>
  <c r="AJ51" i="61"/>
  <c r="AI51" i="61"/>
  <c r="AF51" i="61"/>
  <c r="AB51" i="61"/>
  <c r="AI38" i="61"/>
  <c r="AJ38" i="61"/>
  <c r="AF38" i="61"/>
  <c r="AB38" i="61"/>
  <c r="AJ35" i="61"/>
  <c r="AI35" i="61"/>
  <c r="AF35" i="61"/>
  <c r="AB35" i="61"/>
  <c r="AI63" i="61"/>
  <c r="AJ63" i="61"/>
  <c r="AF63" i="61"/>
  <c r="AJ87" i="61"/>
  <c r="AI72" i="62"/>
  <c r="AF72" i="62"/>
  <c r="B29" i="53"/>
  <c r="AL56" i="53"/>
  <c r="AK55" i="53"/>
  <c r="AL48" i="53"/>
  <c r="AK47" i="53"/>
  <c r="AL40" i="53"/>
  <c r="AK39" i="53"/>
  <c r="AN66" i="53"/>
  <c r="AL64" i="53"/>
  <c r="AK63" i="53"/>
  <c r="AL83" i="53"/>
  <c r="AD91" i="53"/>
  <c r="AF66" i="57"/>
  <c r="AI66" i="57"/>
  <c r="AI76" i="57"/>
  <c r="AF87" i="57"/>
  <c r="AF91" i="57"/>
  <c r="AL54" i="61"/>
  <c r="AK53" i="61"/>
  <c r="AJ52" i="61"/>
  <c r="AL46" i="61"/>
  <c r="AK45" i="61"/>
  <c r="AJ44" i="61"/>
  <c r="AL38" i="61"/>
  <c r="AK37" i="61"/>
  <c r="AJ36" i="61"/>
  <c r="K65" i="61"/>
  <c r="AF68" i="61"/>
  <c r="AL70" i="61"/>
  <c r="AK69" i="61"/>
  <c r="AJ68" i="61"/>
  <c r="AN64" i="61"/>
  <c r="AL62" i="61"/>
  <c r="AI72" i="61"/>
  <c r="AL80" i="61"/>
  <c r="AK79" i="61"/>
  <c r="AF88" i="61"/>
  <c r="AJ88" i="61"/>
  <c r="AI87" i="61"/>
  <c r="AF68" i="62"/>
  <c r="AI68" i="62"/>
  <c r="AF79" i="62"/>
  <c r="AA43" i="62"/>
  <c r="AA44" i="62" s="1"/>
  <c r="G43" i="62" s="1"/>
  <c r="AI85" i="62"/>
  <c r="AA93" i="62"/>
  <c r="AI106" i="62"/>
  <c r="W126" i="62"/>
  <c r="W127" i="62" s="1"/>
  <c r="AA122" i="62"/>
  <c r="O126" i="62"/>
  <c r="AD126" i="62"/>
  <c r="AA19" i="63"/>
  <c r="AF53" i="63"/>
  <c r="AB53" i="63"/>
  <c r="AI53" i="63"/>
  <c r="AJ53" i="63"/>
  <c r="K50" i="63"/>
  <c r="AA50" i="63"/>
  <c r="AI47" i="63"/>
  <c r="AJ47" i="63"/>
  <c r="AF47" i="63"/>
  <c r="AB47" i="63"/>
  <c r="AI56" i="63"/>
  <c r="AJ56" i="63"/>
  <c r="AF56" i="63"/>
  <c r="AB56" i="63"/>
  <c r="AI63" i="63"/>
  <c r="AJ63" i="63"/>
  <c r="AF63" i="63"/>
  <c r="AM88" i="63"/>
  <c r="AN88" i="63"/>
  <c r="AI72" i="64"/>
  <c r="AF72" i="64"/>
  <c r="AI62" i="64"/>
  <c r="AF62" i="64"/>
  <c r="AA64" i="64"/>
  <c r="AJ101" i="54"/>
  <c r="AJ38" i="54"/>
  <c r="AJ46" i="54"/>
  <c r="AJ71" i="54"/>
  <c r="AJ62" i="54"/>
  <c r="AJ70" i="54"/>
  <c r="AJ88" i="54"/>
  <c r="AJ80" i="54"/>
  <c r="AJ69" i="54"/>
  <c r="AJ47" i="54"/>
  <c r="AF47" i="54"/>
  <c r="AB47" i="54"/>
  <c r="AI47" i="54"/>
  <c r="AM99" i="54"/>
  <c r="AF134" i="56"/>
  <c r="K57" i="53"/>
  <c r="K53" i="53"/>
  <c r="K49" i="53"/>
  <c r="K45" i="53"/>
  <c r="K41" i="53"/>
  <c r="K37" i="53"/>
  <c r="AL57" i="53"/>
  <c r="AK56" i="53"/>
  <c r="AL49" i="53"/>
  <c r="AK48" i="53"/>
  <c r="AL41" i="53"/>
  <c r="AK40" i="53"/>
  <c r="AL65" i="53"/>
  <c r="AK64" i="53"/>
  <c r="K83" i="53"/>
  <c r="AL84" i="53"/>
  <c r="AK83" i="53"/>
  <c r="AF76" i="57"/>
  <c r="AI75" i="57"/>
  <c r="AA88" i="57"/>
  <c r="AA145" i="57" s="1"/>
  <c r="AA94" i="57"/>
  <c r="AB102" i="57"/>
  <c r="AB98" i="57"/>
  <c r="AB109" i="57"/>
  <c r="AB116" i="57"/>
  <c r="AF136" i="57"/>
  <c r="AL55" i="61"/>
  <c r="AK54" i="61"/>
  <c r="AI52" i="61"/>
  <c r="AL47" i="61"/>
  <c r="AK46" i="61"/>
  <c r="AI44" i="61"/>
  <c r="AL39" i="61"/>
  <c r="AK38" i="61"/>
  <c r="AI36" i="61"/>
  <c r="AK70" i="61"/>
  <c r="AN65" i="61"/>
  <c r="AL63" i="61"/>
  <c r="AK62" i="61"/>
  <c r="AA66" i="61"/>
  <c r="AH72" i="61"/>
  <c r="K77" i="61"/>
  <c r="AK80" i="61"/>
  <c r="AJ79" i="61"/>
  <c r="AI88" i="61"/>
  <c r="AB71" i="62"/>
  <c r="AI77" i="62"/>
  <c r="AA82" i="62"/>
  <c r="AF92" i="62"/>
  <c r="AB103" i="62"/>
  <c r="AB107" i="62"/>
  <c r="AA123" i="62"/>
  <c r="AA141" i="62"/>
  <c r="AI52" i="63"/>
  <c r="AJ52" i="63"/>
  <c r="AF52" i="63"/>
  <c r="AB52" i="63"/>
  <c r="AI68" i="63"/>
  <c r="AJ68" i="63"/>
  <c r="AF68" i="63"/>
  <c r="AB72" i="63"/>
  <c r="AF72" i="63"/>
  <c r="AI72" i="63"/>
  <c r="AJ72" i="63"/>
  <c r="AA91" i="63"/>
  <c r="AF123" i="64"/>
  <c r="AB123" i="64"/>
  <c r="AI123" i="64"/>
  <c r="AD127" i="64"/>
  <c r="AE126" i="64"/>
  <c r="AL58" i="53"/>
  <c r="AK57" i="53"/>
  <c r="AL50" i="53"/>
  <c r="AK49" i="53"/>
  <c r="AL42" i="53"/>
  <c r="AK41" i="53"/>
  <c r="K69" i="53"/>
  <c r="AL66" i="53"/>
  <c r="AK65" i="53"/>
  <c r="AE72" i="53"/>
  <c r="AL76" i="53"/>
  <c r="AL85" i="53"/>
  <c r="AK84" i="53"/>
  <c r="AA63" i="57"/>
  <c r="AA64" i="57" s="1"/>
  <c r="G63" i="57" s="1"/>
  <c r="AG126" i="57"/>
  <c r="B29" i="61"/>
  <c r="AK55" i="61"/>
  <c r="AK47" i="61"/>
  <c r="AL40" i="61"/>
  <c r="AK39" i="61"/>
  <c r="AJ70" i="61"/>
  <c r="AN66" i="61"/>
  <c r="AL64" i="61"/>
  <c r="AK63" i="61"/>
  <c r="AJ62" i="61"/>
  <c r="AI79" i="61"/>
  <c r="AN76" i="61"/>
  <c r="AL83" i="61"/>
  <c r="AF87" i="61"/>
  <c r="AD91" i="61"/>
  <c r="AI76" i="62"/>
  <c r="AA81" i="62"/>
  <c r="AA73" i="62"/>
  <c r="AA74" i="62" s="1"/>
  <c r="G73" i="62" s="1"/>
  <c r="AA144" i="62"/>
  <c r="AF87" i="62"/>
  <c r="AI98" i="62"/>
  <c r="AB98" i="62"/>
  <c r="AI114" i="62"/>
  <c r="AA124" i="62"/>
  <c r="AF45" i="63"/>
  <c r="AB45" i="63"/>
  <c r="AI45" i="63"/>
  <c r="AJ45" i="63"/>
  <c r="K42" i="63"/>
  <c r="AA42" i="63"/>
  <c r="AI39" i="63"/>
  <c r="AJ39" i="63"/>
  <c r="AF39" i="63"/>
  <c r="AB39" i="63"/>
  <c r="AI48" i="63"/>
  <c r="AF77" i="63"/>
  <c r="AI77" i="63"/>
  <c r="AB77" i="63"/>
  <c r="AJ77" i="63"/>
  <c r="AN79" i="63"/>
  <c r="AM79" i="63"/>
  <c r="AB122" i="64"/>
  <c r="AI122" i="64"/>
  <c r="AF122" i="64"/>
  <c r="AI54" i="54"/>
  <c r="AJ54" i="54"/>
  <c r="AF54" i="54"/>
  <c r="AB54" i="54"/>
  <c r="AI51" i="54"/>
  <c r="AF51" i="54"/>
  <c r="AB51" i="54"/>
  <c r="AJ51" i="54"/>
  <c r="AI35" i="54"/>
  <c r="AB35" i="54"/>
  <c r="AJ63" i="54"/>
  <c r="AF63" i="54"/>
  <c r="AI63" i="54"/>
  <c r="AK58" i="53"/>
  <c r="AL51" i="53"/>
  <c r="AK50" i="53"/>
  <c r="AL43" i="53"/>
  <c r="AK42" i="53"/>
  <c r="AL35" i="53"/>
  <c r="AL67" i="53"/>
  <c r="AK66" i="53"/>
  <c r="AL72" i="53"/>
  <c r="AL77" i="53"/>
  <c r="AK76" i="53"/>
  <c r="AK85" i="53"/>
  <c r="AL87" i="53"/>
  <c r="AF36" i="57"/>
  <c r="AI36" i="57"/>
  <c r="AI81" i="57"/>
  <c r="AA54" i="57"/>
  <c r="G53" i="57" s="1"/>
  <c r="AI92" i="57"/>
  <c r="AB101" i="57"/>
  <c r="AB108" i="57"/>
  <c r="AB119" i="57"/>
  <c r="AB115" i="57"/>
  <c r="AI121" i="57"/>
  <c r="AF134" i="57"/>
  <c r="K57" i="61"/>
  <c r="K53" i="61"/>
  <c r="K49" i="61"/>
  <c r="K45" i="61"/>
  <c r="K41" i="61"/>
  <c r="K37" i="61"/>
  <c r="AL57" i="61"/>
  <c r="AK56" i="61"/>
  <c r="AL49" i="61"/>
  <c r="AK48" i="61"/>
  <c r="AL41" i="61"/>
  <c r="AK40" i="61"/>
  <c r="AI70" i="61"/>
  <c r="AL65" i="61"/>
  <c r="AK64" i="61"/>
  <c r="AI62" i="61"/>
  <c r="AF72" i="61"/>
  <c r="K78" i="61"/>
  <c r="K83" i="61"/>
  <c r="AL84" i="61"/>
  <c r="AK83" i="61"/>
  <c r="AF65" i="62"/>
  <c r="AF76" i="62"/>
  <c r="AA88" i="62"/>
  <c r="AA94" i="62"/>
  <c r="AI102" i="62"/>
  <c r="AB102" i="62"/>
  <c r="AF103" i="62"/>
  <c r="AI100" i="62"/>
  <c r="AB106" i="62"/>
  <c r="AI118" i="62"/>
  <c r="AA125" i="62"/>
  <c r="AJ57" i="63"/>
  <c r="AF57" i="63"/>
  <c r="AB57" i="63"/>
  <c r="AI57" i="63"/>
  <c r="K54" i="63"/>
  <c r="AA54" i="63"/>
  <c r="AI51" i="63"/>
  <c r="AF51" i="63"/>
  <c r="AB51" i="63"/>
  <c r="AI44" i="63"/>
  <c r="AJ44" i="63"/>
  <c r="AF44" i="63"/>
  <c r="AB44" i="63"/>
  <c r="AJ51" i="63"/>
  <c r="K64" i="63"/>
  <c r="AA64" i="63"/>
  <c r="AM64" i="63"/>
  <c r="AN64" i="63"/>
  <c r="AM76" i="63"/>
  <c r="AN76" i="63"/>
  <c r="AI83" i="63"/>
  <c r="AJ83" i="63"/>
  <c r="AB83" i="63"/>
  <c r="AF83" i="63"/>
  <c r="AB124" i="64"/>
  <c r="AL52" i="53"/>
  <c r="AK51" i="53"/>
  <c r="AL44" i="53"/>
  <c r="AK43" i="53"/>
  <c r="AL36" i="53"/>
  <c r="AK35" i="53"/>
  <c r="AL68" i="53"/>
  <c r="AK67" i="53"/>
  <c r="AL78" i="53"/>
  <c r="AK77" i="53"/>
  <c r="AL88" i="53"/>
  <c r="AK87" i="53"/>
  <c r="AF52" i="57"/>
  <c r="AI91" i="57"/>
  <c r="O126" i="57"/>
  <c r="AB121" i="57"/>
  <c r="AF141" i="57"/>
  <c r="AL58" i="61"/>
  <c r="AK57" i="61"/>
  <c r="AL50" i="61"/>
  <c r="AK49" i="61"/>
  <c r="AJ48" i="61"/>
  <c r="AL42" i="61"/>
  <c r="AK41" i="61"/>
  <c r="AJ40" i="61"/>
  <c r="K69" i="61"/>
  <c r="AL66" i="61"/>
  <c r="AK65" i="61"/>
  <c r="AB72" i="61"/>
  <c r="AE72" i="61"/>
  <c r="AB79" i="61"/>
  <c r="AL76" i="61"/>
  <c r="AF85" i="61"/>
  <c r="AL85" i="61"/>
  <c r="AK84" i="61"/>
  <c r="AA90" i="61"/>
  <c r="AA143" i="62"/>
  <c r="AF85" i="62"/>
  <c r="AB121" i="62"/>
  <c r="AI121" i="62"/>
  <c r="AF37" i="63"/>
  <c r="AB37" i="63"/>
  <c r="AI37" i="63"/>
  <c r="AJ37" i="63"/>
  <c r="AI40" i="63"/>
  <c r="AJ40" i="63"/>
  <c r="AF40" i="63"/>
  <c r="AB40" i="63"/>
  <c r="AJ67" i="63"/>
  <c r="AI94" i="64"/>
  <c r="AF94" i="64"/>
  <c r="AH126" i="64"/>
  <c r="AG127" i="64"/>
  <c r="AF58" i="54"/>
  <c r="AB58" i="54"/>
  <c r="AI58" i="54"/>
  <c r="AJ58" i="54"/>
  <c r="AJ55" i="54"/>
  <c r="AF55" i="54"/>
  <c r="AB55" i="54"/>
  <c r="AI55" i="54"/>
  <c r="AJ39" i="54"/>
  <c r="AF39" i="54"/>
  <c r="AB39" i="54"/>
  <c r="AI39" i="54"/>
  <c r="AI68" i="54"/>
  <c r="AJ68" i="54"/>
  <c r="AF68" i="54"/>
  <c r="AJ93" i="54"/>
  <c r="AA16" i="57"/>
  <c r="AF102" i="62"/>
  <c r="AB114" i="62"/>
  <c r="Z126" i="62"/>
  <c r="Z127" i="62" s="1"/>
  <c r="R126" i="62"/>
  <c r="R127" i="62" s="1"/>
  <c r="AH121" i="62"/>
  <c r="AG126" i="62"/>
  <c r="AI136" i="62"/>
  <c r="AF136" i="62"/>
  <c r="AJ49" i="63"/>
  <c r="AF49" i="63"/>
  <c r="AB49" i="63"/>
  <c r="AI49" i="63"/>
  <c r="K46" i="63"/>
  <c r="AA46" i="63"/>
  <c r="AF43" i="63"/>
  <c r="AI36" i="63"/>
  <c r="AJ36" i="63"/>
  <c r="AF36" i="63"/>
  <c r="AB36" i="63"/>
  <c r="AA54" i="64"/>
  <c r="G53" i="64" s="1"/>
  <c r="AB125" i="64"/>
  <c r="AI64" i="54"/>
  <c r="AF64" i="54"/>
  <c r="AJ64" i="54"/>
  <c r="AL54" i="53"/>
  <c r="AK53" i="53"/>
  <c r="AL46" i="53"/>
  <c r="AK45" i="53"/>
  <c r="AL38" i="53"/>
  <c r="AK37" i="53"/>
  <c r="AL70" i="53"/>
  <c r="AK69" i="53"/>
  <c r="AL62" i="53"/>
  <c r="AF50" i="57"/>
  <c r="AF68" i="57"/>
  <c r="AI68" i="57"/>
  <c r="AB52" i="61"/>
  <c r="AB48" i="61"/>
  <c r="AB44" i="61"/>
  <c r="AB40" i="61"/>
  <c r="AB36" i="61"/>
  <c r="AK51" i="61"/>
  <c r="AK43" i="61"/>
  <c r="AK35" i="61"/>
  <c r="AK67" i="61"/>
  <c r="AL78" i="61"/>
  <c r="AK77" i="61"/>
  <c r="AB85" i="61"/>
  <c r="AJ85" i="61"/>
  <c r="AB87" i="61"/>
  <c r="AK87" i="61"/>
  <c r="AA91" i="61"/>
  <c r="AB100" i="62"/>
  <c r="AB118" i="62"/>
  <c r="Y126" i="62"/>
  <c r="Y127" i="62" s="1"/>
  <c r="Q126" i="62"/>
  <c r="Q127" i="62" s="1"/>
  <c r="K58" i="63"/>
  <c r="AA58" i="63"/>
  <c r="AI55" i="63"/>
  <c r="AJ55" i="63"/>
  <c r="AF55" i="63"/>
  <c r="AB55" i="63"/>
  <c r="AF67" i="63"/>
  <c r="AI67" i="63"/>
  <c r="G63" i="64"/>
  <c r="AI43" i="54"/>
  <c r="AF43" i="54"/>
  <c r="AB43" i="54"/>
  <c r="AJ43" i="54"/>
  <c r="AJ41" i="63"/>
  <c r="AF41" i="63"/>
  <c r="AB41" i="63"/>
  <c r="AI41" i="63"/>
  <c r="K38" i="63"/>
  <c r="AA38" i="63"/>
  <c r="AI35" i="63"/>
  <c r="AF35" i="63"/>
  <c r="AB35" i="63"/>
  <c r="AJ65" i="63"/>
  <c r="AI65" i="63"/>
  <c r="AF65" i="63"/>
  <c r="AJ84" i="63"/>
  <c r="AB84" i="63"/>
  <c r="AI84" i="63"/>
  <c r="AF84" i="63"/>
  <c r="AB109" i="54"/>
  <c r="AB103" i="54"/>
  <c r="AB38" i="54"/>
  <c r="AB42" i="54"/>
  <c r="AB50" i="54"/>
  <c r="AL52" i="63"/>
  <c r="AK51" i="63"/>
  <c r="AL44" i="63"/>
  <c r="AK43" i="63"/>
  <c r="AL36" i="63"/>
  <c r="AK35" i="63"/>
  <c r="AL68" i="63"/>
  <c r="AK67" i="63"/>
  <c r="AA69" i="63"/>
  <c r="AK72" i="63"/>
  <c r="AF79" i="63"/>
  <c r="AL78" i="63"/>
  <c r="AK77" i="63"/>
  <c r="AB85" i="63"/>
  <c r="AJ85" i="63"/>
  <c r="AB87" i="63"/>
  <c r="AL88" i="63"/>
  <c r="AK87" i="63"/>
  <c r="AB76" i="64"/>
  <c r="AI87" i="64"/>
  <c r="O126" i="64"/>
  <c r="AB121" i="64"/>
  <c r="AH95" i="54"/>
  <c r="AH103" i="54"/>
  <c r="AH82" i="54"/>
  <c r="AH93" i="54"/>
  <c r="AH101" i="54"/>
  <c r="AH80" i="54"/>
  <c r="AH88" i="54"/>
  <c r="AH79" i="54"/>
  <c r="AH87" i="54"/>
  <c r="AH98" i="54"/>
  <c r="AH106" i="54"/>
  <c r="AH85" i="54"/>
  <c r="AH109" i="54"/>
  <c r="AH97" i="54"/>
  <c r="AH84" i="54"/>
  <c r="AH72" i="54"/>
  <c r="AH108" i="54"/>
  <c r="AH96" i="54"/>
  <c r="AH104" i="54"/>
  <c r="AH83" i="54"/>
  <c r="AL58" i="54"/>
  <c r="AH54" i="54"/>
  <c r="AL50" i="54"/>
  <c r="AH46" i="54"/>
  <c r="AN46" i="54" s="1"/>
  <c r="AL42" i="54"/>
  <c r="AK41" i="54"/>
  <c r="AH38" i="54"/>
  <c r="AL64" i="54"/>
  <c r="AA66" i="54"/>
  <c r="AA72" i="54"/>
  <c r="AK72" i="54"/>
  <c r="AI83" i="54"/>
  <c r="AB83" i="54"/>
  <c r="AF83" i="54"/>
  <c r="AK89" i="54"/>
  <c r="AK76" i="54"/>
  <c r="AJ95" i="54"/>
  <c r="AF95" i="54"/>
  <c r="AB92" i="54"/>
  <c r="AJ109" i="54"/>
  <c r="AJ62" i="11"/>
  <c r="AJ56" i="11"/>
  <c r="AI41" i="11"/>
  <c r="AJ41" i="11"/>
  <c r="AF41" i="11"/>
  <c r="AB41" i="11"/>
  <c r="AI55" i="11"/>
  <c r="AF55" i="11"/>
  <c r="AJ55" i="11"/>
  <c r="AI68" i="11"/>
  <c r="AJ68" i="11"/>
  <c r="AM73" i="11"/>
  <c r="AA78" i="63"/>
  <c r="AL79" i="63"/>
  <c r="AK78" i="63"/>
  <c r="AI85" i="63"/>
  <c r="AK88" i="63"/>
  <c r="AJ87" i="63"/>
  <c r="AA141" i="64"/>
  <c r="AA57" i="54"/>
  <c r="AA53" i="54"/>
  <c r="AA49" i="54"/>
  <c r="AA45" i="54"/>
  <c r="AA41" i="54"/>
  <c r="AA37" i="54"/>
  <c r="AJ65" i="54"/>
  <c r="AI65" i="54"/>
  <c r="AJ84" i="54"/>
  <c r="AB84" i="54"/>
  <c r="AI84" i="54"/>
  <c r="AH89" i="54"/>
  <c r="AA104" i="54"/>
  <c r="K104" i="54"/>
  <c r="AI101" i="54"/>
  <c r="AB101" i="54"/>
  <c r="AF101" i="54"/>
  <c r="AI108" i="54"/>
  <c r="AB108" i="54"/>
  <c r="AF108" i="54"/>
  <c r="AI52" i="58"/>
  <c r="AF52" i="58"/>
  <c r="AF121" i="58"/>
  <c r="AI121" i="58"/>
  <c r="AF48" i="11"/>
  <c r="AI48" i="11"/>
  <c r="AB48" i="11"/>
  <c r="AJ48" i="11"/>
  <c r="AJ58" i="11"/>
  <c r="AI75" i="11"/>
  <c r="AJ75" i="11"/>
  <c r="AB75" i="11"/>
  <c r="AF75" i="11"/>
  <c r="AM70" i="11"/>
  <c r="AL54" i="63"/>
  <c r="AK53" i="63"/>
  <c r="AL46" i="63"/>
  <c r="AK45" i="63"/>
  <c r="AL38" i="63"/>
  <c r="AK37" i="63"/>
  <c r="AL70" i="63"/>
  <c r="AK69" i="63"/>
  <c r="AL62" i="63"/>
  <c r="AL80" i="63"/>
  <c r="AK79" i="63"/>
  <c r="AF88" i="63"/>
  <c r="AJ88" i="63"/>
  <c r="AI87" i="63"/>
  <c r="Y91" i="63"/>
  <c r="AB69" i="64"/>
  <c r="AF68" i="64"/>
  <c r="AI68" i="64"/>
  <c r="AF79" i="64"/>
  <c r="AA43" i="64"/>
  <c r="AI85" i="64"/>
  <c r="AA93" i="64"/>
  <c r="AK98" i="54"/>
  <c r="AK106" i="54"/>
  <c r="AK77" i="54"/>
  <c r="AK85" i="54"/>
  <c r="AK66" i="54"/>
  <c r="AK108" i="54"/>
  <c r="AK96" i="54"/>
  <c r="AK104" i="54"/>
  <c r="AK83" i="54"/>
  <c r="AK95" i="54"/>
  <c r="AK103" i="54"/>
  <c r="AK82" i="54"/>
  <c r="AK93" i="54"/>
  <c r="AK101" i="54"/>
  <c r="AK80" i="54"/>
  <c r="AK88" i="54"/>
  <c r="AK92" i="54"/>
  <c r="AK100" i="54"/>
  <c r="AK79" i="54"/>
  <c r="AK87" i="54"/>
  <c r="AK99" i="54"/>
  <c r="AK78" i="54"/>
  <c r="AK86" i="54"/>
  <c r="AK67" i="54"/>
  <c r="AL52" i="54"/>
  <c r="AK51" i="54"/>
  <c r="AJ50" i="54"/>
  <c r="AH48" i="54"/>
  <c r="AL44" i="54"/>
  <c r="AK43" i="54"/>
  <c r="AJ42" i="54"/>
  <c r="AH40" i="54"/>
  <c r="AL36" i="54"/>
  <c r="AK35" i="54"/>
  <c r="K67" i="54"/>
  <c r="AF65" i="54"/>
  <c r="AK70" i="54"/>
  <c r="AJ67" i="54"/>
  <c r="AB87" i="54"/>
  <c r="AJ87" i="54"/>
  <c r="AF87" i="54"/>
  <c r="AE82" i="54"/>
  <c r="AB100" i="54"/>
  <c r="AL95" i="54"/>
  <c r="AK109" i="54"/>
  <c r="AA84" i="58"/>
  <c r="G82" i="58" s="1"/>
  <c r="AF81" i="58"/>
  <c r="AI81" i="58"/>
  <c r="AB125" i="58"/>
  <c r="AF125" i="58"/>
  <c r="AI125" i="58"/>
  <c r="AF122" i="58"/>
  <c r="AB122" i="58"/>
  <c r="AI122" i="58"/>
  <c r="AJ45" i="11"/>
  <c r="AF45" i="11"/>
  <c r="AB45" i="11"/>
  <c r="AI45" i="11"/>
  <c r="AM50" i="11"/>
  <c r="AN50" i="11"/>
  <c r="AF72" i="11"/>
  <c r="AI72" i="11"/>
  <c r="AJ72" i="11"/>
  <c r="AB72" i="11"/>
  <c r="AJ69" i="11"/>
  <c r="AB109" i="62"/>
  <c r="AB116" i="62"/>
  <c r="AL55" i="63"/>
  <c r="AK54" i="63"/>
  <c r="AL47" i="63"/>
  <c r="AK46" i="63"/>
  <c r="AL39" i="63"/>
  <c r="AK38" i="63"/>
  <c r="AK70" i="63"/>
  <c r="AN65" i="63"/>
  <c r="AL63" i="63"/>
  <c r="AK62" i="63"/>
  <c r="AA66" i="63"/>
  <c r="AH72" i="63"/>
  <c r="K77" i="63"/>
  <c r="AK80" i="63"/>
  <c r="AJ79" i="63"/>
  <c r="AI88" i="63"/>
  <c r="AB71" i="64"/>
  <c r="AI77" i="64"/>
  <c r="AA82" i="64"/>
  <c r="AA42" i="64"/>
  <c r="AF92" i="64"/>
  <c r="AB103" i="64"/>
  <c r="AB99" i="64"/>
  <c r="AF101" i="64"/>
  <c r="AI103" i="64"/>
  <c r="AI99" i="64"/>
  <c r="AB110" i="64"/>
  <c r="AB106" i="64"/>
  <c r="AF108" i="64"/>
  <c r="AI110" i="64"/>
  <c r="AI106" i="64"/>
  <c r="AB117" i="64"/>
  <c r="AF119" i="64"/>
  <c r="AF115" i="64"/>
  <c r="AI117" i="64"/>
  <c r="AF121" i="64"/>
  <c r="AF130" i="64"/>
  <c r="AE94" i="54"/>
  <c r="AE98" i="54"/>
  <c r="AE106" i="54"/>
  <c r="AE80" i="54"/>
  <c r="AE84" i="54"/>
  <c r="AE88" i="54"/>
  <c r="AE95" i="54"/>
  <c r="AE81" i="54"/>
  <c r="AE85" i="54"/>
  <c r="AE89" i="54"/>
  <c r="AE108" i="54"/>
  <c r="AE93" i="54"/>
  <c r="AE97" i="54"/>
  <c r="AE101" i="54"/>
  <c r="AE79" i="54"/>
  <c r="AE87" i="54"/>
  <c r="AE109" i="54"/>
  <c r="AA56" i="54"/>
  <c r="AA52" i="54"/>
  <c r="AA48" i="54"/>
  <c r="AA44" i="54"/>
  <c r="AA40" i="54"/>
  <c r="AA36" i="54"/>
  <c r="AE40" i="54"/>
  <c r="AE36" i="54"/>
  <c r="AH57" i="54"/>
  <c r="AL53" i="54"/>
  <c r="AK52" i="54"/>
  <c r="AH49" i="54"/>
  <c r="AL45" i="54"/>
  <c r="AK44" i="54"/>
  <c r="AL37" i="54"/>
  <c r="AK36" i="54"/>
  <c r="AL71" i="54"/>
  <c r="AN68" i="54"/>
  <c r="AI67" i="54"/>
  <c r="AK62" i="54"/>
  <c r="AE72" i="54"/>
  <c r="AA78" i="54"/>
  <c r="K78" i="54"/>
  <c r="AI80" i="54"/>
  <c r="AB80" i="54"/>
  <c r="AF80" i="54"/>
  <c r="AJ83" i="54"/>
  <c r="AA96" i="54"/>
  <c r="K96" i="54"/>
  <c r="AL103" i="54"/>
  <c r="AI95" i="54"/>
  <c r="AI106" i="54"/>
  <c r="AJ106" i="54"/>
  <c r="AB106" i="54"/>
  <c r="AJ108" i="54"/>
  <c r="AI123" i="58"/>
  <c r="AF123" i="58"/>
  <c r="AB123" i="58"/>
  <c r="AI36" i="11"/>
  <c r="AJ36" i="11"/>
  <c r="AF36" i="11"/>
  <c r="AB36" i="11"/>
  <c r="G63" i="59"/>
  <c r="B29" i="63"/>
  <c r="AL56" i="63"/>
  <c r="AK55" i="63"/>
  <c r="AL48" i="63"/>
  <c r="AK47" i="63"/>
  <c r="AL40" i="63"/>
  <c r="AK39" i="63"/>
  <c r="AJ70" i="63"/>
  <c r="AN66" i="63"/>
  <c r="AL64" i="63"/>
  <c r="AK63" i="63"/>
  <c r="AJ62" i="63"/>
  <c r="AB80" i="63"/>
  <c r="AJ80" i="63"/>
  <c r="AI79" i="63"/>
  <c r="AL83" i="63"/>
  <c r="AD91" i="63"/>
  <c r="AI76" i="64"/>
  <c r="AA81" i="64"/>
  <c r="AA73" i="64"/>
  <c r="AA74" i="64" s="1"/>
  <c r="G73" i="64" s="1"/>
  <c r="AF87" i="64"/>
  <c r="AH123" i="64"/>
  <c r="AH58" i="54"/>
  <c r="AL46" i="54"/>
  <c r="AH42" i="54"/>
  <c r="AL38" i="54"/>
  <c r="AK71" i="54"/>
  <c r="AK68" i="54"/>
  <c r="AL65" i="54"/>
  <c r="AI87" i="54"/>
  <c r="AL82" i="54"/>
  <c r="AA97" i="54"/>
  <c r="AH99" i="54"/>
  <c r="AN99" i="54" s="1"/>
  <c r="AK94" i="54"/>
  <c r="AI49" i="11"/>
  <c r="AJ49" i="11"/>
  <c r="AF49" i="11"/>
  <c r="AB49" i="11"/>
  <c r="AB46" i="11"/>
  <c r="AI61" i="11"/>
  <c r="AJ61" i="11"/>
  <c r="AF61" i="11"/>
  <c r="AI59" i="11"/>
  <c r="AJ59" i="11"/>
  <c r="AF59" i="11"/>
  <c r="AI76" i="11"/>
  <c r="AF76" i="11"/>
  <c r="AJ76" i="11"/>
  <c r="AB76" i="11"/>
  <c r="AB86" i="11"/>
  <c r="AF86" i="11"/>
  <c r="AI86" i="11"/>
  <c r="AJ86" i="11"/>
  <c r="AF134" i="62"/>
  <c r="K57" i="63"/>
  <c r="K53" i="63"/>
  <c r="K49" i="63"/>
  <c r="K45" i="63"/>
  <c r="K41" i="63"/>
  <c r="K37" i="63"/>
  <c r="AL57" i="63"/>
  <c r="AK56" i="63"/>
  <c r="AL49" i="63"/>
  <c r="AK48" i="63"/>
  <c r="AL41" i="63"/>
  <c r="AK40" i="63"/>
  <c r="AI70" i="63"/>
  <c r="AL65" i="63"/>
  <c r="AK64" i="63"/>
  <c r="AI62" i="63"/>
  <c r="K83" i="63"/>
  <c r="AL84" i="63"/>
  <c r="AK83" i="63"/>
  <c r="AF65" i="64"/>
  <c r="AA88" i="64"/>
  <c r="AB102" i="64"/>
  <c r="AB98" i="64"/>
  <c r="AB109" i="64"/>
  <c r="AB116" i="64"/>
  <c r="AE47" i="54"/>
  <c r="AE43" i="54"/>
  <c r="AE35" i="54"/>
  <c r="AL55" i="54"/>
  <c r="AK54" i="54"/>
  <c r="AL47" i="54"/>
  <c r="AK46" i="54"/>
  <c r="AH43" i="54"/>
  <c r="AL39" i="54"/>
  <c r="AK38" i="54"/>
  <c r="AH35" i="54"/>
  <c r="K68" i="54"/>
  <c r="AK65" i="54"/>
  <c r="AL63" i="54"/>
  <c r="AI62" i="54"/>
  <c r="AA82" i="54"/>
  <c r="K82" i="54"/>
  <c r="AJ76" i="54"/>
  <c r="AB76" i="54"/>
  <c r="AI76" i="54"/>
  <c r="AL77" i="54"/>
  <c r="AB95" i="54"/>
  <c r="AL106" i="54"/>
  <c r="AK102" i="54"/>
  <c r="AL98" i="54"/>
  <c r="AH94" i="54"/>
  <c r="AI124" i="58"/>
  <c r="AF124" i="58"/>
  <c r="AF40" i="11"/>
  <c r="AI40" i="11"/>
  <c r="AB40" i="11"/>
  <c r="AJ40" i="11"/>
  <c r="AI67" i="11"/>
  <c r="AJ67" i="11"/>
  <c r="AB67" i="11"/>
  <c r="AF67" i="11"/>
  <c r="AI82" i="11"/>
  <c r="AJ82" i="11"/>
  <c r="AF82" i="11"/>
  <c r="AB82" i="11"/>
  <c r="AB87" i="11"/>
  <c r="AL58" i="63"/>
  <c r="AK57" i="63"/>
  <c r="AL50" i="63"/>
  <c r="AK49" i="63"/>
  <c r="AL42" i="63"/>
  <c r="AK41" i="63"/>
  <c r="AL66" i="63"/>
  <c r="AK65" i="63"/>
  <c r="AL76" i="63"/>
  <c r="AF85" i="63"/>
  <c r="AL85" i="63"/>
  <c r="AK84" i="63"/>
  <c r="Q126" i="64"/>
  <c r="Q127" i="64" s="1"/>
  <c r="AH44" i="54"/>
  <c r="AL40" i="54"/>
  <c r="AH36" i="54"/>
  <c r="AK63" i="54"/>
  <c r="AN62" i="54"/>
  <c r="AB79" i="54"/>
  <c r="AJ79" i="54"/>
  <c r="AF79" i="54"/>
  <c r="AH86" i="54"/>
  <c r="AK81" i="54"/>
  <c r="AJ103" i="54"/>
  <c r="AF103" i="54"/>
  <c r="AJ105" i="54"/>
  <c r="AB105" i="54"/>
  <c r="AI105" i="54"/>
  <c r="AF105" i="54"/>
  <c r="AJ37" i="11"/>
  <c r="AF37" i="11"/>
  <c r="AB37" i="11"/>
  <c r="AI37" i="11"/>
  <c r="AM42" i="11"/>
  <c r="AN42" i="11"/>
  <c r="AF57" i="11"/>
  <c r="AI57" i="11"/>
  <c r="AJ57" i="11"/>
  <c r="AJ77" i="11"/>
  <c r="AJ84" i="11"/>
  <c r="AK58" i="63"/>
  <c r="AK50" i="63"/>
  <c r="AK42" i="63"/>
  <c r="AK66" i="63"/>
  <c r="AL72" i="63"/>
  <c r="AL77" i="63"/>
  <c r="AK76" i="63"/>
  <c r="AF71" i="64"/>
  <c r="AB101" i="64"/>
  <c r="AB108" i="64"/>
  <c r="AB119" i="64"/>
  <c r="AB115" i="64"/>
  <c r="AL99" i="54"/>
  <c r="AL78" i="54"/>
  <c r="AL86" i="54"/>
  <c r="AL67" i="54"/>
  <c r="AL109" i="54"/>
  <c r="AL97" i="54"/>
  <c r="AL105" i="54"/>
  <c r="AL76" i="54"/>
  <c r="AL84" i="54"/>
  <c r="AL108" i="54"/>
  <c r="AL96" i="54"/>
  <c r="AL104" i="54"/>
  <c r="AL83" i="54"/>
  <c r="AL94" i="54"/>
  <c r="AL102" i="54"/>
  <c r="AL81" i="54"/>
  <c r="AL89" i="54"/>
  <c r="AL62" i="54"/>
  <c r="AL93" i="54"/>
  <c r="AL101" i="54"/>
  <c r="AL80" i="54"/>
  <c r="AL88" i="54"/>
  <c r="AL92" i="54"/>
  <c r="AL100" i="54"/>
  <c r="AL79" i="54"/>
  <c r="AL87" i="54"/>
  <c r="AL68" i="54"/>
  <c r="AE58" i="54"/>
  <c r="AE54" i="54"/>
  <c r="AE42" i="54"/>
  <c r="AE38" i="54"/>
  <c r="AL57" i="54"/>
  <c r="AK56" i="54"/>
  <c r="AL49" i="54"/>
  <c r="AK48" i="54"/>
  <c r="AH45" i="54"/>
  <c r="AL41" i="54"/>
  <c r="AK40" i="54"/>
  <c r="AH37" i="54"/>
  <c r="AK69" i="54"/>
  <c r="AL66" i="54"/>
  <c r="AM64" i="54"/>
  <c r="AN69" i="54"/>
  <c r="AM69" i="54"/>
  <c r="AL72" i="54"/>
  <c r="AA86" i="54"/>
  <c r="K86" i="54"/>
  <c r="AI88" i="54"/>
  <c r="AB88" i="54"/>
  <c r="AE86" i="54"/>
  <c r="AL85" i="54"/>
  <c r="AH81" i="54"/>
  <c r="AF99" i="54"/>
  <c r="AI99" i="54"/>
  <c r="AJ99" i="54"/>
  <c r="AI93" i="54"/>
  <c r="AB93" i="54"/>
  <c r="AF93" i="54"/>
  <c r="AE100" i="54"/>
  <c r="AK105" i="54"/>
  <c r="AK97" i="54"/>
  <c r="AI44" i="11"/>
  <c r="AJ44" i="11"/>
  <c r="AF44" i="11"/>
  <c r="AB44" i="11"/>
  <c r="AB71" i="11"/>
  <c r="AI71" i="11"/>
  <c r="AJ71" i="11"/>
  <c r="AF71" i="11"/>
  <c r="AB102" i="54"/>
  <c r="AB94" i="54"/>
  <c r="AI109" i="54"/>
  <c r="AD112" i="54"/>
  <c r="AE38" i="58"/>
  <c r="AH35" i="58"/>
  <c r="AE45" i="58"/>
  <c r="AH69" i="58"/>
  <c r="AB79" i="58"/>
  <c r="AH76" i="58"/>
  <c r="AH83" i="58"/>
  <c r="AA88" i="58"/>
  <c r="AA145" i="58" s="1"/>
  <c r="AA72" i="58"/>
  <c r="AF86" i="58"/>
  <c r="AA94" i="58"/>
  <c r="AB102" i="58"/>
  <c r="AB98" i="58"/>
  <c r="AI102" i="58"/>
  <c r="AI98" i="58"/>
  <c r="AB109" i="58"/>
  <c r="AI109" i="58"/>
  <c r="AB116" i="58"/>
  <c r="AI116" i="58"/>
  <c r="R126" i="58"/>
  <c r="R127" i="58" s="1"/>
  <c r="AF136" i="58"/>
  <c r="AA146" i="58"/>
  <c r="AL48" i="11"/>
  <c r="AJ46" i="11"/>
  <c r="AH44" i="11"/>
  <c r="AL40" i="11"/>
  <c r="AK39" i="11"/>
  <c r="AJ38" i="11"/>
  <c r="AH36" i="11"/>
  <c r="AL57" i="11"/>
  <c r="AK56" i="11"/>
  <c r="AJ63" i="11"/>
  <c r="AI77" i="11"/>
  <c r="AH76" i="11"/>
  <c r="AL72" i="11"/>
  <c r="AK71" i="11"/>
  <c r="AJ70" i="11"/>
  <c r="AI69" i="11"/>
  <c r="AA80" i="11"/>
  <c r="AI84" i="11"/>
  <c r="AH83" i="11"/>
  <c r="AK87" i="11"/>
  <c r="AH38" i="59"/>
  <c r="G43" i="59"/>
  <c r="AB80" i="59"/>
  <c r="AF93" i="59"/>
  <c r="AI93" i="59"/>
  <c r="AH121" i="59"/>
  <c r="AG126" i="59"/>
  <c r="AI132" i="59"/>
  <c r="AF132" i="59"/>
  <c r="AA146" i="59"/>
  <c r="AI136" i="59"/>
  <c r="AF136" i="59"/>
  <c r="AA19" i="65"/>
  <c r="AB102" i="65" s="1"/>
  <c r="K41" i="65"/>
  <c r="AA41" i="65"/>
  <c r="AF65" i="65"/>
  <c r="AI65" i="65"/>
  <c r="AJ65" i="65"/>
  <c r="AJ63" i="65"/>
  <c r="AF63" i="65"/>
  <c r="AI63" i="65"/>
  <c r="AA61" i="65"/>
  <c r="K61" i="65"/>
  <c r="AB74" i="65"/>
  <c r="AI74" i="65"/>
  <c r="AJ74" i="65"/>
  <c r="AF74" i="65"/>
  <c r="AA89" i="54"/>
  <c r="AA85" i="54"/>
  <c r="AA81" i="54"/>
  <c r="AA77" i="54"/>
  <c r="AA98" i="54"/>
  <c r="AH59" i="58"/>
  <c r="AH68" i="58"/>
  <c r="AH75" i="58"/>
  <c r="AH102" i="58"/>
  <c r="AH98" i="58"/>
  <c r="AE111" i="58"/>
  <c r="AE107" i="58"/>
  <c r="AH109" i="58"/>
  <c r="AE114" i="58"/>
  <c r="AH116" i="58"/>
  <c r="AE124" i="58"/>
  <c r="AH122" i="58"/>
  <c r="AG126" i="58"/>
  <c r="AJ47" i="11"/>
  <c r="AH45" i="11"/>
  <c r="AJ39" i="11"/>
  <c r="AH37" i="11"/>
  <c r="AL58" i="11"/>
  <c r="AK57" i="11"/>
  <c r="AI63" i="11"/>
  <c r="AH77" i="11"/>
  <c r="AL73" i="11"/>
  <c r="AK72" i="11"/>
  <c r="AI70" i="11"/>
  <c r="AF84" i="11"/>
  <c r="AH84" i="11"/>
  <c r="AL80" i="11"/>
  <c r="AF87" i="11"/>
  <c r="AJ87" i="11"/>
  <c r="Z16" i="59"/>
  <c r="AF40" i="59"/>
  <c r="Z16" i="65"/>
  <c r="AJ54" i="65"/>
  <c r="AF54" i="65"/>
  <c r="AB54" i="65"/>
  <c r="AI48" i="65"/>
  <c r="AJ48" i="65"/>
  <c r="AF48" i="65"/>
  <c r="AJ38" i="65"/>
  <c r="AF38" i="65"/>
  <c r="AB38" i="65"/>
  <c r="AI86" i="65"/>
  <c r="AJ86" i="65"/>
  <c r="AF86" i="65"/>
  <c r="AJ80" i="65"/>
  <c r="AF80" i="65"/>
  <c r="AI80" i="65"/>
  <c r="AI77" i="65"/>
  <c r="AJ77" i="65"/>
  <c r="AF77" i="65"/>
  <c r="AJ87" i="65"/>
  <c r="AI97" i="65"/>
  <c r="AF97" i="65"/>
  <c r="AJ97" i="65"/>
  <c r="K99" i="54"/>
  <c r="AF100" i="54"/>
  <c r="AF92" i="54"/>
  <c r="AJ100" i="54"/>
  <c r="AJ92" i="54"/>
  <c r="AB39" i="58"/>
  <c r="AE36" i="58"/>
  <c r="AH49" i="58"/>
  <c r="AH58" i="58"/>
  <c r="AE69" i="58"/>
  <c r="AH67" i="58"/>
  <c r="AF71" i="58"/>
  <c r="AI71" i="58"/>
  <c r="AD126" i="58"/>
  <c r="AF134" i="58"/>
  <c r="AL50" i="11"/>
  <c r="AK49" i="11"/>
  <c r="AI47" i="11"/>
  <c r="AL42" i="11"/>
  <c r="AK41" i="11"/>
  <c r="AI39" i="11"/>
  <c r="AH38" i="11"/>
  <c r="K61" i="11"/>
  <c r="AN61" i="11"/>
  <c r="AL59" i="11"/>
  <c r="AK58" i="11"/>
  <c r="AH63" i="11"/>
  <c r="AL74" i="11"/>
  <c r="AK73" i="11"/>
  <c r="AH70" i="11"/>
  <c r="AN70" i="11" s="1"/>
  <c r="K82" i="11"/>
  <c r="AA83" i="11"/>
  <c r="AL81" i="11"/>
  <c r="AK80" i="11"/>
  <c r="AI87" i="11"/>
  <c r="AH86" i="11"/>
  <c r="AH83" i="59"/>
  <c r="AF124" i="59"/>
  <c r="AE126" i="59"/>
  <c r="AD127" i="59"/>
  <c r="K45" i="65"/>
  <c r="AA45" i="65"/>
  <c r="AF55" i="65"/>
  <c r="AI55" i="65"/>
  <c r="AF95" i="65"/>
  <c r="AB95" i="65"/>
  <c r="AI95" i="65"/>
  <c r="AJ95" i="65"/>
  <c r="AB38" i="58"/>
  <c r="AE35" i="58"/>
  <c r="AH48" i="58"/>
  <c r="AH57" i="58"/>
  <c r="AE68" i="58"/>
  <c r="AH66" i="58"/>
  <c r="AE85" i="58"/>
  <c r="AA53" i="58"/>
  <c r="AA54" i="58" s="1"/>
  <c r="G53" i="58" s="1"/>
  <c r="AI87" i="58"/>
  <c r="AE103" i="58"/>
  <c r="AE99" i="58"/>
  <c r="AH101" i="58"/>
  <c r="AH108" i="58"/>
  <c r="AE117" i="58"/>
  <c r="AH119" i="58"/>
  <c r="AH115" i="58"/>
  <c r="O126" i="58"/>
  <c r="AL51" i="11"/>
  <c r="AK50" i="11"/>
  <c r="AH47" i="11"/>
  <c r="AL43" i="11"/>
  <c r="AK42" i="11"/>
  <c r="AL35" i="11"/>
  <c r="AF58" i="11"/>
  <c r="AL60" i="11"/>
  <c r="AK59" i="11"/>
  <c r="AF74" i="11"/>
  <c r="AF70" i="11"/>
  <c r="AL75" i="11"/>
  <c r="AK74" i="11"/>
  <c r="AJ73" i="11"/>
  <c r="AH71" i="11"/>
  <c r="AL67" i="11"/>
  <c r="AL82" i="11"/>
  <c r="AK81" i="11"/>
  <c r="AH87" i="11"/>
  <c r="AD90" i="11"/>
  <c r="AI125" i="59"/>
  <c r="AB125" i="59"/>
  <c r="AB124" i="59"/>
  <c r="S126" i="59"/>
  <c r="S127" i="59" s="1"/>
  <c r="AJ69" i="65"/>
  <c r="AJ66" i="65"/>
  <c r="AI52" i="65"/>
  <c r="AJ52" i="65"/>
  <c r="AF52" i="65"/>
  <c r="AF42" i="65"/>
  <c r="AI42" i="65"/>
  <c r="AJ42" i="65"/>
  <c r="AB42" i="65"/>
  <c r="AI36" i="65"/>
  <c r="AJ36" i="65"/>
  <c r="AF36" i="65"/>
  <c r="AB51" i="65"/>
  <c r="AI51" i="65"/>
  <c r="AJ51" i="65"/>
  <c r="AF51" i="65"/>
  <c r="AJ55" i="65"/>
  <c r="AI78" i="65"/>
  <c r="AJ78" i="65"/>
  <c r="AB78" i="65"/>
  <c r="AF78" i="65"/>
  <c r="AF102" i="65"/>
  <c r="AI102" i="65"/>
  <c r="AJ102" i="65"/>
  <c r="AF93" i="66"/>
  <c r="AI93" i="66"/>
  <c r="AB102" i="66"/>
  <c r="AB120" i="66"/>
  <c r="AF120" i="66"/>
  <c r="AI120" i="66"/>
  <c r="AJ102" i="54"/>
  <c r="AJ94" i="54"/>
  <c r="AH39" i="58"/>
  <c r="AF42" i="58"/>
  <c r="AI42" i="58"/>
  <c r="AE49" i="58"/>
  <c r="AH47" i="58"/>
  <c r="AH56" i="58"/>
  <c r="AE67" i="58"/>
  <c r="AH65" i="58"/>
  <c r="AI79" i="58"/>
  <c r="AF132" i="58"/>
  <c r="AA141" i="58"/>
  <c r="K48" i="11"/>
  <c r="K44" i="11"/>
  <c r="K40" i="11"/>
  <c r="K36" i="11"/>
  <c r="AJ50" i="11"/>
  <c r="AL44" i="11"/>
  <c r="AK43" i="11"/>
  <c r="AJ42" i="11"/>
  <c r="AH40" i="11"/>
  <c r="AL36" i="11"/>
  <c r="AK35" i="11"/>
  <c r="K59" i="11"/>
  <c r="AL61" i="11"/>
  <c r="AK60" i="11"/>
  <c r="B62" i="11"/>
  <c r="AF63" i="11"/>
  <c r="K75" i="11"/>
  <c r="K71" i="11"/>
  <c r="K67" i="11"/>
  <c r="AL76" i="11"/>
  <c r="AK75" i="11"/>
  <c r="AJ74" i="11"/>
  <c r="AI73" i="11"/>
  <c r="AH72" i="11"/>
  <c r="AL68" i="11"/>
  <c r="AK67" i="11"/>
  <c r="AL83" i="11"/>
  <c r="AK82" i="11"/>
  <c r="AJ81" i="11"/>
  <c r="AH59" i="59"/>
  <c r="W126" i="59"/>
  <c r="W127" i="59" s="1"/>
  <c r="AA121" i="59"/>
  <c r="O126" i="59"/>
  <c r="K49" i="65"/>
  <c r="AA49" i="65"/>
  <c r="AB47" i="65"/>
  <c r="AF47" i="65"/>
  <c r="AI47" i="65"/>
  <c r="AI62" i="65"/>
  <c r="AJ62" i="65"/>
  <c r="AF62" i="65"/>
  <c r="AF70" i="65"/>
  <c r="AI70" i="65"/>
  <c r="AA106" i="65"/>
  <c r="AJ70" i="65"/>
  <c r="AB84" i="65"/>
  <c r="AF84" i="65"/>
  <c r="AI84" i="65"/>
  <c r="AJ84" i="65"/>
  <c r="AB81" i="65"/>
  <c r="AF81" i="65"/>
  <c r="AI81" i="65"/>
  <c r="AJ81" i="65"/>
  <c r="AJ79" i="65"/>
  <c r="AH38" i="58"/>
  <c r="AE48" i="58"/>
  <c r="AH46" i="58"/>
  <c r="AF50" i="58"/>
  <c r="AH55" i="58"/>
  <c r="AE66" i="58"/>
  <c r="AH79" i="58"/>
  <c r="AF79" i="58"/>
  <c r="AA43" i="58"/>
  <c r="AA44" i="58" s="1"/>
  <c r="G43" i="58" s="1"/>
  <c r="AI85" i="58"/>
  <c r="AA93" i="58"/>
  <c r="AE98" i="58"/>
  <c r="AH100" i="58"/>
  <c r="AE109" i="58"/>
  <c r="AH111" i="58"/>
  <c r="AH107" i="58"/>
  <c r="AH118" i="58"/>
  <c r="AH114" i="58"/>
  <c r="AH124" i="58"/>
  <c r="AA16" i="11"/>
  <c r="AB47" i="11"/>
  <c r="AB43" i="11"/>
  <c r="AB39" i="11"/>
  <c r="AB35" i="11"/>
  <c r="AI50" i="11"/>
  <c r="AL45" i="11"/>
  <c r="AK44" i="11"/>
  <c r="AJ43" i="11"/>
  <c r="AI42" i="11"/>
  <c r="AH41" i="11"/>
  <c r="AL37" i="11"/>
  <c r="AK36" i="11"/>
  <c r="AJ35" i="11"/>
  <c r="AL62" i="11"/>
  <c r="AK61" i="11"/>
  <c r="AJ60" i="11"/>
  <c r="AB63" i="11"/>
  <c r="AE63" i="11"/>
  <c r="AB74" i="11"/>
  <c r="AF77" i="11"/>
  <c r="AF73" i="11"/>
  <c r="AF69" i="11"/>
  <c r="AL77" i="11"/>
  <c r="AK76" i="11"/>
  <c r="AH73" i="11"/>
  <c r="AN73" i="11" s="1"/>
  <c r="AL69" i="11"/>
  <c r="AK68" i="11"/>
  <c r="AB81" i="11"/>
  <c r="AL84" i="11"/>
  <c r="AK83" i="11"/>
  <c r="AI81" i="11"/>
  <c r="AH80" i="11"/>
  <c r="AA89" i="11"/>
  <c r="AF80" i="59"/>
  <c r="AI80" i="59"/>
  <c r="AA144" i="59"/>
  <c r="AA122" i="59"/>
  <c r="V126" i="59"/>
  <c r="V127" i="59" s="1"/>
  <c r="AI56" i="65"/>
  <c r="AJ56" i="65"/>
  <c r="AF56" i="65"/>
  <c r="AJ46" i="65"/>
  <c r="AF46" i="65"/>
  <c r="AI40" i="65"/>
  <c r="AJ40" i="65"/>
  <c r="AF40" i="65"/>
  <c r="AB43" i="65"/>
  <c r="AI43" i="65"/>
  <c r="AJ43" i="65"/>
  <c r="AF43" i="65"/>
  <c r="AI98" i="65"/>
  <c r="AJ98" i="65"/>
  <c r="AF98" i="65"/>
  <c r="AJ93" i="65"/>
  <c r="O123" i="66"/>
  <c r="AB68" i="58"/>
  <c r="AB99" i="58"/>
  <c r="AI43" i="11"/>
  <c r="AI35" i="11"/>
  <c r="AH74" i="11"/>
  <c r="AL70" i="11"/>
  <c r="AH81" i="11"/>
  <c r="AL86" i="11"/>
  <c r="AI50" i="59"/>
  <c r="AF50" i="59"/>
  <c r="AA123" i="59"/>
  <c r="K53" i="65"/>
  <c r="AA53" i="65"/>
  <c r="K37" i="65"/>
  <c r="AA37" i="65"/>
  <c r="AB39" i="65"/>
  <c r="AF39" i="65"/>
  <c r="AI39" i="65"/>
  <c r="AJ39" i="65"/>
  <c r="AB82" i="65"/>
  <c r="AI82" i="65"/>
  <c r="AJ82" i="65"/>
  <c r="AF82" i="65"/>
  <c r="AB76" i="65"/>
  <c r="AF76" i="65"/>
  <c r="AI76" i="65"/>
  <c r="AJ76" i="65"/>
  <c r="AB49" i="66"/>
  <c r="AB59" i="66"/>
  <c r="AB35" i="66"/>
  <c r="AB100" i="66"/>
  <c r="AB45" i="66"/>
  <c r="AB55" i="66"/>
  <c r="AB46" i="66"/>
  <c r="AB39" i="66"/>
  <c r="AB82" i="66"/>
  <c r="AB56" i="66"/>
  <c r="AF109" i="54"/>
  <c r="AE39" i="58"/>
  <c r="AH36" i="58"/>
  <c r="AE46" i="58"/>
  <c r="AF66" i="58"/>
  <c r="AH77" i="58"/>
  <c r="AE101" i="58"/>
  <c r="AH103" i="58"/>
  <c r="AH99" i="58"/>
  <c r="AH110" i="58"/>
  <c r="AH106" i="58"/>
  <c r="AE119" i="58"/>
  <c r="AE115" i="58"/>
  <c r="AH51" i="11"/>
  <c r="AL47" i="11"/>
  <c r="AK46" i="11"/>
  <c r="AH43" i="11"/>
  <c r="AL39" i="11"/>
  <c r="AK38" i="11"/>
  <c r="AH35" i="11"/>
  <c r="AL56" i="11"/>
  <c r="AK55" i="11"/>
  <c r="AB77" i="11"/>
  <c r="AB69" i="11"/>
  <c r="AH75" i="11"/>
  <c r="AL71" i="11"/>
  <c r="AK70" i="11"/>
  <c r="AB84" i="11"/>
  <c r="AH114" i="59"/>
  <c r="AH107" i="59"/>
  <c r="AH111" i="59"/>
  <c r="AH100" i="59"/>
  <c r="AH55" i="59"/>
  <c r="AH46" i="59"/>
  <c r="AH115" i="59"/>
  <c r="AH119" i="59"/>
  <c r="AH108" i="59"/>
  <c r="AH56" i="59"/>
  <c r="AH47" i="59"/>
  <c r="AH57" i="59"/>
  <c r="AH48" i="59"/>
  <c r="AH122" i="59"/>
  <c r="AH116" i="59"/>
  <c r="AH98" i="59"/>
  <c r="AH123" i="59"/>
  <c r="AH99" i="59"/>
  <c r="AH103" i="59"/>
  <c r="AH85" i="59"/>
  <c r="AH39" i="59"/>
  <c r="AF66" i="59"/>
  <c r="AI52" i="59"/>
  <c r="AF52" i="59"/>
  <c r="AI94" i="59"/>
  <c r="U126" i="59"/>
  <c r="U127" i="59" s="1"/>
  <c r="AF50" i="65"/>
  <c r="AI50" i="65"/>
  <c r="AJ50" i="65"/>
  <c r="AB50" i="65"/>
  <c r="AI44" i="65"/>
  <c r="AJ44" i="65"/>
  <c r="AF44" i="65"/>
  <c r="AB35" i="65"/>
  <c r="AI35" i="65"/>
  <c r="AJ35" i="65"/>
  <c r="AF35" i="65"/>
  <c r="AI67" i="65"/>
  <c r="AJ67" i="65"/>
  <c r="AF67" i="65"/>
  <c r="AJ88" i="65"/>
  <c r="AB88" i="65"/>
  <c r="AA105" i="65"/>
  <c r="AF88" i="65"/>
  <c r="AI88" i="65"/>
  <c r="AI85" i="65"/>
  <c r="AB85" i="65"/>
  <c r="AJ85" i="65"/>
  <c r="AF85" i="65"/>
  <c r="AI52" i="66"/>
  <c r="AF52" i="66"/>
  <c r="AI118" i="66"/>
  <c r="AF118" i="66"/>
  <c r="AB118" i="66"/>
  <c r="AA81" i="59"/>
  <c r="AA73" i="59"/>
  <c r="AA74" i="59" s="1"/>
  <c r="G73" i="59" s="1"/>
  <c r="AF87" i="59"/>
  <c r="AA143" i="59"/>
  <c r="AL50" i="65"/>
  <c r="AH46" i="65"/>
  <c r="AL42" i="65"/>
  <c r="AH38" i="65"/>
  <c r="K62" i="65"/>
  <c r="AL66" i="65"/>
  <c r="K88" i="65"/>
  <c r="K84" i="65"/>
  <c r="K80" i="65"/>
  <c r="K76" i="65"/>
  <c r="AE83" i="65"/>
  <c r="AH87" i="65"/>
  <c r="AL83" i="65"/>
  <c r="AK82" i="65"/>
  <c r="AH79" i="65"/>
  <c r="AL75" i="65"/>
  <c r="AK74" i="65"/>
  <c r="K97" i="65"/>
  <c r="AE99" i="65"/>
  <c r="AL97" i="65"/>
  <c r="AK96" i="65"/>
  <c r="AH93" i="65"/>
  <c r="AB103" i="65"/>
  <c r="AB48" i="66"/>
  <c r="AF56" i="66"/>
  <c r="AB70" i="66"/>
  <c r="AH67" i="66"/>
  <c r="AA140" i="66"/>
  <c r="AH100" i="66"/>
  <c r="AB107" i="66"/>
  <c r="AF112" i="66"/>
  <c r="AI112" i="66"/>
  <c r="T122" i="66"/>
  <c r="T123" i="66" s="1"/>
  <c r="AB119" i="66"/>
  <c r="AE120" i="66"/>
  <c r="AA137" i="66"/>
  <c r="AI128" i="66"/>
  <c r="AA19" i="67"/>
  <c r="AB40" i="67" s="1"/>
  <c r="AL41" i="67"/>
  <c r="AL49" i="67"/>
  <c r="AL40" i="67"/>
  <c r="AL39" i="67"/>
  <c r="AL47" i="67"/>
  <c r="AL55" i="67"/>
  <c r="AL38" i="67"/>
  <c r="AL46" i="67"/>
  <c r="AL54" i="67"/>
  <c r="AL37" i="67"/>
  <c r="AL45" i="67"/>
  <c r="AL53" i="67"/>
  <c r="AL36" i="67"/>
  <c r="AL44" i="67"/>
  <c r="AL52" i="67"/>
  <c r="AL35" i="67"/>
  <c r="AL43" i="67"/>
  <c r="AL51" i="67"/>
  <c r="AL42" i="67"/>
  <c r="AL50" i="67"/>
  <c r="AA54" i="68"/>
  <c r="AI52" i="68"/>
  <c r="AF52" i="68"/>
  <c r="AD113" i="68"/>
  <c r="AE112" i="68"/>
  <c r="AI56" i="69"/>
  <c r="AJ56" i="69"/>
  <c r="AF56" i="69"/>
  <c r="AB56" i="69"/>
  <c r="AI40" i="69"/>
  <c r="AJ40" i="69"/>
  <c r="AF40" i="69"/>
  <c r="AB40" i="69"/>
  <c r="AN38" i="15"/>
  <c r="AL51" i="65"/>
  <c r="AL43" i="65"/>
  <c r="AL35" i="65"/>
  <c r="AL67" i="65"/>
  <c r="AH88" i="65"/>
  <c r="AL84" i="65"/>
  <c r="AH80" i="65"/>
  <c r="AL76" i="65"/>
  <c r="AL98" i="65"/>
  <c r="AK97" i="65"/>
  <c r="AH94" i="65"/>
  <c r="AL102" i="65"/>
  <c r="AF116" i="66"/>
  <c r="AB48" i="67"/>
  <c r="AI48" i="67"/>
  <c r="AJ48" i="67"/>
  <c r="AF48" i="67"/>
  <c r="AA44" i="68"/>
  <c r="G44" i="68" s="1"/>
  <c r="AI42" i="68"/>
  <c r="AF42" i="68"/>
  <c r="AB53" i="69"/>
  <c r="AI53" i="69"/>
  <c r="AF53" i="69"/>
  <c r="AJ53" i="69"/>
  <c r="AJ50" i="69"/>
  <c r="AB50" i="69"/>
  <c r="AF50" i="69"/>
  <c r="AI50" i="69"/>
  <c r="AB37" i="69"/>
  <c r="AI37" i="69"/>
  <c r="AF37" i="69"/>
  <c r="AJ37" i="69"/>
  <c r="AE56" i="24"/>
  <c r="AA56" i="24"/>
  <c r="AH56" i="24"/>
  <c r="AH52" i="24"/>
  <c r="AE52" i="24"/>
  <c r="AA52" i="24"/>
  <c r="AF140" i="59"/>
  <c r="AH56" i="65"/>
  <c r="AL52" i="65"/>
  <c r="AH48" i="65"/>
  <c r="AL44" i="65"/>
  <c r="AH40" i="65"/>
  <c r="AL36" i="65"/>
  <c r="AL68" i="65"/>
  <c r="AL60" i="65"/>
  <c r="AH70" i="65"/>
  <c r="AN70" i="65" s="1"/>
  <c r="AL85" i="65"/>
  <c r="AK84" i="65"/>
  <c r="AH81" i="65"/>
  <c r="AN79" i="65"/>
  <c r="AL77" i="65"/>
  <c r="AK76" i="65"/>
  <c r="AJ75" i="65"/>
  <c r="AA96" i="65"/>
  <c r="AL99" i="65"/>
  <c r="AK98" i="65"/>
  <c r="AH95" i="65"/>
  <c r="AL91" i="65"/>
  <c r="AL103" i="65"/>
  <c r="AK102" i="65"/>
  <c r="AH58" i="66"/>
  <c r="AH65" i="66"/>
  <c r="AH74" i="66"/>
  <c r="AA71" i="66"/>
  <c r="AE82" i="66"/>
  <c r="AF94" i="66"/>
  <c r="AE102" i="66"/>
  <c r="AH99" i="66"/>
  <c r="AB106" i="66"/>
  <c r="AF107" i="66"/>
  <c r="AB115" i="66"/>
  <c r="AE116" i="66"/>
  <c r="AI116" i="66"/>
  <c r="Z122" i="66"/>
  <c r="Z123" i="66" s="1"/>
  <c r="R122" i="66"/>
  <c r="R123" i="66" s="1"/>
  <c r="AD122" i="66"/>
  <c r="AE118" i="66"/>
  <c r="AM39" i="67"/>
  <c r="AF111" i="68"/>
  <c r="AI111" i="68"/>
  <c r="AB111" i="68"/>
  <c r="AF44" i="69"/>
  <c r="AI44" i="69"/>
  <c r="AJ44" i="69"/>
  <c r="AB44" i="69"/>
  <c r="AF103" i="59"/>
  <c r="AF134" i="59"/>
  <c r="K56" i="65"/>
  <c r="K52" i="65"/>
  <c r="K48" i="65"/>
  <c r="K44" i="65"/>
  <c r="K40" i="65"/>
  <c r="K36" i="65"/>
  <c r="AE55" i="65"/>
  <c r="AE51" i="65"/>
  <c r="AL53" i="65"/>
  <c r="AK52" i="65"/>
  <c r="AL45" i="65"/>
  <c r="AK44" i="65"/>
  <c r="AL37" i="65"/>
  <c r="AK36" i="65"/>
  <c r="K63" i="65"/>
  <c r="AF66" i="65"/>
  <c r="AL69" i="65"/>
  <c r="AK68" i="65"/>
  <c r="AN63" i="65"/>
  <c r="AL61" i="65"/>
  <c r="AK60" i="65"/>
  <c r="AL86" i="65"/>
  <c r="AK85" i="65"/>
  <c r="AH82" i="65"/>
  <c r="AL78" i="65"/>
  <c r="AK77" i="65"/>
  <c r="K98" i="65"/>
  <c r="AF93" i="65"/>
  <c r="AL100" i="65"/>
  <c r="AK99" i="65"/>
  <c r="AH96" i="65"/>
  <c r="AL92" i="65"/>
  <c r="AK91" i="65"/>
  <c r="AK103" i="65"/>
  <c r="AH82" i="66"/>
  <c r="AE107" i="66"/>
  <c r="AH108" i="66"/>
  <c r="AF115" i="66"/>
  <c r="AH120" i="66"/>
  <c r="AI52" i="67"/>
  <c r="AJ52" i="67"/>
  <c r="AB52" i="67"/>
  <c r="AF52" i="67"/>
  <c r="AI36" i="67"/>
  <c r="AJ36" i="67"/>
  <c r="AF36" i="67"/>
  <c r="AJ55" i="67"/>
  <c r="AJ39" i="67"/>
  <c r="AI62" i="68"/>
  <c r="AF62" i="68"/>
  <c r="AA64" i="68"/>
  <c r="G64" i="68" s="1"/>
  <c r="AB54" i="69"/>
  <c r="AI54" i="69"/>
  <c r="AJ54" i="69"/>
  <c r="AF54" i="69"/>
  <c r="AI41" i="69"/>
  <c r="AB41" i="69"/>
  <c r="AJ41" i="69"/>
  <c r="AF41" i="69"/>
  <c r="AB38" i="69"/>
  <c r="AI38" i="69"/>
  <c r="AJ38" i="69"/>
  <c r="AF38" i="69"/>
  <c r="AH46" i="24"/>
  <c r="AE46" i="24"/>
  <c r="AA46" i="24"/>
  <c r="AI79" i="59"/>
  <c r="AA53" i="59"/>
  <c r="AA54" i="59" s="1"/>
  <c r="G53" i="59" s="1"/>
  <c r="AI87" i="59"/>
  <c r="AL54" i="65"/>
  <c r="AK53" i="65"/>
  <c r="AH50" i="65"/>
  <c r="AL46" i="65"/>
  <c r="AK45" i="65"/>
  <c r="AH42" i="65"/>
  <c r="AL38" i="65"/>
  <c r="AK37" i="65"/>
  <c r="AK69" i="65"/>
  <c r="AJ68" i="65"/>
  <c r="AN64" i="65"/>
  <c r="AL62" i="65"/>
  <c r="AK61" i="65"/>
  <c r="AJ60" i="65"/>
  <c r="AA64" i="65"/>
  <c r="K86" i="65"/>
  <c r="K82" i="65"/>
  <c r="K78" i="65"/>
  <c r="K74" i="65"/>
  <c r="AE81" i="65"/>
  <c r="AL87" i="65"/>
  <c r="AK86" i="65"/>
  <c r="AH83" i="65"/>
  <c r="AL79" i="65"/>
  <c r="AK78" i="65"/>
  <c r="AA99" i="65"/>
  <c r="AA91" i="65"/>
  <c r="AK100" i="65"/>
  <c r="AL93" i="65"/>
  <c r="AK92" i="65"/>
  <c r="AF103" i="65"/>
  <c r="AJ103" i="65"/>
  <c r="O106" i="65"/>
  <c r="AA16" i="66"/>
  <c r="AH39" i="66"/>
  <c r="AH47" i="66"/>
  <c r="AE58" i="66"/>
  <c r="AH56" i="66"/>
  <c r="AI70" i="66"/>
  <c r="AA77" i="66"/>
  <c r="AA53" i="66"/>
  <c r="AA54" i="66" s="1"/>
  <c r="G54" i="66" s="1"/>
  <c r="AA78" i="66"/>
  <c r="AB84" i="66"/>
  <c r="AA86" i="66"/>
  <c r="AA92" i="66"/>
  <c r="AH102" i="66"/>
  <c r="AH98" i="66"/>
  <c r="AB109" i="66"/>
  <c r="AB105" i="66"/>
  <c r="AF106" i="66"/>
  <c r="AB114" i="66"/>
  <c r="AH115" i="66"/>
  <c r="AA121" i="66"/>
  <c r="AI119" i="66"/>
  <c r="AG122" i="66"/>
  <c r="AI48" i="69"/>
  <c r="AJ48" i="69"/>
  <c r="AF48" i="69"/>
  <c r="AB48" i="69"/>
  <c r="AB100" i="59"/>
  <c r="AB111" i="59"/>
  <c r="AB107" i="59"/>
  <c r="AB118" i="59"/>
  <c r="AB114" i="59"/>
  <c r="AA141" i="59"/>
  <c r="AE50" i="65"/>
  <c r="AE46" i="65"/>
  <c r="AL55" i="65"/>
  <c r="AH51" i="65"/>
  <c r="AL47" i="65"/>
  <c r="AH43" i="65"/>
  <c r="AL39" i="65"/>
  <c r="AK38" i="65"/>
  <c r="AH35" i="65"/>
  <c r="AN65" i="65"/>
  <c r="AL63" i="65"/>
  <c r="AK62" i="65"/>
  <c r="AE70" i="65"/>
  <c r="AM70" i="65" s="1"/>
  <c r="AL88" i="65"/>
  <c r="AK87" i="65"/>
  <c r="AH84" i="65"/>
  <c r="AL80" i="65"/>
  <c r="AK79" i="65"/>
  <c r="AF100" i="65"/>
  <c r="AF92" i="65"/>
  <c r="AJ100" i="65"/>
  <c r="AL94" i="65"/>
  <c r="AK93" i="65"/>
  <c r="AJ92" i="65"/>
  <c r="AE103" i="65"/>
  <c r="AH102" i="65"/>
  <c r="AH46" i="66"/>
  <c r="AE57" i="66"/>
  <c r="AH55" i="66"/>
  <c r="AA85" i="66"/>
  <c r="AF82" i="66"/>
  <c r="AI91" i="66"/>
  <c r="AB99" i="66"/>
  <c r="AH107" i="66"/>
  <c r="AF114" i="66"/>
  <c r="AH114" i="66"/>
  <c r="AH121" i="66"/>
  <c r="AI56" i="67"/>
  <c r="AJ56" i="67"/>
  <c r="AF56" i="67"/>
  <c r="AI40" i="67"/>
  <c r="AJ40" i="67"/>
  <c r="AF40" i="67"/>
  <c r="G54" i="68"/>
  <c r="AG113" i="68"/>
  <c r="AH112" i="68"/>
  <c r="AB45" i="69"/>
  <c r="AI45" i="69"/>
  <c r="AF45" i="69"/>
  <c r="AJ45" i="69"/>
  <c r="AJ42" i="69"/>
  <c r="AB42" i="69"/>
  <c r="AF42" i="69"/>
  <c r="AI42" i="69"/>
  <c r="AF37" i="18"/>
  <c r="AI37" i="18"/>
  <c r="AB37" i="18"/>
  <c r="AB87" i="59"/>
  <c r="AL56" i="65"/>
  <c r="AK55" i="65"/>
  <c r="AH52" i="65"/>
  <c r="AL48" i="65"/>
  <c r="AK47" i="65"/>
  <c r="AH44" i="65"/>
  <c r="AL40" i="65"/>
  <c r="AK39" i="65"/>
  <c r="AH36" i="65"/>
  <c r="AL64" i="65"/>
  <c r="AK63" i="65"/>
  <c r="AL70" i="65"/>
  <c r="AE88" i="65"/>
  <c r="AK88" i="65"/>
  <c r="AH85" i="65"/>
  <c r="AL81" i="65"/>
  <c r="AK80" i="65"/>
  <c r="AH77" i="65"/>
  <c r="AA94" i="65"/>
  <c r="AE100" i="65"/>
  <c r="AH99" i="65"/>
  <c r="AL95" i="65"/>
  <c r="AK94" i="65"/>
  <c r="AH103" i="65"/>
  <c r="AF40" i="66"/>
  <c r="AH45" i="66"/>
  <c r="AE56" i="66"/>
  <c r="AH69" i="66"/>
  <c r="AA43" i="66"/>
  <c r="AE100" i="66"/>
  <c r="AH101" i="66"/>
  <c r="AE114" i="66"/>
  <c r="AM47" i="67"/>
  <c r="AN47" i="67"/>
  <c r="AL48" i="67"/>
  <c r="AB51" i="69"/>
  <c r="AB55" i="69"/>
  <c r="AF52" i="69"/>
  <c r="AI52" i="69"/>
  <c r="AJ52" i="69"/>
  <c r="AB52" i="69"/>
  <c r="AF36" i="69"/>
  <c r="AI36" i="69"/>
  <c r="AJ36" i="69"/>
  <c r="AB36" i="69"/>
  <c r="AJ51" i="69"/>
  <c r="AJ35" i="69"/>
  <c r="AB55" i="70"/>
  <c r="AB45" i="70"/>
  <c r="AH86" i="65"/>
  <c r="AL82" i="65"/>
  <c r="AK81" i="65"/>
  <c r="AH78" i="65"/>
  <c r="AL74" i="65"/>
  <c r="AH100" i="65"/>
  <c r="AH36" i="66"/>
  <c r="AF48" i="66"/>
  <c r="AE55" i="66"/>
  <c r="AF57" i="66"/>
  <c r="AH68" i="66"/>
  <c r="AA42" i="66"/>
  <c r="AH106" i="66"/>
  <c r="AH119" i="66"/>
  <c r="AI44" i="67"/>
  <c r="AJ44" i="67"/>
  <c r="AF44" i="67"/>
  <c r="AJ47" i="67"/>
  <c r="AI109" i="68"/>
  <c r="AF109" i="68"/>
  <c r="AB109" i="68"/>
  <c r="AI108" i="68"/>
  <c r="AF108" i="68"/>
  <c r="AB108" i="68"/>
  <c r="AI49" i="69"/>
  <c r="AB49" i="69"/>
  <c r="AJ49" i="69"/>
  <c r="AF49" i="69"/>
  <c r="AB46" i="69"/>
  <c r="AI46" i="69"/>
  <c r="AJ46" i="69"/>
  <c r="AF46" i="69"/>
  <c r="B29" i="67"/>
  <c r="AI55" i="67"/>
  <c r="AK49" i="67"/>
  <c r="AI47" i="67"/>
  <c r="AH46" i="67"/>
  <c r="AK41" i="67"/>
  <c r="AI39" i="67"/>
  <c r="AH38" i="67"/>
  <c r="AA19" i="68"/>
  <c r="AH39" i="68"/>
  <c r="AH47" i="68"/>
  <c r="AF51" i="68"/>
  <c r="AI51" i="68"/>
  <c r="AE58" i="68"/>
  <c r="AH56" i="68"/>
  <c r="AF60" i="68"/>
  <c r="AB66" i="68"/>
  <c r="AF71" i="68"/>
  <c r="AI70" i="68"/>
  <c r="AA77" i="68"/>
  <c r="AI76" i="68"/>
  <c r="AA78" i="68"/>
  <c r="AA84" i="68"/>
  <c r="AA120" i="68" s="1"/>
  <c r="AI82" i="68"/>
  <c r="AB92" i="68"/>
  <c r="AB88" i="68"/>
  <c r="AE99" i="68"/>
  <c r="AH96" i="68"/>
  <c r="AB103" i="68"/>
  <c r="AH108" i="68"/>
  <c r="K56" i="69"/>
  <c r="K52" i="69"/>
  <c r="K48" i="69"/>
  <c r="K44" i="69"/>
  <c r="K40" i="69"/>
  <c r="K36" i="69"/>
  <c r="AE55" i="69"/>
  <c r="AE51" i="69"/>
  <c r="AL53" i="69"/>
  <c r="AK52" i="69"/>
  <c r="AL45" i="69"/>
  <c r="AK44" i="69"/>
  <c r="AL37" i="69"/>
  <c r="AK36" i="69"/>
  <c r="B62" i="69"/>
  <c r="AE110" i="70"/>
  <c r="AE104" i="70"/>
  <c r="AE99" i="70"/>
  <c r="AE58" i="70"/>
  <c r="AE106" i="70"/>
  <c r="AE92" i="70"/>
  <c r="AE55" i="70"/>
  <c r="AF39" i="70"/>
  <c r="AI39" i="70"/>
  <c r="AB49" i="70"/>
  <c r="AB59" i="70"/>
  <c r="AI59" i="70"/>
  <c r="AH74" i="70"/>
  <c r="AI60" i="70"/>
  <c r="AF60" i="70"/>
  <c r="AI51" i="70"/>
  <c r="AF51" i="70"/>
  <c r="AI99" i="70"/>
  <c r="AB99" i="70"/>
  <c r="Y112" i="70"/>
  <c r="Y113" i="70" s="1"/>
  <c r="Q112" i="70"/>
  <c r="Q113" i="70" s="1"/>
  <c r="K58" i="15"/>
  <c r="AI55" i="15"/>
  <c r="AB55" i="15"/>
  <c r="AF55" i="15"/>
  <c r="AG36" i="24"/>
  <c r="AG39" i="24"/>
  <c r="AG40" i="24"/>
  <c r="Z53" i="24"/>
  <c r="Z60" i="24"/>
  <c r="AI58" i="19"/>
  <c r="AJ58" i="19"/>
  <c r="AB58" i="19"/>
  <c r="AF58" i="19"/>
  <c r="AA54" i="67"/>
  <c r="AA50" i="67"/>
  <c r="AA46" i="67"/>
  <c r="AA42" i="67"/>
  <c r="AA38" i="67"/>
  <c r="AH55" i="67"/>
  <c r="AH39" i="67"/>
  <c r="AN39" i="67" s="1"/>
  <c r="AE57" i="68"/>
  <c r="AI75" i="68"/>
  <c r="AH90" i="68"/>
  <c r="AB97" i="68"/>
  <c r="AI99" i="68"/>
  <c r="AI95" i="68"/>
  <c r="AE104" i="68"/>
  <c r="AH105" i="68"/>
  <c r="AD115" i="68"/>
  <c r="AA118" i="68"/>
  <c r="AL54" i="69"/>
  <c r="AK53" i="69"/>
  <c r="AH50" i="69"/>
  <c r="AL46" i="69"/>
  <c r="AK45" i="69"/>
  <c r="AL38" i="69"/>
  <c r="AK37" i="69"/>
  <c r="AB36" i="15"/>
  <c r="AF36" i="15"/>
  <c r="AA61" i="15"/>
  <c r="K61" i="15"/>
  <c r="AA34" i="24"/>
  <c r="AH34" i="24"/>
  <c r="AE34" i="24"/>
  <c r="AE55" i="24"/>
  <c r="AA55" i="24"/>
  <c r="AH55" i="24"/>
  <c r="AJ57" i="24"/>
  <c r="AD57" i="24"/>
  <c r="AI55" i="18"/>
  <c r="AF55" i="18"/>
  <c r="AA52" i="18"/>
  <c r="K52" i="18"/>
  <c r="AI43" i="19"/>
  <c r="AB43" i="19"/>
  <c r="AJ43" i="19"/>
  <c r="AF43" i="19"/>
  <c r="AH56" i="67"/>
  <c r="AH48" i="67"/>
  <c r="AK43" i="67"/>
  <c r="AH40" i="67"/>
  <c r="AK35" i="67"/>
  <c r="AE56" i="68"/>
  <c r="AA43" i="68"/>
  <c r="AE82" i="68"/>
  <c r="AH99" i="68"/>
  <c r="AF103" i="68"/>
  <c r="AE110" i="68"/>
  <c r="AG115" i="68"/>
  <c r="AE50" i="69"/>
  <c r="AE46" i="69"/>
  <c r="AL55" i="69"/>
  <c r="AK54" i="69"/>
  <c r="AH51" i="69"/>
  <c r="AL47" i="69"/>
  <c r="AK46" i="69"/>
  <c r="AL39" i="69"/>
  <c r="AK38" i="69"/>
  <c r="AI76" i="70"/>
  <c r="AB76" i="70"/>
  <c r="AA110" i="70"/>
  <c r="W112" i="70"/>
  <c r="W113" i="70" s="1"/>
  <c r="AA108" i="70"/>
  <c r="AB40" i="15"/>
  <c r="AI40" i="15"/>
  <c r="AF40" i="15"/>
  <c r="AB58" i="15"/>
  <c r="AF58" i="15"/>
  <c r="AI58" i="15"/>
  <c r="AH37" i="24"/>
  <c r="AE37" i="24"/>
  <c r="AA37" i="24"/>
  <c r="AJ55" i="24"/>
  <c r="AD55" i="24"/>
  <c r="AI49" i="19"/>
  <c r="AF49" i="19"/>
  <c r="AJ49" i="19"/>
  <c r="AF130" i="66"/>
  <c r="AA53" i="67"/>
  <c r="AA49" i="67"/>
  <c r="AA45" i="67"/>
  <c r="AA41" i="67"/>
  <c r="AA37" i="67"/>
  <c r="AE55" i="67"/>
  <c r="AE51" i="67"/>
  <c r="AK52" i="67"/>
  <c r="AJ51" i="67"/>
  <c r="AK44" i="67"/>
  <c r="AJ43" i="67"/>
  <c r="AK36" i="67"/>
  <c r="AJ35" i="67"/>
  <c r="AF39" i="68"/>
  <c r="AI39" i="68"/>
  <c r="AE55" i="68"/>
  <c r="AH68" i="68"/>
  <c r="AI67" i="68"/>
  <c r="AE92" i="68"/>
  <c r="AH89" i="68"/>
  <c r="AF97" i="68"/>
  <c r="AH104" i="68"/>
  <c r="AA16" i="69"/>
  <c r="AL56" i="69"/>
  <c r="AK55" i="69"/>
  <c r="AH52" i="69"/>
  <c r="AL48" i="69"/>
  <c r="AK47" i="69"/>
  <c r="AL40" i="69"/>
  <c r="AK39" i="69"/>
  <c r="AF36" i="70"/>
  <c r="AF59" i="70"/>
  <c r="AA78" i="70"/>
  <c r="AA77" i="70"/>
  <c r="AF75" i="70"/>
  <c r="AI57" i="70"/>
  <c r="AF57" i="70"/>
  <c r="AA42" i="70"/>
  <c r="AI75" i="70"/>
  <c r="AB97" i="70"/>
  <c r="AI97" i="70"/>
  <c r="AF97" i="70"/>
  <c r="AM37" i="15"/>
  <c r="AN37" i="15"/>
  <c r="K47" i="15"/>
  <c r="AA47" i="15"/>
  <c r="AA46" i="15"/>
  <c r="AA51" i="15"/>
  <c r="AA65" i="15"/>
  <c r="K65" i="15"/>
  <c r="AI64" i="15"/>
  <c r="AF64" i="15"/>
  <c r="AJ64" i="15"/>
  <c r="AB64" i="15"/>
  <c r="Z19" i="24"/>
  <c r="AA39" i="24" s="1"/>
  <c r="AH36" i="24"/>
  <c r="AE36" i="24"/>
  <c r="AA36" i="24"/>
  <c r="AJ40" i="24"/>
  <c r="AH45" i="24"/>
  <c r="AE45" i="24"/>
  <c r="AA45" i="24"/>
  <c r="AJ49" i="24"/>
  <c r="Z54" i="24"/>
  <c r="AK56" i="24"/>
  <c r="AG56" i="24"/>
  <c r="AI35" i="18"/>
  <c r="AB35" i="18"/>
  <c r="AF35" i="18"/>
  <c r="AI42" i="18"/>
  <c r="AA48" i="18"/>
  <c r="AJ47" i="19"/>
  <c r="AI47" i="19"/>
  <c r="AF47" i="19"/>
  <c r="AJ66" i="19"/>
  <c r="AJ43" i="20"/>
  <c r="AJ54" i="20"/>
  <c r="AJ41" i="20"/>
  <c r="AJ60" i="20"/>
  <c r="AJ56" i="20"/>
  <c r="AM62" i="20"/>
  <c r="AK53" i="67"/>
  <c r="AH50" i="67"/>
  <c r="AK45" i="67"/>
  <c r="AH42" i="67"/>
  <c r="AK37" i="67"/>
  <c r="AF47" i="68"/>
  <c r="AI47" i="68"/>
  <c r="AB70" i="68"/>
  <c r="AH67" i="68"/>
  <c r="AA73" i="68"/>
  <c r="G73" i="68" s="1"/>
  <c r="AF76" i="68"/>
  <c r="AH82" i="68"/>
  <c r="AF83" i="68"/>
  <c r="AE97" i="68"/>
  <c r="AH98" i="68"/>
  <c r="P112" i="68"/>
  <c r="P113" i="68" s="1"/>
  <c r="AE109" i="68"/>
  <c r="K54" i="69"/>
  <c r="K50" i="69"/>
  <c r="K46" i="69"/>
  <c r="K42" i="69"/>
  <c r="K38" i="69"/>
  <c r="AK56" i="69"/>
  <c r="AJ55" i="69"/>
  <c r="AL49" i="69"/>
  <c r="AK48" i="69"/>
  <c r="AJ47" i="69"/>
  <c r="AN43" i="69"/>
  <c r="AL41" i="69"/>
  <c r="AK40" i="69"/>
  <c r="AJ39" i="69"/>
  <c r="AI71" i="70"/>
  <c r="AA118" i="70"/>
  <c r="AI82" i="70"/>
  <c r="AA84" i="70"/>
  <c r="AB82" i="70"/>
  <c r="AF82" i="70"/>
  <c r="AB89" i="70"/>
  <c r="AF96" i="70"/>
  <c r="AB96" i="70"/>
  <c r="AM47" i="15"/>
  <c r="AM48" i="15"/>
  <c r="AI62" i="15"/>
  <c r="AB62" i="15"/>
  <c r="AF62" i="15"/>
  <c r="AI63" i="15"/>
  <c r="AB63" i="15"/>
  <c r="AF63" i="15"/>
  <c r="AB73" i="15"/>
  <c r="AI73" i="15"/>
  <c r="AK54" i="24"/>
  <c r="AG54" i="24"/>
  <c r="AA19" i="18"/>
  <c r="AI46" i="18"/>
  <c r="AA56" i="18"/>
  <c r="K56" i="18"/>
  <c r="AE50" i="67"/>
  <c r="AK54" i="67"/>
  <c r="AH51" i="67"/>
  <c r="AK46" i="67"/>
  <c r="AH43" i="67"/>
  <c r="AK38" i="67"/>
  <c r="AH35" i="67"/>
  <c r="AH59" i="68"/>
  <c r="AF55" i="68"/>
  <c r="AH66" i="68"/>
  <c r="AH75" i="68"/>
  <c r="AF82" i="68"/>
  <c r="AH92" i="68"/>
  <c r="AH88" i="68"/>
  <c r="AB99" i="68"/>
  <c r="AB95" i="68"/>
  <c r="AE106" i="68"/>
  <c r="O112" i="68"/>
  <c r="AL50" i="69"/>
  <c r="AK49" i="69"/>
  <c r="AL42" i="69"/>
  <c r="AK41" i="69"/>
  <c r="AH38" i="69"/>
  <c r="AA16" i="70"/>
  <c r="AA73" i="70"/>
  <c r="G73" i="70" s="1"/>
  <c r="AI55" i="70"/>
  <c r="AF55" i="70"/>
  <c r="AI46" i="70"/>
  <c r="AF46" i="70"/>
  <c r="AI89" i="70"/>
  <c r="AI95" i="70"/>
  <c r="AB95" i="70"/>
  <c r="T112" i="70"/>
  <c r="T113" i="70" s="1"/>
  <c r="B61" i="15"/>
  <c r="B29" i="15"/>
  <c r="AA20" i="15"/>
  <c r="AJ60" i="15" s="1"/>
  <c r="AF60" i="15"/>
  <c r="AI60" i="15"/>
  <c r="AB60" i="15"/>
  <c r="AJ56" i="24"/>
  <c r="AJ48" i="24"/>
  <c r="AJ39" i="24"/>
  <c r="AJ47" i="24"/>
  <c r="AJ38" i="24"/>
  <c r="AJ46" i="24"/>
  <c r="AJ37" i="24"/>
  <c r="AJ45" i="24"/>
  <c r="AJ36" i="24"/>
  <c r="AJ43" i="24"/>
  <c r="AJ34" i="24"/>
  <c r="AE39" i="24"/>
  <c r="Z40" i="24"/>
  <c r="AA48" i="24"/>
  <c r="AE48" i="24"/>
  <c r="AH44" i="24"/>
  <c r="AA44" i="24"/>
  <c r="AE44" i="24"/>
  <c r="Z49" i="24"/>
  <c r="R58" i="24"/>
  <c r="Z58" i="24" s="1"/>
  <c r="Z16" i="18"/>
  <c r="AI39" i="18"/>
  <c r="AB39" i="18"/>
  <c r="AF39" i="18"/>
  <c r="AI35" i="19"/>
  <c r="AF35" i="19"/>
  <c r="AJ35" i="19"/>
  <c r="AB35" i="19"/>
  <c r="AM40" i="19"/>
  <c r="AN40" i="19"/>
  <c r="AI57" i="19"/>
  <c r="AJ57" i="19"/>
  <c r="AF57" i="19"/>
  <c r="AB57" i="19"/>
  <c r="AL51" i="69"/>
  <c r="AL43" i="69"/>
  <c r="AL35" i="69"/>
  <c r="AA64" i="70"/>
  <c r="G64" i="70" s="1"/>
  <c r="AI111" i="70"/>
  <c r="AB111" i="70"/>
  <c r="AI109" i="70"/>
  <c r="AF109" i="70"/>
  <c r="AB109" i="70"/>
  <c r="S112" i="70"/>
  <c r="S113" i="70" s="1"/>
  <c r="AA35" i="15"/>
  <c r="K35" i="15"/>
  <c r="AK51" i="15"/>
  <c r="AE51" i="15"/>
  <c r="AB59" i="15"/>
  <c r="AF59" i="15"/>
  <c r="AF68" i="15"/>
  <c r="AB68" i="15"/>
  <c r="AI70" i="15"/>
  <c r="AB70" i="15"/>
  <c r="AF70" i="15"/>
  <c r="AF72" i="15"/>
  <c r="Z20" i="24"/>
  <c r="AI56" i="24" s="1"/>
  <c r="AH57" i="24"/>
  <c r="AI57" i="24"/>
  <c r="AA57" i="24"/>
  <c r="K36" i="18"/>
  <c r="AA36" i="18"/>
  <c r="AB42" i="19"/>
  <c r="AI42" i="19"/>
  <c r="AF42" i="19"/>
  <c r="AJ42" i="19"/>
  <c r="AK56" i="67"/>
  <c r="AH53" i="67"/>
  <c r="AK48" i="67"/>
  <c r="AH45" i="67"/>
  <c r="AE59" i="68"/>
  <c r="AB83" i="68"/>
  <c r="AH91" i="68"/>
  <c r="AH56" i="69"/>
  <c r="AL52" i="69"/>
  <c r="AK51" i="69"/>
  <c r="AH48" i="69"/>
  <c r="AL44" i="69"/>
  <c r="AK43" i="69"/>
  <c r="AI70" i="70"/>
  <c r="AA72" i="70"/>
  <c r="AH82" i="70"/>
  <c r="AF111" i="70"/>
  <c r="AA116" i="70"/>
  <c r="AE36" i="15"/>
  <c r="AE73" i="15"/>
  <c r="AE38" i="15"/>
  <c r="AM38" i="15" s="1"/>
  <c r="AE35" i="15"/>
  <c r="AE39" i="15"/>
  <c r="AA39" i="15"/>
  <c r="K39" i="15"/>
  <c r="AI48" i="15"/>
  <c r="AJ48" i="15"/>
  <c r="AA57" i="15"/>
  <c r="K57" i="15"/>
  <c r="AI56" i="15"/>
  <c r="AF56" i="15"/>
  <c r="AJ56" i="15"/>
  <c r="AB56" i="15"/>
  <c r="AB72" i="15"/>
  <c r="Y16" i="24"/>
  <c r="AA38" i="24"/>
  <c r="AE38" i="24"/>
  <c r="AH38" i="24"/>
  <c r="AI47" i="24"/>
  <c r="AA47" i="24"/>
  <c r="AE47" i="24"/>
  <c r="AH47" i="24"/>
  <c r="AA43" i="24"/>
  <c r="AH43" i="24"/>
  <c r="AE43" i="24"/>
  <c r="AI53" i="18"/>
  <c r="AF53" i="18"/>
  <c r="AJ62" i="19"/>
  <c r="AJ55" i="19"/>
  <c r="AJ63" i="19"/>
  <c r="AI39" i="19"/>
  <c r="AF39" i="19"/>
  <c r="AJ39" i="19"/>
  <c r="AB39" i="19"/>
  <c r="AJ36" i="19"/>
  <c r="AF36" i="19"/>
  <c r="AB36" i="19"/>
  <c r="AI36" i="19"/>
  <c r="AJ50" i="19"/>
  <c r="AA70" i="19"/>
  <c r="AF51" i="19"/>
  <c r="AI51" i="19"/>
  <c r="AJ51" i="19"/>
  <c r="AB51" i="19"/>
  <c r="AL38" i="15"/>
  <c r="AL45" i="15"/>
  <c r="AH65" i="15"/>
  <c r="AL61" i="15"/>
  <c r="AK60" i="15"/>
  <c r="AL68" i="15"/>
  <c r="AL72" i="15"/>
  <c r="AE35" i="24"/>
  <c r="AC58" i="24"/>
  <c r="AJ53" i="24"/>
  <c r="AB38" i="18"/>
  <c r="AB34" i="18"/>
  <c r="AI38" i="18"/>
  <c r="AI34" i="18"/>
  <c r="AB41" i="19"/>
  <c r="AA37" i="19"/>
  <c r="AK42" i="19"/>
  <c r="AI41" i="19"/>
  <c r="AL38" i="19"/>
  <c r="AK37" i="19"/>
  <c r="AL50" i="19"/>
  <c r="AB59" i="19"/>
  <c r="AL57" i="19"/>
  <c r="AF63" i="19"/>
  <c r="AF66" i="19"/>
  <c r="AJ34" i="20"/>
  <c r="AF34" i="20"/>
  <c r="AB55" i="20"/>
  <c r="AJ55" i="20"/>
  <c r="AF55" i="20"/>
  <c r="K61" i="20"/>
  <c r="AA61" i="20"/>
  <c r="AJ37" i="21"/>
  <c r="AJ36" i="21"/>
  <c r="AA19" i="21"/>
  <c r="AB64" i="21" s="1"/>
  <c r="AF47" i="21"/>
  <c r="AI47" i="21"/>
  <c r="AM55" i="21"/>
  <c r="AM47" i="21"/>
  <c r="AM70" i="21"/>
  <c r="AN70" i="21"/>
  <c r="AI56" i="22"/>
  <c r="AA56" i="19"/>
  <c r="K56" i="19"/>
  <c r="AM67" i="19"/>
  <c r="AN67" i="19"/>
  <c r="AI38" i="20"/>
  <c r="AF38" i="20"/>
  <c r="AB38" i="20"/>
  <c r="AI57" i="20"/>
  <c r="AJ57" i="20"/>
  <c r="AF57" i="20"/>
  <c r="AA69" i="20"/>
  <c r="AB57" i="20"/>
  <c r="AJ66" i="20"/>
  <c r="AB66" i="20"/>
  <c r="AF66" i="20"/>
  <c r="AI66" i="20"/>
  <c r="AJ38" i="21"/>
  <c r="AF38" i="21"/>
  <c r="AB38" i="21"/>
  <c r="AI38" i="21"/>
  <c r="AJ41" i="22"/>
  <c r="AF41" i="22"/>
  <c r="AB41" i="22"/>
  <c r="AI41" i="22"/>
  <c r="AI50" i="22"/>
  <c r="AJ50" i="22"/>
  <c r="AF50" i="22"/>
  <c r="AB63" i="22"/>
  <c r="AI63" i="22"/>
  <c r="AJ63" i="22"/>
  <c r="AF63" i="22"/>
  <c r="AJ68" i="22"/>
  <c r="AJ42" i="23"/>
  <c r="AF42" i="23"/>
  <c r="AB42" i="23"/>
  <c r="AI42" i="23"/>
  <c r="AF88" i="23"/>
  <c r="AB88" i="23"/>
  <c r="AJ88" i="23"/>
  <c r="AI88" i="23"/>
  <c r="AF80" i="23"/>
  <c r="O112" i="70"/>
  <c r="AG112" i="70"/>
  <c r="AL40" i="15"/>
  <c r="AK39" i="15"/>
  <c r="AI37" i="15"/>
  <c r="AH36" i="15"/>
  <c r="AL47" i="15"/>
  <c r="AK46" i="15"/>
  <c r="AL63" i="15"/>
  <c r="AK62" i="15"/>
  <c r="AH59" i="15"/>
  <c r="AL55" i="15"/>
  <c r="AL70" i="15"/>
  <c r="AK69" i="15"/>
  <c r="AK73" i="15"/>
  <c r="K39" i="24"/>
  <c r="AK35" i="24"/>
  <c r="AK44" i="24"/>
  <c r="AK52" i="24"/>
  <c r="K42" i="18"/>
  <c r="AF54" i="18"/>
  <c r="AA60" i="18"/>
  <c r="AA16" i="19"/>
  <c r="AB44" i="19"/>
  <c r="AK43" i="19"/>
  <c r="AL39" i="19"/>
  <c r="AK34" i="19"/>
  <c r="K57" i="19"/>
  <c r="AL55" i="19"/>
  <c r="AK63" i="19"/>
  <c r="AJ36" i="20"/>
  <c r="AF36" i="20"/>
  <c r="AB36" i="20"/>
  <c r="AI56" i="20"/>
  <c r="AB56" i="20"/>
  <c r="AF56" i="20"/>
  <c r="AB67" i="20"/>
  <c r="AI67" i="20"/>
  <c r="AJ67" i="20"/>
  <c r="AF67" i="20"/>
  <c r="AM41" i="21"/>
  <c r="AN41" i="21"/>
  <c r="AN55" i="21"/>
  <c r="AI64" i="21"/>
  <c r="AJ64" i="21"/>
  <c r="AF64" i="21"/>
  <c r="AI48" i="22"/>
  <c r="AJ48" i="22"/>
  <c r="AF48" i="22"/>
  <c r="AF60" i="22"/>
  <c r="AB60" i="22"/>
  <c r="AI60" i="22"/>
  <c r="AJ60" i="22"/>
  <c r="AJ40" i="19"/>
  <c r="AN48" i="19"/>
  <c r="AM64" i="19"/>
  <c r="P70" i="19"/>
  <c r="AI35" i="20"/>
  <c r="AB35" i="20"/>
  <c r="AA53" i="20"/>
  <c r="B57" i="21"/>
  <c r="B29" i="21"/>
  <c r="AF42" i="21"/>
  <c r="AI42" i="21"/>
  <c r="AB42" i="21"/>
  <c r="AJ55" i="21"/>
  <c r="AF55" i="21"/>
  <c r="AI55" i="21"/>
  <c r="AF49" i="21"/>
  <c r="AI49" i="21"/>
  <c r="AB35" i="22"/>
  <c r="AI35" i="22"/>
  <c r="AJ35" i="22"/>
  <c r="AF35" i="22"/>
  <c r="AF46" i="22"/>
  <c r="AI46" i="22"/>
  <c r="AJ46" i="22"/>
  <c r="AN39" i="23"/>
  <c r="AM39" i="23"/>
  <c r="AD40" i="24"/>
  <c r="AL66" i="19"/>
  <c r="AL62" i="19"/>
  <c r="AL49" i="19"/>
  <c r="AL34" i="19"/>
  <c r="AL42" i="19"/>
  <c r="AL59" i="19"/>
  <c r="AL40" i="19"/>
  <c r="AL51" i="19"/>
  <c r="AL58" i="19"/>
  <c r="AL64" i="19"/>
  <c r="AM66" i="19"/>
  <c r="AN66" i="19"/>
  <c r="AJ67" i="19"/>
  <c r="AH60" i="20"/>
  <c r="AH56" i="20"/>
  <c r="AH55" i="20"/>
  <c r="AH53" i="20"/>
  <c r="AH34" i="20"/>
  <c r="AN34" i="20" s="1"/>
  <c r="AH67" i="20"/>
  <c r="AH63" i="20"/>
  <c r="AN63" i="20" s="1"/>
  <c r="AH51" i="20"/>
  <c r="AH66" i="20"/>
  <c r="AH62" i="20"/>
  <c r="AN62" i="20" s="1"/>
  <c r="AH61" i="20"/>
  <c r="AH57" i="20"/>
  <c r="AH38" i="20"/>
  <c r="AA44" i="20"/>
  <c r="K44" i="20"/>
  <c r="AB52" i="20"/>
  <c r="AI52" i="20"/>
  <c r="AJ52" i="20"/>
  <c r="AF52" i="20"/>
  <c r="AJ62" i="20"/>
  <c r="AF62" i="20"/>
  <c r="AI62" i="20"/>
  <c r="AH64" i="20"/>
  <c r="AF64" i="22"/>
  <c r="AI64" i="22"/>
  <c r="AJ64" i="22"/>
  <c r="AB64" i="22"/>
  <c r="AF69" i="22"/>
  <c r="AA74" i="22"/>
  <c r="AI69" i="22"/>
  <c r="AJ69" i="22"/>
  <c r="AB69" i="22"/>
  <c r="AJ50" i="23"/>
  <c r="AF50" i="23"/>
  <c r="AB50" i="23"/>
  <c r="AI50" i="23"/>
  <c r="AJ38" i="23"/>
  <c r="AB92" i="70"/>
  <c r="AA16" i="15"/>
  <c r="AB41" i="15"/>
  <c r="AH39" i="15"/>
  <c r="AL35" i="15"/>
  <c r="K48" i="15"/>
  <c r="AL50" i="15"/>
  <c r="AK49" i="15"/>
  <c r="AK65" i="15"/>
  <c r="AH62" i="15"/>
  <c r="AL58" i="15"/>
  <c r="AH73" i="15"/>
  <c r="K38" i="24"/>
  <c r="AK49" i="24"/>
  <c r="AF58" i="24"/>
  <c r="AK60" i="24"/>
  <c r="K39" i="18"/>
  <c r="K35" i="18"/>
  <c r="AB63" i="18"/>
  <c r="AA34" i="19"/>
  <c r="AF40" i="19"/>
  <c r="AJ44" i="19"/>
  <c r="AK40" i="19"/>
  <c r="AL36" i="19"/>
  <c r="K47" i="19"/>
  <c r="AN49" i="19"/>
  <c r="AL48" i="19"/>
  <c r="K50" i="19"/>
  <c r="AK51" i="19"/>
  <c r="AL56" i="19"/>
  <c r="AI55" i="19"/>
  <c r="AM63" i="19"/>
  <c r="AN63" i="19"/>
  <c r="AB62" i="19"/>
  <c r="AF62" i="19"/>
  <c r="AK64" i="19"/>
  <c r="AI67" i="19"/>
  <c r="Z16" i="20"/>
  <c r="AJ38" i="20"/>
  <c r="AJ50" i="20"/>
  <c r="AF50" i="20"/>
  <c r="AI50" i="20"/>
  <c r="AI49" i="20"/>
  <c r="AJ49" i="20"/>
  <c r="AF49" i="20"/>
  <c r="AB49" i="20"/>
  <c r="AJ42" i="21"/>
  <c r="AI53" i="21"/>
  <c r="AF53" i="21"/>
  <c r="AF62" i="21"/>
  <c r="AB62" i="21"/>
  <c r="AI62" i="21"/>
  <c r="AJ74" i="21"/>
  <c r="AJ62" i="22"/>
  <c r="AJ55" i="22"/>
  <c r="AI39" i="22"/>
  <c r="AJ39" i="22"/>
  <c r="AB39" i="22"/>
  <c r="AF39" i="22"/>
  <c r="AF49" i="22"/>
  <c r="AI49" i="22"/>
  <c r="AJ49" i="22"/>
  <c r="AJ51" i="22"/>
  <c r="AJ61" i="22"/>
  <c r="AJ71" i="22"/>
  <c r="AB71" i="22"/>
  <c r="AF71" i="22"/>
  <c r="AI71" i="22"/>
  <c r="AL36" i="15"/>
  <c r="AH63" i="15"/>
  <c r="AL59" i="15"/>
  <c r="AK39" i="24"/>
  <c r="K46" i="18"/>
  <c r="AA38" i="19"/>
  <c r="AF44" i="19"/>
  <c r="AL41" i="19"/>
  <c r="AI40" i="19"/>
  <c r="AK36" i="19"/>
  <c r="AJ48" i="19"/>
  <c r="AK56" i="19"/>
  <c r="AF64" i="19"/>
  <c r="AJ64" i="19"/>
  <c r="AF67" i="19"/>
  <c r="AA19" i="20"/>
  <c r="AB50" i="20" s="1"/>
  <c r="AA37" i="20"/>
  <c r="K37" i="20"/>
  <c r="AJ35" i="20"/>
  <c r="AM41" i="20"/>
  <c r="AN41" i="20"/>
  <c r="AI54" i="20"/>
  <c r="AF54" i="20"/>
  <c r="AB54" i="20"/>
  <c r="AI48" i="20"/>
  <c r="AB48" i="20"/>
  <c r="AF48" i="20"/>
  <c r="AI55" i="20"/>
  <c r="AJ48" i="20"/>
  <c r="AI51" i="21"/>
  <c r="AF51" i="21"/>
  <c r="AA77" i="21"/>
  <c r="AB58" i="21"/>
  <c r="AF58" i="21"/>
  <c r="AI58" i="21"/>
  <c r="AF66" i="21"/>
  <c r="AI66" i="21"/>
  <c r="AJ66" i="21"/>
  <c r="AB66" i="21"/>
  <c r="AF54" i="22"/>
  <c r="AI54" i="22"/>
  <c r="AJ54" i="22"/>
  <c r="AM72" i="22"/>
  <c r="AN72" i="22"/>
  <c r="AN47" i="23"/>
  <c r="AM47" i="23"/>
  <c r="AL37" i="15"/>
  <c r="K55" i="18"/>
  <c r="AK59" i="19"/>
  <c r="AK48" i="19"/>
  <c r="AK41" i="19"/>
  <c r="AK58" i="19"/>
  <c r="K42" i="19"/>
  <c r="AJ41" i="19"/>
  <c r="AL37" i="19"/>
  <c r="AK49" i="19"/>
  <c r="AI64" i="19"/>
  <c r="AK66" i="19"/>
  <c r="K38" i="20"/>
  <c r="AH35" i="20"/>
  <c r="AA42" i="20"/>
  <c r="K42" i="20"/>
  <c r="AB51" i="20"/>
  <c r="AF51" i="20"/>
  <c r="AI51" i="20"/>
  <c r="AJ51" i="20"/>
  <c r="AI64" i="20"/>
  <c r="AJ64" i="20"/>
  <c r="AB64" i="20"/>
  <c r="AF34" i="21"/>
  <c r="AI34" i="21"/>
  <c r="AB34" i="21"/>
  <c r="AB43" i="22"/>
  <c r="AI43" i="22"/>
  <c r="AJ43" i="22"/>
  <c r="AF43" i="22"/>
  <c r="AF37" i="22"/>
  <c r="AI37" i="22"/>
  <c r="AJ37" i="22"/>
  <c r="AB37" i="22"/>
  <c r="AI52" i="22"/>
  <c r="AF52" i="22"/>
  <c r="AJ52" i="22"/>
  <c r="AI47" i="22"/>
  <c r="AJ47" i="22"/>
  <c r="AF47" i="22"/>
  <c r="AL34" i="20"/>
  <c r="AH44" i="20"/>
  <c r="AL53" i="20"/>
  <c r="AK52" i="20"/>
  <c r="AK64" i="20"/>
  <c r="AJ63" i="20"/>
  <c r="AA43" i="21"/>
  <c r="AA39" i="21"/>
  <c r="AA35" i="21"/>
  <c r="AL41" i="21"/>
  <c r="AK40" i="21"/>
  <c r="AF56" i="21"/>
  <c r="AF48" i="21"/>
  <c r="AJ56" i="21"/>
  <c r="AN52" i="21"/>
  <c r="AL50" i="21"/>
  <c r="AK49" i="21"/>
  <c r="AA52" i="21"/>
  <c r="AK58" i="21"/>
  <c r="AM65" i="21"/>
  <c r="AL64" i="21"/>
  <c r="AK63" i="21"/>
  <c r="AI71" i="21"/>
  <c r="AI74" i="21"/>
  <c r="K41" i="22"/>
  <c r="K37" i="22"/>
  <c r="AA42" i="22"/>
  <c r="AA38" i="22"/>
  <c r="AA34" i="22"/>
  <c r="AK43" i="22"/>
  <c r="AL36" i="22"/>
  <c r="AK35" i="22"/>
  <c r="K54" i="22"/>
  <c r="K46" i="22"/>
  <c r="AM55" i="22"/>
  <c r="AL54" i="22"/>
  <c r="AK53" i="22"/>
  <c r="AI51" i="22"/>
  <c r="AN48" i="22"/>
  <c r="AM47" i="22"/>
  <c r="AL46" i="22"/>
  <c r="AK56" i="22"/>
  <c r="K63" i="22"/>
  <c r="AL61" i="22"/>
  <c r="AK60" i="22"/>
  <c r="AF68" i="22"/>
  <c r="AI68" i="22"/>
  <c r="AF72" i="22"/>
  <c r="AJ72" i="22"/>
  <c r="AL61" i="23"/>
  <c r="AL69" i="23"/>
  <c r="AL36" i="23"/>
  <c r="AL44" i="23"/>
  <c r="AL52" i="23"/>
  <c r="AL95" i="23"/>
  <c r="AL60" i="23"/>
  <c r="AL68" i="23"/>
  <c r="AL35" i="23"/>
  <c r="AL43" i="23"/>
  <c r="AL51" i="23"/>
  <c r="AL59" i="23"/>
  <c r="AL67" i="23"/>
  <c r="AL34" i="23"/>
  <c r="AL42" i="23"/>
  <c r="AL50" i="23"/>
  <c r="AL58" i="23"/>
  <c r="AL66" i="23"/>
  <c r="AL74" i="23"/>
  <c r="AL41" i="23"/>
  <c r="AL49" i="23"/>
  <c r="AL98" i="23"/>
  <c r="AL56" i="23"/>
  <c r="AL64" i="23"/>
  <c r="AL72" i="23"/>
  <c r="AL39" i="23"/>
  <c r="AL47" i="23"/>
  <c r="AL63" i="23"/>
  <c r="AL71" i="23"/>
  <c r="AL80" i="23"/>
  <c r="AL84" i="23"/>
  <c r="AL88" i="23"/>
  <c r="AL92" i="23"/>
  <c r="AL62" i="23"/>
  <c r="AL70" i="23"/>
  <c r="AL37" i="23"/>
  <c r="AL45" i="23"/>
  <c r="AL53" i="23"/>
  <c r="AA34" i="23"/>
  <c r="AM51" i="23"/>
  <c r="AK45" i="23"/>
  <c r="AA70" i="23"/>
  <c r="K70" i="23"/>
  <c r="K67" i="23"/>
  <c r="AM59" i="23"/>
  <c r="AK72" i="23"/>
  <c r="AK94" i="23"/>
  <c r="AK88" i="23"/>
  <c r="AL93" i="23"/>
  <c r="AH93" i="23"/>
  <c r="AL87" i="23"/>
  <c r="AK93" i="23"/>
  <c r="S96" i="23"/>
  <c r="S100" i="23" s="1"/>
  <c r="AL35" i="20"/>
  <c r="AK34" i="20"/>
  <c r="AL54" i="20"/>
  <c r="AK53" i="20"/>
  <c r="AN60" i="20"/>
  <c r="AF41" i="21"/>
  <c r="AF37" i="21"/>
  <c r="AN44" i="21"/>
  <c r="AL42" i="21"/>
  <c r="AK41" i="21"/>
  <c r="AL34" i="21"/>
  <c r="AN53" i="21"/>
  <c r="AL51" i="21"/>
  <c r="AK50" i="21"/>
  <c r="K66" i="21"/>
  <c r="K62" i="21"/>
  <c r="AL65" i="21"/>
  <c r="AK64" i="21"/>
  <c r="AF69" i="21"/>
  <c r="AN69" i="21"/>
  <c r="AF73" i="21"/>
  <c r="AL37" i="22"/>
  <c r="AK36" i="22"/>
  <c r="K49" i="22"/>
  <c r="AL55" i="22"/>
  <c r="AK54" i="22"/>
  <c r="AJ53" i="22"/>
  <c r="AL47" i="22"/>
  <c r="AK46" i="22"/>
  <c r="AL62" i="22"/>
  <c r="AK61" i="22"/>
  <c r="AI72" i="22"/>
  <c r="AH98" i="23"/>
  <c r="AH38" i="23"/>
  <c r="AH46" i="23"/>
  <c r="AH53" i="23"/>
  <c r="K37" i="23"/>
  <c r="AA48" i="23"/>
  <c r="AA40" i="23"/>
  <c r="AF39" i="23"/>
  <c r="AK53" i="23"/>
  <c r="AL48" i="23"/>
  <c r="AL38" i="23"/>
  <c r="AA74" i="23"/>
  <c r="K74" i="23"/>
  <c r="K71" i="23"/>
  <c r="AI63" i="23"/>
  <c r="AF63" i="23"/>
  <c r="AI64" i="23"/>
  <c r="AJ64" i="23"/>
  <c r="AF64" i="23"/>
  <c r="AK64" i="23"/>
  <c r="AK56" i="23"/>
  <c r="AF95" i="23"/>
  <c r="AI95" i="23"/>
  <c r="AJ95" i="23"/>
  <c r="AB91" i="23"/>
  <c r="AI91" i="23"/>
  <c r="AJ91" i="23"/>
  <c r="AF87" i="23"/>
  <c r="AB87" i="23"/>
  <c r="AI87" i="23"/>
  <c r="AJ87" i="23"/>
  <c r="AB83" i="23"/>
  <c r="AI83" i="23"/>
  <c r="AJ83" i="23"/>
  <c r="AF79" i="23"/>
  <c r="AB79" i="23"/>
  <c r="AI79" i="23"/>
  <c r="AJ79" i="23"/>
  <c r="AK87" i="23"/>
  <c r="AE87" i="23"/>
  <c r="AL86" i="23"/>
  <c r="AK81" i="23"/>
  <c r="AL36" i="20"/>
  <c r="AK35" i="20"/>
  <c r="AL55" i="20"/>
  <c r="AK54" i="20"/>
  <c r="K42" i="21"/>
  <c r="K38" i="21"/>
  <c r="K34" i="21"/>
  <c r="AL43" i="21"/>
  <c r="AK42" i="21"/>
  <c r="AL35" i="21"/>
  <c r="AK34" i="21"/>
  <c r="AL52" i="21"/>
  <c r="AK51" i="21"/>
  <c r="AA50" i="21"/>
  <c r="AB63" i="21"/>
  <c r="AL66" i="21"/>
  <c r="AK65" i="21"/>
  <c r="AI63" i="21"/>
  <c r="O77" i="21"/>
  <c r="AN40" i="22"/>
  <c r="AL38" i="22"/>
  <c r="AJ36" i="22"/>
  <c r="K52" i="22"/>
  <c r="AK55" i="22"/>
  <c r="AI53" i="22"/>
  <c r="AL48" i="22"/>
  <c r="AK47" i="22"/>
  <c r="K64" i="22"/>
  <c r="K60" i="22"/>
  <c r="AL63" i="22"/>
  <c r="AK62" i="22"/>
  <c r="AB68" i="22"/>
  <c r="AF67" i="22"/>
  <c r="AG75" i="22"/>
  <c r="AA19" i="23"/>
  <c r="AB53" i="23" s="1"/>
  <c r="K41" i="23"/>
  <c r="AJ67" i="23"/>
  <c r="AF67" i="23"/>
  <c r="AI67" i="23"/>
  <c r="AK86" i="23"/>
  <c r="AK80" i="23"/>
  <c r="AL85" i="23"/>
  <c r="AH85" i="23"/>
  <c r="AL79" i="23"/>
  <c r="AJ34" i="25"/>
  <c r="AN74" i="21"/>
  <c r="AL64" i="22"/>
  <c r="K45" i="23"/>
  <c r="AF37" i="23"/>
  <c r="AB37" i="23"/>
  <c r="AJ37" i="23"/>
  <c r="AI47" i="23"/>
  <c r="AJ47" i="23"/>
  <c r="AI39" i="23"/>
  <c r="AJ39" i="23"/>
  <c r="AK37" i="23"/>
  <c r="AH34" i="23"/>
  <c r="AI71" i="23"/>
  <c r="AF71" i="23"/>
  <c r="AI68" i="23"/>
  <c r="AJ68" i="23"/>
  <c r="AF68" i="23"/>
  <c r="AJ63" i="23"/>
  <c r="AI94" i="23"/>
  <c r="AB94" i="23"/>
  <c r="AJ94" i="23"/>
  <c r="AF94" i="23"/>
  <c r="AI86" i="23"/>
  <c r="AB86" i="23"/>
  <c r="AJ86" i="23"/>
  <c r="AF86" i="23"/>
  <c r="AI78" i="23"/>
  <c r="AB78" i="23"/>
  <c r="AJ78" i="23"/>
  <c r="AF78" i="23"/>
  <c r="AK92" i="23"/>
  <c r="AK79" i="23"/>
  <c r="AD96" i="23"/>
  <c r="AE79" i="23"/>
  <c r="AL91" i="23"/>
  <c r="AL78" i="23"/>
  <c r="AF98" i="23"/>
  <c r="AI98" i="23"/>
  <c r="AJ98" i="23"/>
  <c r="AM43" i="25"/>
  <c r="AN43" i="25"/>
  <c r="AL38" i="20"/>
  <c r="AL42" i="20"/>
  <c r="AL44" i="20"/>
  <c r="AL57" i="20"/>
  <c r="AK56" i="20"/>
  <c r="AL49" i="20"/>
  <c r="AK48" i="20"/>
  <c r="K62" i="20"/>
  <c r="AL61" i="20"/>
  <c r="AK60" i="20"/>
  <c r="AF54" i="21"/>
  <c r="AL70" i="21"/>
  <c r="AL73" i="21"/>
  <c r="AG77" i="21"/>
  <c r="AL40" i="22"/>
  <c r="AL50" i="22"/>
  <c r="AB67" i="22"/>
  <c r="AL67" i="22"/>
  <c r="AK95" i="23"/>
  <c r="AK60" i="23"/>
  <c r="AK68" i="23"/>
  <c r="AK35" i="23"/>
  <c r="AK43" i="23"/>
  <c r="AK51" i="23"/>
  <c r="AK59" i="23"/>
  <c r="AK67" i="23"/>
  <c r="AK34" i="23"/>
  <c r="AK42" i="23"/>
  <c r="AK50" i="23"/>
  <c r="AK58" i="23"/>
  <c r="AK66" i="23"/>
  <c r="AK74" i="23"/>
  <c r="AK41" i="23"/>
  <c r="AK49" i="23"/>
  <c r="AK57" i="23"/>
  <c r="AK65" i="23"/>
  <c r="AK73" i="23"/>
  <c r="AK40" i="23"/>
  <c r="AK48" i="23"/>
  <c r="AK63" i="23"/>
  <c r="AK71" i="23"/>
  <c r="AK38" i="23"/>
  <c r="AK46" i="23"/>
  <c r="AK62" i="23"/>
  <c r="AK70" i="23"/>
  <c r="AK61" i="23"/>
  <c r="AK69" i="23"/>
  <c r="AK36" i="23"/>
  <c r="AK44" i="23"/>
  <c r="AK52" i="23"/>
  <c r="AI41" i="23"/>
  <c r="AJ41" i="23"/>
  <c r="AF41" i="23"/>
  <c r="AB41" i="23"/>
  <c r="AI46" i="23"/>
  <c r="AF46" i="23"/>
  <c r="AI38" i="23"/>
  <c r="AF38" i="23"/>
  <c r="AK47" i="23"/>
  <c r="AI58" i="23"/>
  <c r="AJ58" i="23"/>
  <c r="AF58" i="23"/>
  <c r="AK91" i="23"/>
  <c r="AE91" i="23"/>
  <c r="AK78" i="23"/>
  <c r="AL90" i="23"/>
  <c r="AG96" i="23"/>
  <c r="AL77" i="23"/>
  <c r="AH77" i="23"/>
  <c r="AK77" i="23"/>
  <c r="AJ60" i="26"/>
  <c r="AJ63" i="26"/>
  <c r="AJ44" i="26"/>
  <c r="AN40" i="21"/>
  <c r="AL41" i="22"/>
  <c r="AL51" i="22"/>
  <c r="AL68" i="22"/>
  <c r="AL71" i="22"/>
  <c r="AA16" i="23"/>
  <c r="AF45" i="23"/>
  <c r="AB45" i="23"/>
  <c r="AJ45" i="23"/>
  <c r="AA52" i="23"/>
  <c r="AI44" i="23"/>
  <c r="AF44" i="23"/>
  <c r="AB44" i="23"/>
  <c r="AI36" i="23"/>
  <c r="AF36" i="23"/>
  <c r="AI72" i="23"/>
  <c r="AJ72" i="23"/>
  <c r="AF72" i="23"/>
  <c r="AI56" i="23"/>
  <c r="AJ56" i="23"/>
  <c r="AF56" i="23"/>
  <c r="AB93" i="23"/>
  <c r="AI93" i="23"/>
  <c r="AJ93" i="23"/>
  <c r="AF93" i="23"/>
  <c r="AF89" i="23"/>
  <c r="AI89" i="23"/>
  <c r="AJ89" i="23"/>
  <c r="AF81" i="23"/>
  <c r="AI81" i="23"/>
  <c r="AJ81" i="23"/>
  <c r="AB77" i="23"/>
  <c r="AI77" i="23"/>
  <c r="AJ77" i="23"/>
  <c r="AF77" i="23"/>
  <c r="AK90" i="23"/>
  <c r="AK84" i="23"/>
  <c r="AL89" i="23"/>
  <c r="AH89" i="23"/>
  <c r="AL83" i="23"/>
  <c r="AB89" i="23"/>
  <c r="AF91" i="23"/>
  <c r="AK98" i="23"/>
  <c r="AM34" i="25"/>
  <c r="AN34" i="25"/>
  <c r="AL63" i="20"/>
  <c r="AL67" i="20"/>
  <c r="AL62" i="21"/>
  <c r="AL42" i="22"/>
  <c r="AJ40" i="22"/>
  <c r="AN36" i="22"/>
  <c r="AL34" i="22"/>
  <c r="AN54" i="22"/>
  <c r="AL52" i="22"/>
  <c r="AN46" i="22"/>
  <c r="AN61" i="22"/>
  <c r="AL69" i="22"/>
  <c r="AJ67" i="22"/>
  <c r="AL72" i="22"/>
  <c r="AI49" i="23"/>
  <c r="AJ49" i="23"/>
  <c r="AF49" i="23"/>
  <c r="AB49" i="23"/>
  <c r="AM43" i="23"/>
  <c r="AN43" i="23"/>
  <c r="AM35" i="23"/>
  <c r="AN35" i="23"/>
  <c r="AA62" i="23"/>
  <c r="K62" i="23"/>
  <c r="AK83" i="23"/>
  <c r="AE83" i="23"/>
  <c r="AL82" i="23"/>
  <c r="AK85" i="23"/>
  <c r="AB81" i="23"/>
  <c r="AF83" i="23"/>
  <c r="AL52" i="20"/>
  <c r="AK51" i="20"/>
  <c r="AK63" i="20"/>
  <c r="AL40" i="21"/>
  <c r="AL49" i="21"/>
  <c r="AB71" i="21"/>
  <c r="AF74" i="21"/>
  <c r="AF40" i="22"/>
  <c r="AL43" i="22"/>
  <c r="AK42" i="22"/>
  <c r="AL35" i="22"/>
  <c r="AK34" i="22"/>
  <c r="AL53" i="22"/>
  <c r="AK52" i="22"/>
  <c r="AK69" i="22"/>
  <c r="AF53" i="23"/>
  <c r="AJ51" i="23"/>
  <c r="AJ43" i="23"/>
  <c r="AJ35" i="23"/>
  <c r="AF47" i="23"/>
  <c r="AJ46" i="23"/>
  <c r="AK39" i="23"/>
  <c r="AH36" i="23"/>
  <c r="AA66" i="23"/>
  <c r="K66" i="23"/>
  <c r="K63" i="23"/>
  <c r="AA59" i="23"/>
  <c r="K59" i="23"/>
  <c r="AI60" i="23"/>
  <c r="AJ60" i="23"/>
  <c r="AF60" i="23"/>
  <c r="AL65" i="23"/>
  <c r="AL57" i="23"/>
  <c r="AF92" i="23"/>
  <c r="AJ92" i="23"/>
  <c r="AB92" i="23"/>
  <c r="AF84" i="23"/>
  <c r="AJ84" i="23"/>
  <c r="AB84" i="23"/>
  <c r="AI90" i="23"/>
  <c r="AJ90" i="23"/>
  <c r="AF90" i="23"/>
  <c r="AB90" i="23"/>
  <c r="AI82" i="23"/>
  <c r="AJ82" i="23"/>
  <c r="AF82" i="23"/>
  <c r="AB82" i="23"/>
  <c r="W96" i="23"/>
  <c r="W100" i="23" s="1"/>
  <c r="O96" i="23"/>
  <c r="AK82" i="23"/>
  <c r="AL94" i="23"/>
  <c r="AL81" i="23"/>
  <c r="AH81" i="23"/>
  <c r="AI84" i="23"/>
  <c r="AJ41" i="25"/>
  <c r="AI41" i="25"/>
  <c r="AF41" i="25"/>
  <c r="AB41" i="25"/>
  <c r="AM44" i="25"/>
  <c r="AN44" i="25"/>
  <c r="AB56" i="26"/>
  <c r="AE92" i="23"/>
  <c r="AE88" i="23"/>
  <c r="AE84" i="23"/>
  <c r="AE80" i="23"/>
  <c r="AH94" i="23"/>
  <c r="AH90" i="23"/>
  <c r="AH86" i="23"/>
  <c r="AH82" i="23"/>
  <c r="AH78" i="23"/>
  <c r="AE98" i="23"/>
  <c r="AA49" i="25"/>
  <c r="AJ42" i="25"/>
  <c r="K46" i="26"/>
  <c r="AB35" i="26"/>
  <c r="AJ35" i="26"/>
  <c r="AI35" i="26"/>
  <c r="AF40" i="26"/>
  <c r="AJ40" i="26"/>
  <c r="AJ54" i="26"/>
  <c r="AF54" i="26"/>
  <c r="AI54" i="26"/>
  <c r="AI61" i="26"/>
  <c r="AJ61" i="26"/>
  <c r="AF61" i="26"/>
  <c r="AJ52" i="26"/>
  <c r="AF52" i="26"/>
  <c r="AH54" i="26"/>
  <c r="K43" i="27"/>
  <c r="AA43" i="27"/>
  <c r="AJ69" i="23"/>
  <c r="AJ61" i="23"/>
  <c r="Z16" i="25"/>
  <c r="AF46" i="25"/>
  <c r="AF42" i="25"/>
  <c r="AJ39" i="25"/>
  <c r="AA52" i="25"/>
  <c r="AJ42" i="26"/>
  <c r="AI40" i="26"/>
  <c r="K62" i="26"/>
  <c r="AJ59" i="26"/>
  <c r="AF59" i="26"/>
  <c r="AB59" i="26"/>
  <c r="AI59" i="26"/>
  <c r="AF60" i="26"/>
  <c r="AJ36" i="27"/>
  <c r="AF36" i="27"/>
  <c r="AI69" i="23"/>
  <c r="AI61" i="23"/>
  <c r="AE36" i="25"/>
  <c r="AE35" i="25"/>
  <c r="AA48" i="25"/>
  <c r="AB42" i="25"/>
  <c r="AB37" i="25"/>
  <c r="AE50" i="25"/>
  <c r="AE46" i="25"/>
  <c r="AE38" i="25"/>
  <c r="AM47" i="25"/>
  <c r="AI39" i="25"/>
  <c r="Z16" i="26"/>
  <c r="AI46" i="26"/>
  <c r="AJ46" i="26"/>
  <c r="AJ47" i="26"/>
  <c r="AI47" i="26"/>
  <c r="AJ39" i="26"/>
  <c r="AF39" i="26"/>
  <c r="AI39" i="26"/>
  <c r="AF69" i="26"/>
  <c r="AA19" i="27"/>
  <c r="AB40" i="27" s="1"/>
  <c r="AJ43" i="25"/>
  <c r="AF37" i="25"/>
  <c r="AJ46" i="25"/>
  <c r="AI43" i="25"/>
  <c r="AA37" i="26"/>
  <c r="AJ37" i="26" s="1"/>
  <c r="K37" i="26"/>
  <c r="AJ62" i="26"/>
  <c r="AF62" i="26"/>
  <c r="AB62" i="26"/>
  <c r="AI62" i="26"/>
  <c r="AI55" i="26"/>
  <c r="AJ57" i="26"/>
  <c r="AF57" i="26"/>
  <c r="AJ34" i="27"/>
  <c r="AJ42" i="27"/>
  <c r="AJ38" i="27"/>
  <c r="AJ44" i="27"/>
  <c r="AF44" i="27"/>
  <c r="AI44" i="27"/>
  <c r="AJ37" i="27"/>
  <c r="AN68" i="23"/>
  <c r="AN60" i="23"/>
  <c r="AE94" i="23"/>
  <c r="AE90" i="23"/>
  <c r="AE86" i="23"/>
  <c r="AE82" i="23"/>
  <c r="AE78" i="23"/>
  <c r="AB46" i="25"/>
  <c r="AE45" i="25"/>
  <c r="AJ50" i="25"/>
  <c r="AL44" i="25"/>
  <c r="AL41" i="25"/>
  <c r="AJ37" i="25"/>
  <c r="AL71" i="26"/>
  <c r="AL53" i="26"/>
  <c r="AL51" i="26"/>
  <c r="AL59" i="26"/>
  <c r="AL67" i="26"/>
  <c r="AL56" i="26"/>
  <c r="AL64" i="26"/>
  <c r="AL54" i="26"/>
  <c r="AL41" i="26"/>
  <c r="AL72" i="26"/>
  <c r="AL62" i="26"/>
  <c r="AL65" i="26"/>
  <c r="AL68" i="26"/>
  <c r="AL40" i="26"/>
  <c r="AL36" i="26"/>
  <c r="AL39" i="26"/>
  <c r="AL47" i="26"/>
  <c r="AL50" i="26"/>
  <c r="AL63" i="26"/>
  <c r="AL66" i="26"/>
  <c r="AL52" i="26"/>
  <c r="AL57" i="26"/>
  <c r="AL60" i="26"/>
  <c r="AL69" i="26"/>
  <c r="AL42" i="26"/>
  <c r="AI44" i="26"/>
  <c r="AF44" i="26"/>
  <c r="AL43" i="26"/>
  <c r="AI67" i="26"/>
  <c r="AJ67" i="26"/>
  <c r="AF67" i="26"/>
  <c r="AI68" i="26"/>
  <c r="AJ68" i="26"/>
  <c r="AJ73" i="23"/>
  <c r="AN69" i="23"/>
  <c r="AJ65" i="23"/>
  <c r="AN61" i="23"/>
  <c r="AJ57" i="23"/>
  <c r="AA36" i="25"/>
  <c r="AF44" i="25"/>
  <c r="AJ47" i="25"/>
  <c r="AJ44" i="25"/>
  <c r="AH72" i="26"/>
  <c r="AH55" i="26"/>
  <c r="AH63" i="26"/>
  <c r="AH52" i="26"/>
  <c r="AH60" i="26"/>
  <c r="AH68" i="26"/>
  <c r="AH51" i="26"/>
  <c r="AH67" i="26"/>
  <c r="AH45" i="26"/>
  <c r="AH53" i="26"/>
  <c r="AH58" i="26"/>
  <c r="AH61" i="26"/>
  <c r="AH64" i="26"/>
  <c r="AH44" i="26"/>
  <c r="AH35" i="26"/>
  <c r="AH43" i="26"/>
  <c r="AH59" i="26"/>
  <c r="AH62" i="26"/>
  <c r="AH65" i="26"/>
  <c r="AH56" i="26"/>
  <c r="AH38" i="26"/>
  <c r="AH46" i="26"/>
  <c r="AA41" i="26"/>
  <c r="K41" i="26"/>
  <c r="AH39" i="26"/>
  <c r="AA51" i="26"/>
  <c r="K51" i="26"/>
  <c r="AJ65" i="26"/>
  <c r="AF65" i="26"/>
  <c r="AI65" i="26"/>
  <c r="AI56" i="26"/>
  <c r="AJ56" i="26"/>
  <c r="AF56" i="26"/>
  <c r="AJ69" i="26"/>
  <c r="AI36" i="27"/>
  <c r="AF73" i="23"/>
  <c r="AF65" i="23"/>
  <c r="AF57" i="23"/>
  <c r="AN70" i="23"/>
  <c r="AN62" i="23"/>
  <c r="AL35" i="25"/>
  <c r="AL43" i="25"/>
  <c r="AL37" i="25"/>
  <c r="AL45" i="25"/>
  <c r="AB50" i="25"/>
  <c r="AA45" i="25"/>
  <c r="AA40" i="25"/>
  <c r="AB35" i="25"/>
  <c r="AL48" i="25"/>
  <c r="AI47" i="25"/>
  <c r="AI44" i="25"/>
  <c r="AE52" i="25"/>
  <c r="AA19" i="26"/>
  <c r="AB61" i="26" s="1"/>
  <c r="K42" i="26"/>
  <c r="AI38" i="26"/>
  <c r="AJ38" i="26"/>
  <c r="AB38" i="26"/>
  <c r="AL37" i="26"/>
  <c r="AL45" i="26"/>
  <c r="AJ43" i="26"/>
  <c r="AH41" i="26"/>
  <c r="AF63" i="26"/>
  <c r="K54" i="26"/>
  <c r="AF53" i="26"/>
  <c r="AI53" i="26"/>
  <c r="AJ53" i="26"/>
  <c r="AI69" i="26"/>
  <c r="AH66" i="26"/>
  <c r="AL55" i="26"/>
  <c r="AF40" i="27"/>
  <c r="AI40" i="27"/>
  <c r="AJ40" i="27"/>
  <c r="K58" i="23"/>
  <c r="AJ35" i="25"/>
  <c r="AB39" i="25"/>
  <c r="AF43" i="25"/>
  <c r="AL42" i="25"/>
  <c r="AL39" i="25"/>
  <c r="AI35" i="25"/>
  <c r="AA45" i="26"/>
  <c r="K45" i="26"/>
  <c r="AF36" i="26"/>
  <c r="AB36" i="26"/>
  <c r="AJ36" i="26"/>
  <c r="AF42" i="26"/>
  <c r="AH47" i="26"/>
  <c r="AI43" i="26"/>
  <c r="K59" i="26"/>
  <c r="AA64" i="26"/>
  <c r="AF55" i="26"/>
  <c r="AH69" i="26"/>
  <c r="AL58" i="26"/>
  <c r="AJ55" i="26"/>
  <c r="AK44" i="25"/>
  <c r="AK36" i="25"/>
  <c r="AE47" i="26"/>
  <c r="AE43" i="26"/>
  <c r="AE39" i="26"/>
  <c r="AK41" i="26"/>
  <c r="AA66" i="26"/>
  <c r="AA58" i="26"/>
  <c r="AA50" i="26"/>
  <c r="AE62" i="26"/>
  <c r="AE53" i="26"/>
  <c r="AA47" i="27"/>
  <c r="AA35" i="28"/>
  <c r="K35" i="28"/>
  <c r="AA69" i="28"/>
  <c r="AF44" i="28"/>
  <c r="AI44" i="28"/>
  <c r="AI62" i="28"/>
  <c r="AF62" i="28"/>
  <c r="AF44" i="29"/>
  <c r="AB44" i="29"/>
  <c r="AI44" i="29"/>
  <c r="AA75" i="26"/>
  <c r="AF71" i="26"/>
  <c r="AJ71" i="26"/>
  <c r="Z16" i="27"/>
  <c r="AH45" i="27"/>
  <c r="AG47" i="27"/>
  <c r="AL45" i="27"/>
  <c r="AF49" i="28"/>
  <c r="AI49" i="28"/>
  <c r="AF66" i="28"/>
  <c r="AI66" i="28"/>
  <c r="AA70" i="28"/>
  <c r="AA19" i="28"/>
  <c r="AB47" i="28" s="1"/>
  <c r="AB41" i="28"/>
  <c r="AI41" i="28"/>
  <c r="AF41" i="28"/>
  <c r="AI53" i="28"/>
  <c r="AF53" i="28"/>
  <c r="AA20" i="28"/>
  <c r="AJ43" i="28" s="1"/>
  <c r="AF36" i="28"/>
  <c r="AB36" i="28"/>
  <c r="AI36" i="28"/>
  <c r="AI64" i="28"/>
  <c r="AB64" i="28"/>
  <c r="AF64" i="28"/>
  <c r="AI55" i="29"/>
  <c r="AF55" i="29"/>
  <c r="AB55" i="29"/>
  <c r="AA39" i="27"/>
  <c r="AI50" i="28"/>
  <c r="AJ50" i="28"/>
  <c r="AF50" i="28"/>
  <c r="AI54" i="28"/>
  <c r="AF54" i="28"/>
  <c r="AI57" i="28"/>
  <c r="AB57" i="28"/>
  <c r="AF57" i="28"/>
  <c r="AF39" i="29"/>
  <c r="AB39" i="29"/>
  <c r="AI39" i="29"/>
  <c r="AF36" i="29"/>
  <c r="AJ36" i="29"/>
  <c r="AB36" i="29"/>
  <c r="AI36" i="29"/>
  <c r="AB71" i="29"/>
  <c r="AE71" i="26"/>
  <c r="AF61" i="28"/>
  <c r="AI61" i="28"/>
  <c r="AB74" i="29"/>
  <c r="AB50" i="29"/>
  <c r="AB69" i="29"/>
  <c r="AB53" i="29"/>
  <c r="AB59" i="29"/>
  <c r="AB66" i="29"/>
  <c r="AB40" i="29"/>
  <c r="AB61" i="29"/>
  <c r="K47" i="25"/>
  <c r="K43" i="25"/>
  <c r="K39" i="25"/>
  <c r="K35" i="25"/>
  <c r="AK50" i="25"/>
  <c r="AK42" i="25"/>
  <c r="AK52" i="26"/>
  <c r="AK50" i="26"/>
  <c r="AK58" i="26"/>
  <c r="AK66" i="26"/>
  <c r="AK72" i="26"/>
  <c r="AK55" i="26"/>
  <c r="AK63" i="26"/>
  <c r="AE44" i="26"/>
  <c r="AE40" i="26"/>
  <c r="AK47" i="26"/>
  <c r="AK39" i="26"/>
  <c r="AE67" i="26"/>
  <c r="AE63" i="26"/>
  <c r="AE59" i="26"/>
  <c r="AE50" i="26"/>
  <c r="AK59" i="26"/>
  <c r="AK56" i="26"/>
  <c r="AF37" i="27"/>
  <c r="AI37" i="27"/>
  <c r="AI63" i="29"/>
  <c r="AF63" i="29"/>
  <c r="AJ63" i="29"/>
  <c r="AB63" i="29"/>
  <c r="AB72" i="26"/>
  <c r="AJ72" i="26"/>
  <c r="AI41" i="27"/>
  <c r="AB41" i="27"/>
  <c r="AJ41" i="27"/>
  <c r="AF41" i="27"/>
  <c r="AA35" i="27"/>
  <c r="AH67" i="28"/>
  <c r="AH60" i="28"/>
  <c r="AH53" i="28"/>
  <c r="AH52" i="28"/>
  <c r="AH59" i="28"/>
  <c r="AH66" i="28"/>
  <c r="AH50" i="28"/>
  <c r="AH43" i="28"/>
  <c r="AH58" i="28"/>
  <c r="AH63" i="28"/>
  <c r="AH49" i="28"/>
  <c r="AH48" i="28"/>
  <c r="AH44" i="28"/>
  <c r="AH57" i="28"/>
  <c r="AH47" i="28"/>
  <c r="AH40" i="28"/>
  <c r="AH64" i="28"/>
  <c r="AH39" i="28"/>
  <c r="AI40" i="28"/>
  <c r="AB58" i="28"/>
  <c r="AI58" i="28"/>
  <c r="AF58" i="28"/>
  <c r="AF43" i="29"/>
  <c r="AB43" i="29"/>
  <c r="AF35" i="29"/>
  <c r="AB35" i="29"/>
  <c r="AI64" i="29"/>
  <c r="AB64" i="29"/>
  <c r="AL40" i="27"/>
  <c r="AH36" i="27"/>
  <c r="K40" i="28"/>
  <c r="AB51" i="28"/>
  <c r="AL51" i="28"/>
  <c r="AK50" i="28"/>
  <c r="AI48" i="28"/>
  <c r="AK58" i="28"/>
  <c r="AK66" i="28"/>
  <c r="AG69" i="28"/>
  <c r="AA38" i="29"/>
  <c r="K38" i="29"/>
  <c r="AB41" i="29"/>
  <c r="AI41" i="29"/>
  <c r="AE46" i="29"/>
  <c r="K62" i="29"/>
  <c r="AA62" i="29"/>
  <c r="AI57" i="29"/>
  <c r="AB52" i="29"/>
  <c r="AI52" i="29"/>
  <c r="AB75" i="29"/>
  <c r="AA78" i="29"/>
  <c r="AI75" i="29"/>
  <c r="AF75" i="29"/>
  <c r="AE50" i="28"/>
  <c r="AE54" i="28"/>
  <c r="AI63" i="28"/>
  <c r="AA20" i="29"/>
  <c r="AJ60" i="29" s="1"/>
  <c r="AK75" i="29"/>
  <c r="AK52" i="29"/>
  <c r="AK58" i="29"/>
  <c r="AK66" i="29"/>
  <c r="AK36" i="29"/>
  <c r="AK44" i="29"/>
  <c r="AK74" i="29"/>
  <c r="AK57" i="29"/>
  <c r="AK65" i="29"/>
  <c r="AK35" i="29"/>
  <c r="AK43" i="29"/>
  <c r="AK51" i="29"/>
  <c r="AK56" i="29"/>
  <c r="AK64" i="29"/>
  <c r="AK72" i="29"/>
  <c r="AK42" i="29"/>
  <c r="AK50" i="29"/>
  <c r="AK54" i="29"/>
  <c r="AK62" i="29"/>
  <c r="AK70" i="29"/>
  <c r="AK40" i="29"/>
  <c r="AK59" i="29"/>
  <c r="AK67" i="29"/>
  <c r="AA42" i="29"/>
  <c r="K42" i="29"/>
  <c r="AF37" i="29"/>
  <c r="AK46" i="29"/>
  <c r="AK37" i="29"/>
  <c r="AA67" i="29"/>
  <c r="AF64" i="29"/>
  <c r="AF57" i="29"/>
  <c r="AL42" i="27"/>
  <c r="AL34" i="27"/>
  <c r="AA45" i="27"/>
  <c r="K41" i="28"/>
  <c r="AE40" i="28"/>
  <c r="AI43" i="28"/>
  <c r="T69" i="28"/>
  <c r="AL53" i="28"/>
  <c r="AK52" i="28"/>
  <c r="AL54" i="28"/>
  <c r="AE64" i="28"/>
  <c r="AK67" i="28"/>
  <c r="AA16" i="29"/>
  <c r="AE51" i="29"/>
  <c r="AE55" i="29"/>
  <c r="AE63" i="29"/>
  <c r="AE67" i="29"/>
  <c r="AE71" i="29"/>
  <c r="AE35" i="29"/>
  <c r="AE39" i="29"/>
  <c r="AE43" i="29"/>
  <c r="AE47" i="29"/>
  <c r="AE56" i="29"/>
  <c r="AE60" i="29"/>
  <c r="AE64" i="29"/>
  <c r="AE68" i="29"/>
  <c r="AE72" i="29"/>
  <c r="AE53" i="29"/>
  <c r="AE57" i="29"/>
  <c r="AE61" i="29"/>
  <c r="AE69" i="29"/>
  <c r="AA46" i="29"/>
  <c r="K46" i="29"/>
  <c r="K36" i="29"/>
  <c r="AI40" i="29"/>
  <c r="AF40" i="29"/>
  <c r="AE45" i="29"/>
  <c r="AI35" i="29"/>
  <c r="K70" i="29"/>
  <c r="AA70" i="29"/>
  <c r="K63" i="29"/>
  <c r="AB60" i="29"/>
  <c r="AI60" i="29"/>
  <c r="AE70" i="29"/>
  <c r="AE37" i="27"/>
  <c r="AL43" i="27"/>
  <c r="AK42" i="27"/>
  <c r="AH39" i="27"/>
  <c r="AL35" i="27"/>
  <c r="AK34" i="27"/>
  <c r="AL35" i="28"/>
  <c r="AB42" i="28"/>
  <c r="AF39" i="28"/>
  <c r="AL39" i="28"/>
  <c r="S69" i="28"/>
  <c r="AE53" i="28"/>
  <c r="AE49" i="28"/>
  <c r="AK53" i="28"/>
  <c r="AI51" i="28"/>
  <c r="AK60" i="28"/>
  <c r="AI59" i="28"/>
  <c r="AF47" i="29"/>
  <c r="AJ47" i="29"/>
  <c r="AB47" i="29"/>
  <c r="AA77" i="29"/>
  <c r="AE44" i="29"/>
  <c r="AK39" i="29"/>
  <c r="AE75" i="29"/>
  <c r="AA43" i="30"/>
  <c r="K43" i="30"/>
  <c r="AE43" i="28"/>
  <c r="AE39" i="28"/>
  <c r="AE44" i="28"/>
  <c r="AF52" i="28"/>
  <c r="AF48" i="28"/>
  <c r="AI52" i="28"/>
  <c r="AF60" i="28"/>
  <c r="AL64" i="28"/>
  <c r="AF67" i="28"/>
  <c r="AB45" i="29"/>
  <c r="AB37" i="29"/>
  <c r="AI43" i="29"/>
  <c r="AB68" i="29"/>
  <c r="AI68" i="29"/>
  <c r="AI71" i="29"/>
  <c r="AF71" i="29"/>
  <c r="AJ71" i="29"/>
  <c r="AF68" i="29"/>
  <c r="AK53" i="29"/>
  <c r="AA16" i="27"/>
  <c r="AK44" i="27"/>
  <c r="AH41" i="27"/>
  <c r="AL37" i="27"/>
  <c r="AK36" i="27"/>
  <c r="AK36" i="28"/>
  <c r="AL41" i="28"/>
  <c r="AK40" i="28"/>
  <c r="AD69" i="28"/>
  <c r="K53" i="28"/>
  <c r="K49" i="28"/>
  <c r="AE52" i="28"/>
  <c r="AE48" i="28"/>
  <c r="AL48" i="28"/>
  <c r="AK47" i="28"/>
  <c r="K61" i="28"/>
  <c r="K57" i="28"/>
  <c r="AL62" i="28"/>
  <c r="AK61" i="28"/>
  <c r="AI60" i="28"/>
  <c r="AL57" i="28"/>
  <c r="AE67" i="28"/>
  <c r="AH53" i="29"/>
  <c r="AH55" i="29"/>
  <c r="AH63" i="29"/>
  <c r="AH71" i="29"/>
  <c r="AH41" i="29"/>
  <c r="AH50" i="29"/>
  <c r="AH70" i="29"/>
  <c r="AH40" i="29"/>
  <c r="AH54" i="29"/>
  <c r="AH61" i="29"/>
  <c r="AH69" i="29"/>
  <c r="AH39" i="29"/>
  <c r="AH47" i="29"/>
  <c r="AH59" i="29"/>
  <c r="AH67" i="29"/>
  <c r="AH45" i="29"/>
  <c r="AH74" i="29"/>
  <c r="AH51" i="29"/>
  <c r="AH56" i="29"/>
  <c r="AH72" i="29"/>
  <c r="AF41" i="29"/>
  <c r="AJ45" i="29"/>
  <c r="AH43" i="29"/>
  <c r="AI56" i="29"/>
  <c r="AJ56" i="29"/>
  <c r="AB56" i="29"/>
  <c r="AA51" i="29"/>
  <c r="AF60" i="29"/>
  <c r="AK61" i="29"/>
  <c r="AE74" i="29"/>
  <c r="AH42" i="27"/>
  <c r="AL42" i="28"/>
  <c r="AK41" i="28"/>
  <c r="AK44" i="28"/>
  <c r="AF47" i="28"/>
  <c r="AL49" i="28"/>
  <c r="AK48" i="28"/>
  <c r="AL63" i="28"/>
  <c r="AK62" i="28"/>
  <c r="AK57" i="28"/>
  <c r="AE41" i="29"/>
  <c r="AK47" i="29"/>
  <c r="AI45" i="29"/>
  <c r="AK38" i="29"/>
  <c r="K57" i="29"/>
  <c r="K54" i="29"/>
  <c r="AA54" i="29"/>
  <c r="AB57" i="29"/>
  <c r="AE66" i="29"/>
  <c r="AF52" i="29"/>
  <c r="AH66" i="29"/>
  <c r="AH75" i="29"/>
  <c r="AK50" i="30"/>
  <c r="AK58" i="30"/>
  <c r="AK66" i="30"/>
  <c r="AK36" i="30"/>
  <c r="AK44" i="30"/>
  <c r="AK57" i="30"/>
  <c r="AK65" i="30"/>
  <c r="AK35" i="30"/>
  <c r="AK43" i="30"/>
  <c r="AK75" i="30"/>
  <c r="AK56" i="30"/>
  <c r="AK64" i="30"/>
  <c r="AK72" i="30"/>
  <c r="AK42" i="30"/>
  <c r="AK74" i="30"/>
  <c r="AK55" i="30"/>
  <c r="AK63" i="30"/>
  <c r="AK71" i="30"/>
  <c r="AK41" i="30"/>
  <c r="AK54" i="30"/>
  <c r="AK62" i="30"/>
  <c r="AK70" i="30"/>
  <c r="AK40" i="30"/>
  <c r="AK53" i="30"/>
  <c r="AK61" i="30"/>
  <c r="AK52" i="30"/>
  <c r="AK68" i="30"/>
  <c r="AK38" i="30"/>
  <c r="AK47" i="30"/>
  <c r="AK69" i="30"/>
  <c r="AK39" i="30"/>
  <c r="AK45" i="30"/>
  <c r="AK59" i="30"/>
  <c r="AK67" i="30"/>
  <c r="AK37" i="30"/>
  <c r="AK46" i="30"/>
  <c r="AK51" i="30"/>
  <c r="AK60" i="30"/>
  <c r="K39" i="30"/>
  <c r="AJ35" i="30"/>
  <c r="AF35" i="30"/>
  <c r="AB36" i="30"/>
  <c r="AI35" i="30"/>
  <c r="K70" i="30"/>
  <c r="AA70" i="30"/>
  <c r="AI61" i="30"/>
  <c r="AJ61" i="30"/>
  <c r="K54" i="30"/>
  <c r="AA54" i="30"/>
  <c r="AA67" i="30"/>
  <c r="AI75" i="30"/>
  <c r="AJ75" i="30"/>
  <c r="AF75" i="30"/>
  <c r="AA42" i="30"/>
  <c r="K42" i="30"/>
  <c r="AF68" i="30"/>
  <c r="AI68" i="30"/>
  <c r="AI36" i="31"/>
  <c r="AB36" i="31"/>
  <c r="AF36" i="31"/>
  <c r="AB37" i="31"/>
  <c r="AF37" i="31"/>
  <c r="AI37" i="31"/>
  <c r="U66" i="33"/>
  <c r="U67" i="33"/>
  <c r="AA19" i="30"/>
  <c r="AB35" i="30" s="1"/>
  <c r="AF39" i="30"/>
  <c r="AI39" i="30"/>
  <c r="AI74" i="30"/>
  <c r="AA78" i="30"/>
  <c r="AA46" i="30"/>
  <c r="K46" i="30"/>
  <c r="AF45" i="30"/>
  <c r="AI64" i="30"/>
  <c r="AF64" i="30"/>
  <c r="AJ57" i="30"/>
  <c r="AI55" i="30"/>
  <c r="AF55" i="30"/>
  <c r="AF74" i="30"/>
  <c r="AI41" i="30"/>
  <c r="AJ41" i="30"/>
  <c r="AI69" i="30"/>
  <c r="K62" i="30"/>
  <c r="AA62" i="30"/>
  <c r="AI53" i="30"/>
  <c r="AB53" i="30"/>
  <c r="AJ53" i="30"/>
  <c r="AI63" i="30"/>
  <c r="AF63" i="30"/>
  <c r="AF69" i="30"/>
  <c r="AL43" i="29"/>
  <c r="AL35" i="29"/>
  <c r="AL65" i="29"/>
  <c r="AL57" i="29"/>
  <c r="AL74" i="29"/>
  <c r="AA20" i="30"/>
  <c r="AJ60" i="30" s="1"/>
  <c r="AI45" i="30"/>
  <c r="AJ36" i="30"/>
  <c r="AF60" i="30"/>
  <c r="AI60" i="30"/>
  <c r="AI71" i="30"/>
  <c r="AF71" i="30"/>
  <c r="AJ71" i="30"/>
  <c r="AF57" i="30"/>
  <c r="AH72" i="30"/>
  <c r="AI57" i="30"/>
  <c r="AH75" i="30"/>
  <c r="AL44" i="29"/>
  <c r="AL36" i="29"/>
  <c r="AB72" i="29"/>
  <c r="AJ72" i="29"/>
  <c r="AL66" i="29"/>
  <c r="AL58" i="29"/>
  <c r="AL52" i="29"/>
  <c r="AF47" i="30"/>
  <c r="AI47" i="30"/>
  <c r="AJ47" i="30"/>
  <c r="K35" i="30"/>
  <c r="AI40" i="30"/>
  <c r="AJ40" i="30"/>
  <c r="AF40" i="30"/>
  <c r="AF41" i="30"/>
  <c r="AJ44" i="30"/>
  <c r="AI36" i="30"/>
  <c r="AB35" i="31"/>
  <c r="AL45" i="29"/>
  <c r="AL37" i="29"/>
  <c r="AL67" i="29"/>
  <c r="AL59" i="29"/>
  <c r="AI74" i="29"/>
  <c r="AA16" i="30"/>
  <c r="AH74" i="30"/>
  <c r="AH63" i="30"/>
  <c r="AH71" i="30"/>
  <c r="AH41" i="30"/>
  <c r="AH54" i="30"/>
  <c r="AH62" i="30"/>
  <c r="AH70" i="30"/>
  <c r="AH53" i="30"/>
  <c r="AH61" i="30"/>
  <c r="AH69" i="30"/>
  <c r="AH39" i="30"/>
  <c r="AH47" i="30"/>
  <c r="AH52" i="30"/>
  <c r="AH60" i="30"/>
  <c r="AH68" i="30"/>
  <c r="AH38" i="30"/>
  <c r="AH46" i="30"/>
  <c r="AH51" i="30"/>
  <c r="AH59" i="30"/>
  <c r="AH67" i="30"/>
  <c r="AH45" i="30"/>
  <c r="AH58" i="30"/>
  <c r="AH66" i="30"/>
  <c r="AA38" i="30"/>
  <c r="K38" i="30"/>
  <c r="AI44" i="30"/>
  <c r="AJ65" i="30"/>
  <c r="AI56" i="30"/>
  <c r="AJ56" i="30"/>
  <c r="AF56" i="30"/>
  <c r="AA59" i="30"/>
  <c r="AA51" i="30"/>
  <c r="AF65" i="30"/>
  <c r="AH65" i="30"/>
  <c r="AH56" i="30"/>
  <c r="AB36" i="32"/>
  <c r="AI36" i="32"/>
  <c r="AF36" i="32"/>
  <c r="AJ36" i="32"/>
  <c r="X66" i="33"/>
  <c r="X67" i="33"/>
  <c r="P65" i="33"/>
  <c r="AA20" i="33"/>
  <c r="AI61" i="33"/>
  <c r="AB61" i="33"/>
  <c r="AF61" i="33"/>
  <c r="AI45" i="33"/>
  <c r="AB45" i="33"/>
  <c r="AF45" i="33"/>
  <c r="AB55" i="33"/>
  <c r="AI55" i="33"/>
  <c r="AF55" i="33"/>
  <c r="AJ55" i="33"/>
  <c r="AB39" i="33"/>
  <c r="AI39" i="33"/>
  <c r="AF39" i="33"/>
  <c r="K42" i="34"/>
  <c r="AA42" i="34"/>
  <c r="K54" i="36"/>
  <c r="AA54" i="36"/>
  <c r="AK35" i="31"/>
  <c r="AK35" i="32"/>
  <c r="AK36" i="32"/>
  <c r="O67" i="33"/>
  <c r="AL65" i="33"/>
  <c r="AG67" i="33"/>
  <c r="AH65" i="33"/>
  <c r="AG66" i="33"/>
  <c r="AB52" i="33"/>
  <c r="AF52" i="33"/>
  <c r="AI52" i="33"/>
  <c r="AJ52" i="33"/>
  <c r="AB36" i="33"/>
  <c r="AF36" i="33"/>
  <c r="AI36" i="33"/>
  <c r="AA54" i="33"/>
  <c r="AA38" i="33"/>
  <c r="AI37" i="34"/>
  <c r="AB37" i="34"/>
  <c r="AA51" i="34"/>
  <c r="AI34" i="31"/>
  <c r="AH40" i="33"/>
  <c r="AH48" i="33"/>
  <c r="AH64" i="33"/>
  <c r="AH55" i="33"/>
  <c r="AH54" i="33"/>
  <c r="AH45" i="33"/>
  <c r="AH53" i="33"/>
  <c r="AH61" i="33"/>
  <c r="AH44" i="33"/>
  <c r="AH52" i="33"/>
  <c r="AH43" i="33"/>
  <c r="AH51" i="33"/>
  <c r="AB51" i="33"/>
  <c r="AF51" i="33"/>
  <c r="AI51" i="33"/>
  <c r="AB35" i="33"/>
  <c r="AF35" i="33"/>
  <c r="AI35" i="33"/>
  <c r="AF46" i="34"/>
  <c r="AB46" i="34"/>
  <c r="O52" i="35"/>
  <c r="AA48" i="35"/>
  <c r="AL41" i="30"/>
  <c r="AE69" i="30"/>
  <c r="AE65" i="30"/>
  <c r="AE61" i="30"/>
  <c r="AE57" i="30"/>
  <c r="AL71" i="30"/>
  <c r="AL63" i="30"/>
  <c r="AL55" i="30"/>
  <c r="AI52" i="30"/>
  <c r="AL74" i="30"/>
  <c r="AF35" i="31"/>
  <c r="AI35" i="31"/>
  <c r="AH34" i="31"/>
  <c r="AH37" i="31"/>
  <c r="AA34" i="32"/>
  <c r="AH36" i="32"/>
  <c r="AK35" i="33"/>
  <c r="AK43" i="33"/>
  <c r="AK51" i="33"/>
  <c r="AK59" i="33"/>
  <c r="AK34" i="33"/>
  <c r="AK42" i="33"/>
  <c r="AK50" i="33"/>
  <c r="AK58" i="33"/>
  <c r="AK41" i="33"/>
  <c r="AK49" i="33"/>
  <c r="AK57" i="33"/>
  <c r="AK40" i="33"/>
  <c r="AK48" i="33"/>
  <c r="AK56" i="33"/>
  <c r="AK64" i="33"/>
  <c r="AK39" i="33"/>
  <c r="AK47" i="33"/>
  <c r="AK55" i="33"/>
  <c r="AK63" i="33"/>
  <c r="AK38" i="33"/>
  <c r="AK46" i="33"/>
  <c r="AK54" i="33"/>
  <c r="AK37" i="33"/>
  <c r="AK45" i="33"/>
  <c r="AK53" i="33"/>
  <c r="AK61" i="33"/>
  <c r="AI64" i="33"/>
  <c r="AB64" i="33"/>
  <c r="AF64" i="33"/>
  <c r="K60" i="33"/>
  <c r="AI48" i="33"/>
  <c r="AB48" i="33"/>
  <c r="AF48" i="33"/>
  <c r="K44" i="33"/>
  <c r="AF50" i="33"/>
  <c r="AB50" i="33"/>
  <c r="AJ34" i="33"/>
  <c r="AF34" i="33"/>
  <c r="AB34" i="33"/>
  <c r="O66" i="33"/>
  <c r="Z16" i="34"/>
  <c r="AA16" i="34"/>
  <c r="AA19" i="34"/>
  <c r="AI45" i="36"/>
  <c r="AF45" i="36"/>
  <c r="AF63" i="36"/>
  <c r="AI63" i="36"/>
  <c r="AJ63" i="36"/>
  <c r="AE44" i="30"/>
  <c r="AL42" i="30"/>
  <c r="K69" i="30"/>
  <c r="K61" i="30"/>
  <c r="K53" i="30"/>
  <c r="AF72" i="30"/>
  <c r="AL72" i="30"/>
  <c r="AL64" i="30"/>
  <c r="AL56" i="30"/>
  <c r="AL75" i="30"/>
  <c r="K36" i="31"/>
  <c r="AH35" i="31"/>
  <c r="T66" i="33"/>
  <c r="T67" i="33"/>
  <c r="AE65" i="33"/>
  <c r="AD66" i="33"/>
  <c r="AD67" i="33"/>
  <c r="AI53" i="33"/>
  <c r="AB53" i="33"/>
  <c r="AJ53" i="33"/>
  <c r="AF53" i="33"/>
  <c r="AI37" i="33"/>
  <c r="AB37" i="33"/>
  <c r="AF37" i="33"/>
  <c r="AB63" i="33"/>
  <c r="AI63" i="33"/>
  <c r="AF63" i="33"/>
  <c r="AB47" i="33"/>
  <c r="AI47" i="33"/>
  <c r="AF47" i="33"/>
  <c r="AJ61" i="33"/>
  <c r="AH41" i="33"/>
  <c r="AK36" i="33"/>
  <c r="V67" i="33"/>
  <c r="AL43" i="30"/>
  <c r="AL35" i="30"/>
  <c r="K64" i="30"/>
  <c r="K56" i="30"/>
  <c r="AE72" i="30"/>
  <c r="AE68" i="30"/>
  <c r="AE64" i="30"/>
  <c r="AE60" i="30"/>
  <c r="AE56" i="30"/>
  <c r="AE52" i="30"/>
  <c r="AL65" i="30"/>
  <c r="AL57" i="30"/>
  <c r="AF34" i="31"/>
  <c r="AE36" i="32"/>
  <c r="AB60" i="33"/>
  <c r="AF60" i="33"/>
  <c r="AB44" i="33"/>
  <c r="AF44" i="33"/>
  <c r="AI44" i="33"/>
  <c r="AJ44" i="33"/>
  <c r="AF62" i="33"/>
  <c r="AI62" i="33"/>
  <c r="AB62" i="33"/>
  <c r="AF46" i="33"/>
  <c r="AI46" i="33"/>
  <c r="AB46" i="33"/>
  <c r="AK60" i="33"/>
  <c r="AK52" i="33"/>
  <c r="AM38" i="34"/>
  <c r="AN38" i="34"/>
  <c r="AE47" i="30"/>
  <c r="AE43" i="30"/>
  <c r="AE39" i="30"/>
  <c r="AE35" i="30"/>
  <c r="AL44" i="30"/>
  <c r="AL36" i="30"/>
  <c r="AJ72" i="30"/>
  <c r="AL66" i="30"/>
  <c r="AL58" i="30"/>
  <c r="AL50" i="30"/>
  <c r="Z66" i="33"/>
  <c r="Z67" i="33"/>
  <c r="R66" i="33"/>
  <c r="R67" i="33"/>
  <c r="AB59" i="33"/>
  <c r="AF59" i="33"/>
  <c r="AI59" i="33"/>
  <c r="AB43" i="33"/>
  <c r="AF43" i="33"/>
  <c r="AI43" i="33"/>
  <c r="AI60" i="33"/>
  <c r="AA20" i="34"/>
  <c r="AJ37" i="34" s="1"/>
  <c r="AM36" i="34"/>
  <c r="AN36" i="34"/>
  <c r="AL45" i="30"/>
  <c r="AL37" i="30"/>
  <c r="AE71" i="30"/>
  <c r="AE67" i="30"/>
  <c r="AE63" i="30"/>
  <c r="AE59" i="30"/>
  <c r="AE55" i="30"/>
  <c r="AE51" i="30"/>
  <c r="AL67" i="30"/>
  <c r="AL59" i="30"/>
  <c r="AL34" i="31"/>
  <c r="Y66" i="33"/>
  <c r="Y67" i="33"/>
  <c r="Q66" i="33"/>
  <c r="Q67" i="33"/>
  <c r="AI56" i="33"/>
  <c r="AJ56" i="33"/>
  <c r="AB56" i="33"/>
  <c r="AF56" i="33"/>
  <c r="K52" i="33"/>
  <c r="AI40" i="33"/>
  <c r="AB40" i="33"/>
  <c r="AF40" i="33"/>
  <c r="K36" i="33"/>
  <c r="AF58" i="33"/>
  <c r="AB58" i="33"/>
  <c r="AF42" i="33"/>
  <c r="AB42" i="33"/>
  <c r="AI50" i="33"/>
  <c r="AL62" i="33"/>
  <c r="AL54" i="33"/>
  <c r="AL46" i="33"/>
  <c r="AL38" i="33"/>
  <c r="AK49" i="34"/>
  <c r="AK39" i="34"/>
  <c r="AK38" i="34"/>
  <c r="AK44" i="34"/>
  <c r="AK46" i="34"/>
  <c r="AK50" i="34"/>
  <c r="AF50" i="35"/>
  <c r="AI50" i="35"/>
  <c r="AB50" i="35"/>
  <c r="AE50" i="35"/>
  <c r="AD52" i="35"/>
  <c r="AK50" i="35"/>
  <c r="AF55" i="35"/>
  <c r="AI55" i="35"/>
  <c r="AJ55" i="35"/>
  <c r="AB55" i="35"/>
  <c r="AI61" i="36"/>
  <c r="AJ61" i="36"/>
  <c r="AF61" i="36"/>
  <c r="AA66" i="36"/>
  <c r="AM43" i="34"/>
  <c r="AN43" i="34"/>
  <c r="AI43" i="34"/>
  <c r="AA44" i="34"/>
  <c r="AK58" i="34"/>
  <c r="AK48" i="35"/>
  <c r="AK40" i="35"/>
  <c r="AK39" i="35"/>
  <c r="AK38" i="35"/>
  <c r="AK45" i="35"/>
  <c r="AK56" i="35"/>
  <c r="AK44" i="35"/>
  <c r="AK35" i="35"/>
  <c r="AK55" i="35"/>
  <c r="AB56" i="35"/>
  <c r="AI56" i="35"/>
  <c r="AF56" i="35"/>
  <c r="AI38" i="36"/>
  <c r="AJ38" i="36"/>
  <c r="AF38" i="36"/>
  <c r="AF46" i="36"/>
  <c r="AI46" i="36"/>
  <c r="AJ46" i="36"/>
  <c r="K58" i="36"/>
  <c r="AA58" i="36"/>
  <c r="K61" i="33"/>
  <c r="K53" i="33"/>
  <c r="K45" i="33"/>
  <c r="K37" i="33"/>
  <c r="AL64" i="33"/>
  <c r="AL56" i="33"/>
  <c r="AL48" i="33"/>
  <c r="AL40" i="33"/>
  <c r="S67" i="33"/>
  <c r="K37" i="34"/>
  <c r="AA39" i="34"/>
  <c r="AA35" i="34"/>
  <c r="AK37" i="34"/>
  <c r="AF43" i="34"/>
  <c r="AM50" i="34"/>
  <c r="AN50" i="34"/>
  <c r="AK57" i="34"/>
  <c r="AA20" i="35"/>
  <c r="AJ41" i="35" s="1"/>
  <c r="AI35" i="35"/>
  <c r="AF35" i="35"/>
  <c r="K35" i="36"/>
  <c r="AA35" i="36"/>
  <c r="AB48" i="36"/>
  <c r="AI48" i="36"/>
  <c r="AJ48" i="36"/>
  <c r="AF48" i="36"/>
  <c r="AI52" i="36"/>
  <c r="AF52" i="36"/>
  <c r="AJ52" i="36"/>
  <c r="AB55" i="36"/>
  <c r="AI55" i="36"/>
  <c r="AJ55" i="36"/>
  <c r="AF55" i="36"/>
  <c r="K64" i="33"/>
  <c r="K56" i="33"/>
  <c r="K48" i="33"/>
  <c r="K40" i="33"/>
  <c r="AA57" i="33"/>
  <c r="AA49" i="33"/>
  <c r="AA41" i="33"/>
  <c r="AE52" i="33"/>
  <c r="AE48" i="33"/>
  <c r="AE44" i="33"/>
  <c r="AE40" i="33"/>
  <c r="AL57" i="33"/>
  <c r="AL49" i="33"/>
  <c r="AL41" i="33"/>
  <c r="Y53" i="34"/>
  <c r="Y60" i="34" s="1"/>
  <c r="Q53" i="34"/>
  <c r="Q60" i="34" s="1"/>
  <c r="AA60" i="34" s="1"/>
  <c r="AM49" i="34"/>
  <c r="AN49" i="34"/>
  <c r="AK51" i="34"/>
  <c r="AM57" i="34"/>
  <c r="AN57" i="34"/>
  <c r="AI38" i="35"/>
  <c r="AJ38" i="35"/>
  <c r="AF38" i="35"/>
  <c r="AB38" i="35"/>
  <c r="AK41" i="35"/>
  <c r="AI45" i="35"/>
  <c r="AJ45" i="35"/>
  <c r="AF45" i="35"/>
  <c r="AA46" i="35"/>
  <c r="AB57" i="35"/>
  <c r="AF57" i="35"/>
  <c r="AI57" i="35"/>
  <c r="AJ57" i="35"/>
  <c r="AA19" i="36"/>
  <c r="AB38" i="36" s="1"/>
  <c r="K39" i="36"/>
  <c r="AA39" i="36"/>
  <c r="AB37" i="36"/>
  <c r="AI37" i="36"/>
  <c r="AF37" i="36"/>
  <c r="AJ37" i="36"/>
  <c r="AF51" i="36"/>
  <c r="AI51" i="36"/>
  <c r="AJ51" i="36"/>
  <c r="AN64" i="36"/>
  <c r="AL50" i="33"/>
  <c r="AL42" i="33"/>
  <c r="AL34" i="33"/>
  <c r="AK42" i="34"/>
  <c r="AL44" i="34"/>
  <c r="AM56" i="34"/>
  <c r="AN56" i="34"/>
  <c r="AB58" i="34"/>
  <c r="AF58" i="34"/>
  <c r="AK34" i="35"/>
  <c r="AN45" i="35"/>
  <c r="AA44" i="36"/>
  <c r="AI56" i="36"/>
  <c r="AJ56" i="36"/>
  <c r="AB56" i="36"/>
  <c r="AF56" i="36"/>
  <c r="AI53" i="36"/>
  <c r="AJ53" i="36"/>
  <c r="AF53" i="36"/>
  <c r="AE55" i="33"/>
  <c r="AE51" i="33"/>
  <c r="AL59" i="33"/>
  <c r="AL51" i="33"/>
  <c r="AL43" i="33"/>
  <c r="AL35" i="33"/>
  <c r="AL58" i="34"/>
  <c r="AL56" i="34"/>
  <c r="AL50" i="34"/>
  <c r="AL49" i="34"/>
  <c r="AL42" i="34"/>
  <c r="AL39" i="34"/>
  <c r="AF38" i="34"/>
  <c r="AI38" i="34"/>
  <c r="AK35" i="34"/>
  <c r="AG46" i="34"/>
  <c r="AI49" i="34"/>
  <c r="AD53" i="34"/>
  <c r="AK56" i="34"/>
  <c r="AA40" i="35"/>
  <c r="AK46" i="35"/>
  <c r="AF36" i="36"/>
  <c r="AI36" i="36"/>
  <c r="AJ36" i="36"/>
  <c r="AB36" i="36"/>
  <c r="AJ43" i="36"/>
  <c r="AL60" i="33"/>
  <c r="AL52" i="33"/>
  <c r="AL44" i="33"/>
  <c r="AL36" i="34"/>
  <c r="AL43" i="34"/>
  <c r="AF49" i="34"/>
  <c r="AI40" i="36"/>
  <c r="AJ40" i="36"/>
  <c r="AF40" i="36"/>
  <c r="AI60" i="36"/>
  <c r="AF60" i="36"/>
  <c r="AJ60" i="36"/>
  <c r="AJ57" i="36"/>
  <c r="AB57" i="36"/>
  <c r="AF57" i="36"/>
  <c r="AL61" i="36"/>
  <c r="AL53" i="36"/>
  <c r="AK52" i="36"/>
  <c r="AL63" i="36"/>
  <c r="AI57" i="34"/>
  <c r="AA34" i="35"/>
  <c r="AA39" i="35"/>
  <c r="AI41" i="35"/>
  <c r="AL45" i="35"/>
  <c r="AL46" i="35"/>
  <c r="AL39" i="36"/>
  <c r="AK38" i="36"/>
  <c r="AH35" i="36"/>
  <c r="AE45" i="36"/>
  <c r="AK48" i="36"/>
  <c r="AJ47" i="36"/>
  <c r="AH45" i="36"/>
  <c r="AE61" i="36"/>
  <c r="AE53" i="36"/>
  <c r="AK61" i="36"/>
  <c r="AH58" i="36"/>
  <c r="AL54" i="36"/>
  <c r="AK53" i="36"/>
  <c r="AL64" i="36"/>
  <c r="AK63" i="36"/>
  <c r="AA44" i="35"/>
  <c r="AG48" i="35"/>
  <c r="AL40" i="36"/>
  <c r="AK39" i="36"/>
  <c r="AH36" i="36"/>
  <c r="AI47" i="36"/>
  <c r="AH46" i="36"/>
  <c r="AH59" i="36"/>
  <c r="AL55" i="36"/>
  <c r="AK54" i="36"/>
  <c r="AH51" i="36"/>
  <c r="AK64" i="36"/>
  <c r="AL38" i="35"/>
  <c r="AE37" i="36"/>
  <c r="AK40" i="36"/>
  <c r="AH37" i="36"/>
  <c r="AE48" i="36"/>
  <c r="AH47" i="36"/>
  <c r="AL43" i="36"/>
  <c r="K61" i="36"/>
  <c r="K57" i="36"/>
  <c r="K53" i="36"/>
  <c r="AE60" i="36"/>
  <c r="AE56" i="36"/>
  <c r="AE52" i="36"/>
  <c r="AH60" i="36"/>
  <c r="AL56" i="36"/>
  <c r="AK55" i="36"/>
  <c r="AH52" i="36"/>
  <c r="AF64" i="36"/>
  <c r="AJ64" i="36"/>
  <c r="AB41" i="35"/>
  <c r="AL39" i="35"/>
  <c r="AA16" i="36"/>
  <c r="AH38" i="36"/>
  <c r="AF43" i="36"/>
  <c r="AH48" i="36"/>
  <c r="AL44" i="36"/>
  <c r="AK43" i="36"/>
  <c r="AH61" i="36"/>
  <c r="AL57" i="36"/>
  <c r="AK56" i="36"/>
  <c r="AH53" i="36"/>
  <c r="AH63" i="36"/>
  <c r="AE40" i="36"/>
  <c r="AE36" i="36"/>
  <c r="AH39" i="36"/>
  <c r="AL35" i="36"/>
  <c r="AE47" i="36"/>
  <c r="AL45" i="36"/>
  <c r="AK44" i="36"/>
  <c r="AE59" i="36"/>
  <c r="AE55" i="36"/>
  <c r="AL58" i="36"/>
  <c r="AK57" i="36"/>
  <c r="AH54" i="36"/>
  <c r="AL46" i="36"/>
  <c r="AL59" i="36"/>
  <c r="AE83" i="68" l="1"/>
  <c r="AG20" i="68"/>
  <c r="AH83" i="68" s="1"/>
  <c r="AF43" i="18"/>
  <c r="AI43" i="18"/>
  <c r="AB65" i="29"/>
  <c r="AF65" i="29"/>
  <c r="AI52" i="70"/>
  <c r="AA54" i="70"/>
  <c r="G54" i="70" s="1"/>
  <c r="AF52" i="70"/>
  <c r="AF38" i="25"/>
  <c r="AI38" i="25"/>
  <c r="AF62" i="70"/>
  <c r="AI62" i="70"/>
  <c r="AI36" i="21"/>
  <c r="AB36" i="21"/>
  <c r="AF36" i="21"/>
  <c r="AI83" i="65"/>
  <c r="AF83" i="65"/>
  <c r="AF56" i="61"/>
  <c r="AI56" i="61"/>
  <c r="AI59" i="4"/>
  <c r="AF59" i="4"/>
  <c r="AI67" i="4"/>
  <c r="AF67" i="4"/>
  <c r="AI62" i="52"/>
  <c r="AF62" i="52"/>
  <c r="AJ56" i="35"/>
  <c r="AJ58" i="33"/>
  <c r="AJ55" i="30"/>
  <c r="AB75" i="30"/>
  <c r="AB61" i="30"/>
  <c r="AJ37" i="29"/>
  <c r="AJ35" i="29"/>
  <c r="AB50" i="28"/>
  <c r="AF47" i="26"/>
  <c r="AB38" i="25"/>
  <c r="AJ62" i="21"/>
  <c r="AJ56" i="22"/>
  <c r="AJ69" i="21"/>
  <c r="AJ59" i="19"/>
  <c r="AJ62" i="15"/>
  <c r="AI45" i="24"/>
  <c r="AB103" i="58"/>
  <c r="AB83" i="58"/>
  <c r="AF68" i="11"/>
  <c r="AB56" i="61"/>
  <c r="AF125" i="64"/>
  <c r="AB43" i="63"/>
  <c r="AM43" i="63" s="1"/>
  <c r="AI124" i="64"/>
  <c r="AF35" i="54"/>
  <c r="AB123" i="57"/>
  <c r="AI46" i="51"/>
  <c r="AB142" i="17"/>
  <c r="AB38" i="17"/>
  <c r="AB35" i="17"/>
  <c r="AB47" i="17"/>
  <c r="AJ111" i="16"/>
  <c r="AJ59" i="4"/>
  <c r="AJ109" i="16"/>
  <c r="AJ70" i="16"/>
  <c r="AJ62" i="16"/>
  <c r="AB88" i="4"/>
  <c r="AJ94" i="16"/>
  <c r="AJ79" i="16"/>
  <c r="AJ43" i="16"/>
  <c r="AJ75" i="4"/>
  <c r="AB58" i="4"/>
  <c r="AB41" i="4"/>
  <c r="AB47" i="7"/>
  <c r="AB83" i="4"/>
  <c r="AJ41" i="16"/>
  <c r="AB76" i="4"/>
  <c r="AB60" i="4"/>
  <c r="AF58" i="29"/>
  <c r="AB58" i="29"/>
  <c r="AI58" i="29"/>
  <c r="AJ34" i="21"/>
  <c r="AN55" i="19"/>
  <c r="AM55" i="19"/>
  <c r="AB95" i="17"/>
  <c r="AB134" i="17"/>
  <c r="AJ44" i="16"/>
  <c r="AB50" i="4"/>
  <c r="AB97" i="4"/>
  <c r="AJ47" i="7"/>
  <c r="AB92" i="4"/>
  <c r="AB64" i="4"/>
  <c r="AB115" i="17"/>
  <c r="AM44" i="52"/>
  <c r="AN44" i="52"/>
  <c r="AJ66" i="53"/>
  <c r="AJ104" i="16"/>
  <c r="AB96" i="4"/>
  <c r="AA53" i="34"/>
  <c r="AJ50" i="33"/>
  <c r="AB69" i="26"/>
  <c r="AN69" i="26" s="1"/>
  <c r="AF85" i="23"/>
  <c r="AA75" i="22"/>
  <c r="AJ54" i="21"/>
  <c r="AJ72" i="15"/>
  <c r="AJ45" i="15"/>
  <c r="AI46" i="24"/>
  <c r="AJ83" i="65"/>
  <c r="AB114" i="58"/>
  <c r="AB65" i="58"/>
  <c r="AI43" i="63"/>
  <c r="AB46" i="51"/>
  <c r="AJ46" i="51"/>
  <c r="AF123" i="56"/>
  <c r="AB37" i="17"/>
  <c r="AB130" i="17"/>
  <c r="AB116" i="17"/>
  <c r="AA70" i="37"/>
  <c r="AJ68" i="16"/>
  <c r="AJ85" i="16"/>
  <c r="AF74" i="16"/>
  <c r="AA56" i="37"/>
  <c r="AJ103" i="16"/>
  <c r="AB78" i="4"/>
  <c r="AB75" i="4"/>
  <c r="AJ79" i="4"/>
  <c r="AB46" i="4"/>
  <c r="AB100" i="4"/>
  <c r="AI47" i="7"/>
  <c r="AB85" i="4"/>
  <c r="AJ49" i="16"/>
  <c r="AB49" i="4"/>
  <c r="AI44" i="18"/>
  <c r="AF44" i="18"/>
  <c r="AI50" i="25"/>
  <c r="AF50" i="25"/>
  <c r="AI75" i="65"/>
  <c r="AB75" i="65"/>
  <c r="AF75" i="65"/>
  <c r="AI52" i="64"/>
  <c r="AF52" i="64"/>
  <c r="AB99" i="17"/>
  <c r="AB117" i="17"/>
  <c r="AB136" i="17"/>
  <c r="AM80" i="61"/>
  <c r="AI68" i="16"/>
  <c r="AF68" i="16"/>
  <c r="AJ105" i="16"/>
  <c r="AJ112" i="16"/>
  <c r="AB74" i="4"/>
  <c r="AJ56" i="16"/>
  <c r="AJ46" i="33"/>
  <c r="AJ47" i="33"/>
  <c r="AF35" i="32"/>
  <c r="AB60" i="30"/>
  <c r="AJ36" i="31"/>
  <c r="AJ59" i="36"/>
  <c r="AJ37" i="33"/>
  <c r="AB63" i="36"/>
  <c r="AJ64" i="33"/>
  <c r="AJ36" i="33"/>
  <c r="AJ35" i="32"/>
  <c r="AB57" i="26"/>
  <c r="AJ85" i="23"/>
  <c r="AB46" i="23"/>
  <c r="AJ63" i="21"/>
  <c r="AJ41" i="15"/>
  <c r="AF56" i="22"/>
  <c r="AJ47" i="21"/>
  <c r="AJ70" i="21"/>
  <c r="AI38" i="24"/>
  <c r="AJ59" i="15"/>
  <c r="AI39" i="24"/>
  <c r="AJ63" i="15"/>
  <c r="AF110" i="68"/>
  <c r="AB51" i="11"/>
  <c r="AB107" i="58"/>
  <c r="AB115" i="58"/>
  <c r="AI66" i="53"/>
  <c r="AJ36" i="53"/>
  <c r="AB135" i="17"/>
  <c r="AB118" i="17"/>
  <c r="AA148" i="17"/>
  <c r="AI123" i="56"/>
  <c r="AB147" i="17"/>
  <c r="AB44" i="17"/>
  <c r="AB126" i="17"/>
  <c r="AB133" i="17"/>
  <c r="AJ116" i="16"/>
  <c r="AI74" i="16"/>
  <c r="AJ38" i="16"/>
  <c r="AJ118" i="16"/>
  <c r="AJ66" i="16"/>
  <c r="AJ61" i="16"/>
  <c r="AB82" i="4"/>
  <c r="AJ50" i="16"/>
  <c r="AJ37" i="16"/>
  <c r="AJ63" i="16"/>
  <c r="AB84" i="4"/>
  <c r="AB42" i="4"/>
  <c r="AJ60" i="16"/>
  <c r="AJ101" i="16"/>
  <c r="AB40" i="4"/>
  <c r="AJ41" i="21"/>
  <c r="AB69" i="15"/>
  <c r="AF69" i="15"/>
  <c r="AI69" i="15"/>
  <c r="AB38" i="11"/>
  <c r="AM38" i="11" s="1"/>
  <c r="AF38" i="11"/>
  <c r="AI38" i="11"/>
  <c r="AI41" i="15"/>
  <c r="AF41" i="15"/>
  <c r="AI88" i="59"/>
  <c r="AF88" i="59"/>
  <c r="AI80" i="63"/>
  <c r="AF80" i="63"/>
  <c r="AA54" i="62"/>
  <c r="G53" i="62" s="1"/>
  <c r="AI52" i="62"/>
  <c r="AF52" i="62"/>
  <c r="AN87" i="52"/>
  <c r="AM87" i="52"/>
  <c r="AB97" i="17"/>
  <c r="AA64" i="39"/>
  <c r="G63" i="39" s="1"/>
  <c r="AI62" i="39"/>
  <c r="AF62" i="39"/>
  <c r="AB64" i="17"/>
  <c r="AF126" i="6"/>
  <c r="AI126" i="6"/>
  <c r="AJ93" i="16"/>
  <c r="AB63" i="4"/>
  <c r="AF63" i="4"/>
  <c r="AI59" i="36"/>
  <c r="AI85" i="23"/>
  <c r="AJ58" i="21"/>
  <c r="AN35" i="69"/>
  <c r="AB111" i="58"/>
  <c r="AB47" i="58"/>
  <c r="AJ56" i="61"/>
  <c r="AB48" i="63"/>
  <c r="AJ65" i="53"/>
  <c r="AJ62" i="53"/>
  <c r="AJ49" i="53"/>
  <c r="AJ44" i="53"/>
  <c r="AB139" i="17"/>
  <c r="AB53" i="17"/>
  <c r="AB48" i="17"/>
  <c r="AB46" i="17"/>
  <c r="AJ86" i="16"/>
  <c r="AB59" i="4"/>
  <c r="AB35" i="4"/>
  <c r="AJ95" i="16"/>
  <c r="AJ89" i="16"/>
  <c r="AJ67" i="4"/>
  <c r="AJ106" i="16"/>
  <c r="AJ81" i="16"/>
  <c r="AB144" i="17"/>
  <c r="AJ98" i="16"/>
  <c r="AB86" i="4"/>
  <c r="AB95" i="4"/>
  <c r="AJ99" i="16"/>
  <c r="L50" i="37"/>
  <c r="M50" i="37" s="1"/>
  <c r="AB79" i="4"/>
  <c r="AB38" i="4"/>
  <c r="AB37" i="4"/>
  <c r="AJ36" i="16"/>
  <c r="AE112" i="70"/>
  <c r="AD113" i="70"/>
  <c r="AI39" i="69"/>
  <c r="AB39" i="69"/>
  <c r="AF39" i="69"/>
  <c r="AM40" i="52"/>
  <c r="AN40" i="52"/>
  <c r="AM52" i="52"/>
  <c r="AN52" i="52"/>
  <c r="AI63" i="16"/>
  <c r="AF63" i="16"/>
  <c r="AB39" i="4"/>
  <c r="AF39" i="4"/>
  <c r="AB47" i="4"/>
  <c r="AF47" i="4"/>
  <c r="AA126" i="55"/>
  <c r="AA127" i="55" s="1"/>
  <c r="AI35" i="32"/>
  <c r="AJ37" i="31"/>
  <c r="AI65" i="29"/>
  <c r="AJ53" i="21"/>
  <c r="AI80" i="23"/>
  <c r="AJ36" i="15"/>
  <c r="AB119" i="58"/>
  <c r="AJ50" i="35"/>
  <c r="AJ42" i="33"/>
  <c r="AJ35" i="33"/>
  <c r="AJ60" i="33"/>
  <c r="AJ39" i="33"/>
  <c r="AB65" i="30"/>
  <c r="AB64" i="30"/>
  <c r="AJ74" i="30"/>
  <c r="AJ41" i="29"/>
  <c r="AB60" i="26"/>
  <c r="AB42" i="26"/>
  <c r="AB39" i="26"/>
  <c r="AM39" i="26" s="1"/>
  <c r="AJ73" i="21"/>
  <c r="AJ40" i="21"/>
  <c r="AJ48" i="21"/>
  <c r="AJ71" i="21"/>
  <c r="AJ80" i="23"/>
  <c r="AJ65" i="21"/>
  <c r="AI44" i="24"/>
  <c r="AB110" i="68"/>
  <c r="AI51" i="11"/>
  <c r="AB45" i="58"/>
  <c r="AB101" i="58"/>
  <c r="AB46" i="58"/>
  <c r="AF48" i="63"/>
  <c r="AJ57" i="53"/>
  <c r="AB124" i="57"/>
  <c r="AJ40" i="53"/>
  <c r="AI93" i="55"/>
  <c r="AB63" i="17"/>
  <c r="AB121" i="17"/>
  <c r="AB62" i="17"/>
  <c r="AB57" i="17"/>
  <c r="AJ113" i="16"/>
  <c r="AB67" i="4"/>
  <c r="AB43" i="4"/>
  <c r="AJ87" i="16"/>
  <c r="AJ92" i="16"/>
  <c r="AJ55" i="16"/>
  <c r="AJ96" i="16"/>
  <c r="AJ97" i="16"/>
  <c r="AB90" i="4"/>
  <c r="AB93" i="4"/>
  <c r="AJ88" i="16"/>
  <c r="AJ51" i="16"/>
  <c r="AB77" i="4"/>
  <c r="AB70" i="4"/>
  <c r="AJ67" i="16"/>
  <c r="AB68" i="4"/>
  <c r="AJ53" i="16"/>
  <c r="AF37" i="30"/>
  <c r="AI37" i="30"/>
  <c r="AI51" i="67"/>
  <c r="AF51" i="67"/>
  <c r="AN47" i="69"/>
  <c r="AM47" i="69"/>
  <c r="AA64" i="58"/>
  <c r="G63" i="58" s="1"/>
  <c r="AI62" i="58"/>
  <c r="AF62" i="58"/>
  <c r="AF48" i="61"/>
  <c r="AI48" i="61"/>
  <c r="AM56" i="52"/>
  <c r="AN56" i="52"/>
  <c r="AI62" i="66"/>
  <c r="AA64" i="66"/>
  <c r="G64" i="66" s="1"/>
  <c r="AF62" i="66"/>
  <c r="AI38" i="54"/>
  <c r="AF38" i="54"/>
  <c r="AM48" i="52"/>
  <c r="AN48" i="52"/>
  <c r="AB55" i="17"/>
  <c r="AB39" i="17"/>
  <c r="AF79" i="51"/>
  <c r="AI79" i="51"/>
  <c r="AB63" i="30"/>
  <c r="AI52" i="24"/>
  <c r="AJ41" i="53"/>
  <c r="AJ40" i="33"/>
  <c r="AJ59" i="33"/>
  <c r="AB74" i="30"/>
  <c r="AJ49" i="21"/>
  <c r="AB69" i="58"/>
  <c r="AB66" i="58"/>
  <c r="AB124" i="58"/>
  <c r="AJ51" i="33"/>
  <c r="AB72" i="30"/>
  <c r="AM72" i="30" s="1"/>
  <c r="AJ62" i="33"/>
  <c r="AJ63" i="33"/>
  <c r="AJ48" i="33"/>
  <c r="AJ34" i="31"/>
  <c r="AJ45" i="33"/>
  <c r="AB41" i="30"/>
  <c r="AM41" i="30" s="1"/>
  <c r="AJ64" i="30"/>
  <c r="AJ68" i="30"/>
  <c r="AJ52" i="29"/>
  <c r="AB37" i="27"/>
  <c r="AB40" i="26"/>
  <c r="AB63" i="26"/>
  <c r="AB54" i="26"/>
  <c r="AJ38" i="25"/>
  <c r="AJ51" i="21"/>
  <c r="AI59" i="19"/>
  <c r="AJ70" i="15"/>
  <c r="AI37" i="24"/>
  <c r="AI34" i="24"/>
  <c r="AI43" i="24"/>
  <c r="AB49" i="58"/>
  <c r="AB117" i="58"/>
  <c r="AJ51" i="11"/>
  <c r="AB85" i="58"/>
  <c r="AB48" i="58"/>
  <c r="AB121" i="58"/>
  <c r="AJ62" i="52"/>
  <c r="AB96" i="17"/>
  <c r="AB54" i="17"/>
  <c r="AB127" i="17"/>
  <c r="AB66" i="17"/>
  <c r="AB51" i="4"/>
  <c r="AJ119" i="16"/>
  <c r="AJ110" i="16"/>
  <c r="AJ46" i="16"/>
  <c r="AB94" i="4"/>
  <c r="AJ115" i="16"/>
  <c r="AB66" i="4"/>
  <c r="AJ52" i="16"/>
  <c r="AB99" i="4"/>
  <c r="AN73" i="21"/>
  <c r="AM73" i="21"/>
  <c r="AH35" i="24"/>
  <c r="AA35" i="24"/>
  <c r="AI35" i="67"/>
  <c r="AF35" i="67"/>
  <c r="AF40" i="61"/>
  <c r="AI40" i="61"/>
  <c r="AM36" i="52"/>
  <c r="AN36" i="52"/>
  <c r="AJ82" i="16"/>
  <c r="AJ40" i="16"/>
  <c r="AJ39" i="16"/>
  <c r="AL39" i="24"/>
  <c r="AM39" i="24"/>
  <c r="AK80" i="37"/>
  <c r="AI80" i="37"/>
  <c r="AN61" i="26"/>
  <c r="AM61" i="26"/>
  <c r="AM53" i="23"/>
  <c r="AN53" i="23"/>
  <c r="AM50" i="20"/>
  <c r="AN50" i="20"/>
  <c r="AN102" i="65"/>
  <c r="AM102" i="65"/>
  <c r="AM35" i="30"/>
  <c r="AN35" i="30"/>
  <c r="AE58" i="24"/>
  <c r="AA58" i="24"/>
  <c r="AI58" i="24"/>
  <c r="AH58" i="24"/>
  <c r="AM47" i="28"/>
  <c r="AN47" i="28"/>
  <c r="AM40" i="67"/>
  <c r="AN40" i="67"/>
  <c r="AL94" i="4"/>
  <c r="AN94" i="4"/>
  <c r="AB60" i="34"/>
  <c r="AM37" i="33"/>
  <c r="AN37" i="33"/>
  <c r="AM36" i="33"/>
  <c r="AN36" i="33"/>
  <c r="AM63" i="29"/>
  <c r="AN63" i="29"/>
  <c r="AF35" i="36"/>
  <c r="AB35" i="36"/>
  <c r="AI35" i="36"/>
  <c r="AJ35" i="36"/>
  <c r="AJ38" i="34"/>
  <c r="AM41" i="35"/>
  <c r="AN41" i="35"/>
  <c r="AF40" i="35"/>
  <c r="AB40" i="35"/>
  <c r="AI40" i="35"/>
  <c r="AJ40" i="35"/>
  <c r="AM58" i="34"/>
  <c r="AN58" i="34"/>
  <c r="AM57" i="35"/>
  <c r="AN57" i="35"/>
  <c r="AI41" i="33"/>
  <c r="AJ41" i="33"/>
  <c r="AB41" i="33"/>
  <c r="AF41" i="33"/>
  <c r="AJ35" i="34"/>
  <c r="AF35" i="34"/>
  <c r="AB35" i="34"/>
  <c r="AI35" i="34"/>
  <c r="AF58" i="36"/>
  <c r="AI58" i="36"/>
  <c r="AB58" i="36"/>
  <c r="AJ58" i="36"/>
  <c r="AB44" i="34"/>
  <c r="AF44" i="34"/>
  <c r="AI44" i="34"/>
  <c r="AJ44" i="34"/>
  <c r="AM50" i="35"/>
  <c r="AN50" i="35"/>
  <c r="AJ36" i="34"/>
  <c r="AM43" i="33"/>
  <c r="AN43" i="33"/>
  <c r="AK67" i="33"/>
  <c r="AE67" i="33"/>
  <c r="AM50" i="33"/>
  <c r="AN50" i="33"/>
  <c r="AI34" i="32"/>
  <c r="AJ34" i="32"/>
  <c r="AF34" i="32"/>
  <c r="AB34" i="32"/>
  <c r="O59" i="35"/>
  <c r="AA59" i="35" s="1"/>
  <c r="AA52" i="35"/>
  <c r="AM35" i="33"/>
  <c r="AN35" i="33"/>
  <c r="AM36" i="32"/>
  <c r="AN36" i="32"/>
  <c r="AB56" i="30"/>
  <c r="AF38" i="30"/>
  <c r="AB38" i="30"/>
  <c r="AI38" i="30"/>
  <c r="AJ38" i="30"/>
  <c r="AJ74" i="29"/>
  <c r="AB57" i="30"/>
  <c r="AF46" i="30"/>
  <c r="AB46" i="30"/>
  <c r="AI46" i="30"/>
  <c r="AJ46" i="30"/>
  <c r="AI54" i="29"/>
  <c r="AF54" i="29"/>
  <c r="AJ54" i="29"/>
  <c r="AB54" i="29"/>
  <c r="AM45" i="29"/>
  <c r="AN45" i="29"/>
  <c r="AM42" i="28"/>
  <c r="AN42" i="28"/>
  <c r="AJ64" i="29"/>
  <c r="AJ48" i="28"/>
  <c r="AJ40" i="28"/>
  <c r="AM50" i="29"/>
  <c r="AN50" i="29"/>
  <c r="AJ41" i="28"/>
  <c r="AB44" i="28"/>
  <c r="AI50" i="26"/>
  <c r="AB50" i="26"/>
  <c r="AF50" i="26"/>
  <c r="AJ50" i="26"/>
  <c r="AB45" i="26"/>
  <c r="AI45" i="26"/>
  <c r="AJ45" i="26"/>
  <c r="AF45" i="26"/>
  <c r="AI48" i="25"/>
  <c r="AF48" i="25"/>
  <c r="AB48" i="25"/>
  <c r="AJ48" i="25"/>
  <c r="AI43" i="27"/>
  <c r="AF43" i="27"/>
  <c r="AJ43" i="27"/>
  <c r="AB43" i="27"/>
  <c r="AN82" i="23"/>
  <c r="AM82" i="23"/>
  <c r="AM84" i="23"/>
  <c r="AN84" i="23"/>
  <c r="AB38" i="23"/>
  <c r="AI40" i="23"/>
  <c r="AJ40" i="23"/>
  <c r="AF40" i="23"/>
  <c r="AB40" i="23"/>
  <c r="AJ34" i="23"/>
  <c r="AF34" i="23"/>
  <c r="AB34" i="23"/>
  <c r="AI34" i="23"/>
  <c r="AB35" i="21"/>
  <c r="AI35" i="21"/>
  <c r="AF35" i="21"/>
  <c r="AJ35" i="21"/>
  <c r="AM62" i="19"/>
  <c r="AN62" i="19"/>
  <c r="AM41" i="15"/>
  <c r="AN41" i="15"/>
  <c r="AM69" i="22"/>
  <c r="AN69" i="22"/>
  <c r="AM52" i="20"/>
  <c r="AN52" i="20"/>
  <c r="AN62" i="22"/>
  <c r="AM62" i="22"/>
  <c r="AN44" i="19"/>
  <c r="AM44" i="19"/>
  <c r="AM63" i="22"/>
  <c r="AN63" i="22"/>
  <c r="AN57" i="20"/>
  <c r="AM57" i="20"/>
  <c r="AM56" i="22"/>
  <c r="AN56" i="22"/>
  <c r="AI61" i="20"/>
  <c r="AB61" i="20"/>
  <c r="AJ61" i="20"/>
  <c r="AF61" i="20"/>
  <c r="AM43" i="24"/>
  <c r="AL43" i="24"/>
  <c r="AI57" i="15"/>
  <c r="AJ57" i="15"/>
  <c r="AB57" i="15"/>
  <c r="AF57" i="15"/>
  <c r="AM35" i="19"/>
  <c r="AN35" i="19"/>
  <c r="AL48" i="24"/>
  <c r="AM48" i="24"/>
  <c r="AN73" i="15"/>
  <c r="AM73" i="15"/>
  <c r="AA67" i="18"/>
  <c r="AB48" i="18"/>
  <c r="AI48" i="18"/>
  <c r="AF48" i="18"/>
  <c r="AI65" i="15"/>
  <c r="AJ65" i="15"/>
  <c r="AB65" i="15"/>
  <c r="AA75" i="15"/>
  <c r="AF65" i="15"/>
  <c r="AJ53" i="67"/>
  <c r="AB53" i="67"/>
  <c r="AI53" i="67"/>
  <c r="AF53" i="67"/>
  <c r="AM43" i="19"/>
  <c r="AN43" i="19"/>
  <c r="AB61" i="15"/>
  <c r="AF61" i="15"/>
  <c r="AJ61" i="15"/>
  <c r="AI61" i="15"/>
  <c r="AI38" i="67"/>
  <c r="AJ38" i="67"/>
  <c r="AF38" i="67"/>
  <c r="AB38" i="67"/>
  <c r="AJ55" i="15"/>
  <c r="AJ94" i="65"/>
  <c r="AB94" i="65"/>
  <c r="AF94" i="65"/>
  <c r="AI94" i="65"/>
  <c r="AM45" i="69"/>
  <c r="AN45" i="69"/>
  <c r="AN38" i="69"/>
  <c r="AM38" i="69"/>
  <c r="AN54" i="69"/>
  <c r="AM54" i="69"/>
  <c r="AN50" i="65"/>
  <c r="AM50" i="65"/>
  <c r="AM81" i="11"/>
  <c r="AN81" i="11"/>
  <c r="AM81" i="65"/>
  <c r="AN81" i="65"/>
  <c r="AM38" i="65"/>
  <c r="AN38" i="65"/>
  <c r="AI89" i="54"/>
  <c r="AJ89" i="54"/>
  <c r="AF89" i="54"/>
  <c r="AA111" i="54"/>
  <c r="AB89" i="54"/>
  <c r="AI61" i="65"/>
  <c r="AJ61" i="65"/>
  <c r="AF61" i="65"/>
  <c r="AF88" i="58"/>
  <c r="AI88" i="58"/>
  <c r="AM37" i="11"/>
  <c r="AN37" i="11"/>
  <c r="AM67" i="11"/>
  <c r="AN67" i="11"/>
  <c r="AM80" i="63"/>
  <c r="AN80" i="63"/>
  <c r="AM45" i="11"/>
  <c r="AN45" i="11"/>
  <c r="AN101" i="54"/>
  <c r="AM101" i="54"/>
  <c r="AI141" i="64"/>
  <c r="AF141" i="64"/>
  <c r="AM87" i="63"/>
  <c r="AN87" i="63"/>
  <c r="AM50" i="54"/>
  <c r="AN50" i="54"/>
  <c r="AM84" i="63"/>
  <c r="AN84" i="63"/>
  <c r="AI38" i="63"/>
  <c r="AJ38" i="63"/>
  <c r="AF38" i="63"/>
  <c r="AB38" i="63"/>
  <c r="AM56" i="61"/>
  <c r="AN56" i="61"/>
  <c r="AM58" i="54"/>
  <c r="AN58" i="54"/>
  <c r="AM79" i="61"/>
  <c r="AN79" i="61"/>
  <c r="AM57" i="63"/>
  <c r="AN57" i="63"/>
  <c r="AM77" i="63"/>
  <c r="AN77" i="63"/>
  <c r="AM39" i="63"/>
  <c r="AN39" i="63"/>
  <c r="AN45" i="63"/>
  <c r="AM45" i="63"/>
  <c r="AM84" i="61"/>
  <c r="AN84" i="61"/>
  <c r="AI46" i="53"/>
  <c r="AJ46" i="53"/>
  <c r="AF46" i="53"/>
  <c r="AB46" i="53"/>
  <c r="AM83" i="51"/>
  <c r="AN83" i="51"/>
  <c r="AM43" i="61"/>
  <c r="AN43" i="61"/>
  <c r="AJ56" i="53"/>
  <c r="AI72" i="56"/>
  <c r="AF72" i="56"/>
  <c r="AA74" i="56"/>
  <c r="G73" i="56" s="1"/>
  <c r="AF64" i="52"/>
  <c r="AI64" i="52"/>
  <c r="AJ64" i="52"/>
  <c r="AJ88" i="53"/>
  <c r="AM80" i="52"/>
  <c r="AN80" i="52"/>
  <c r="AM83" i="61"/>
  <c r="AN83" i="61"/>
  <c r="AM43" i="52"/>
  <c r="AN43" i="52"/>
  <c r="AJ85" i="51"/>
  <c r="AI85" i="51"/>
  <c r="AB85" i="51"/>
  <c r="AF85" i="51"/>
  <c r="AM51" i="52"/>
  <c r="AN51" i="52"/>
  <c r="AN46" i="51"/>
  <c r="AM46" i="51"/>
  <c r="AM45" i="52"/>
  <c r="AN45" i="52"/>
  <c r="AI125" i="39"/>
  <c r="AB125" i="39"/>
  <c r="AF125" i="39"/>
  <c r="AM102" i="9"/>
  <c r="AN102" i="9"/>
  <c r="AJ77" i="51"/>
  <c r="AF77" i="51"/>
  <c r="AI77" i="51"/>
  <c r="AB77" i="51"/>
  <c r="AM95" i="51"/>
  <c r="AN95" i="51"/>
  <c r="AI93" i="39"/>
  <c r="AF93" i="39"/>
  <c r="AI100" i="9"/>
  <c r="AJ100" i="9"/>
  <c r="AF100" i="9"/>
  <c r="AB100" i="9"/>
  <c r="AI52" i="9"/>
  <c r="AJ52" i="9"/>
  <c r="AF52" i="9"/>
  <c r="AB52" i="9"/>
  <c r="AI171" i="17"/>
  <c r="AF171" i="17"/>
  <c r="AI110" i="17"/>
  <c r="AF110" i="17"/>
  <c r="AF100" i="16"/>
  <c r="AJ100" i="16"/>
  <c r="AB100" i="16"/>
  <c r="AI100" i="16"/>
  <c r="AM57" i="51"/>
  <c r="AN57" i="51"/>
  <c r="AM105" i="9"/>
  <c r="AN105" i="9"/>
  <c r="AM111" i="16"/>
  <c r="AN111" i="16"/>
  <c r="AM83" i="9"/>
  <c r="AN83" i="9"/>
  <c r="P64" i="37"/>
  <c r="P74" i="37" s="1"/>
  <c r="P62" i="37"/>
  <c r="AM53" i="51"/>
  <c r="AN53" i="51"/>
  <c r="AN75" i="16"/>
  <c r="AM75" i="16"/>
  <c r="AM81" i="16"/>
  <c r="AN81" i="16"/>
  <c r="AM43" i="51"/>
  <c r="AN43" i="51"/>
  <c r="AN94" i="16"/>
  <c r="AM94" i="16"/>
  <c r="AI64" i="16"/>
  <c r="AJ64" i="16"/>
  <c r="AF64" i="16"/>
  <c r="AN51" i="7"/>
  <c r="AL51" i="7"/>
  <c r="AI139" i="6"/>
  <c r="AF139" i="6"/>
  <c r="AN47" i="4"/>
  <c r="AL47" i="4"/>
  <c r="AM49" i="51"/>
  <c r="AN49" i="51"/>
  <c r="AM97" i="9"/>
  <c r="AN97" i="9"/>
  <c r="AM87" i="9"/>
  <c r="AN87" i="9"/>
  <c r="AM41" i="9"/>
  <c r="AN41" i="9"/>
  <c r="AF36" i="7"/>
  <c r="AB36" i="7"/>
  <c r="AI36" i="7"/>
  <c r="AJ36" i="7"/>
  <c r="AH94" i="37"/>
  <c r="AE94" i="37"/>
  <c r="AM50" i="16"/>
  <c r="AN50" i="16"/>
  <c r="AM37" i="16"/>
  <c r="AN37" i="16"/>
  <c r="AL36" i="4"/>
  <c r="AN36" i="4"/>
  <c r="AG61" i="37"/>
  <c r="AF64" i="37"/>
  <c r="AF62" i="37"/>
  <c r="AG62" i="37" s="1"/>
  <c r="AL45" i="4"/>
  <c r="AN45" i="4"/>
  <c r="AG51" i="37"/>
  <c r="AF52" i="37"/>
  <c r="AG52" i="37" s="1"/>
  <c r="AA39" i="37"/>
  <c r="AA41" i="37"/>
  <c r="AA42" i="37"/>
  <c r="AN38" i="16"/>
  <c r="AM38" i="16"/>
  <c r="W75" i="37"/>
  <c r="W86" i="37"/>
  <c r="W88" i="37" s="1"/>
  <c r="W82" i="37"/>
  <c r="W84" i="37" s="1"/>
  <c r="W85" i="37" s="1"/>
  <c r="AN38" i="7"/>
  <c r="AL38" i="7"/>
  <c r="AJ87" i="4"/>
  <c r="AJ37" i="4"/>
  <c r="N72" i="37"/>
  <c r="Z72" i="37" s="1"/>
  <c r="Z71" i="37"/>
  <c r="AM41" i="16"/>
  <c r="AN41" i="16"/>
  <c r="AJ76" i="4"/>
  <c r="AJ49" i="4"/>
  <c r="AN35" i="29"/>
  <c r="AM35" i="29"/>
  <c r="AJ39" i="35"/>
  <c r="AF39" i="35"/>
  <c r="AB39" i="35"/>
  <c r="AI39" i="35"/>
  <c r="AM57" i="36"/>
  <c r="AN57" i="36"/>
  <c r="AM56" i="36"/>
  <c r="AN56" i="36"/>
  <c r="AM37" i="36"/>
  <c r="AN37" i="36"/>
  <c r="AI46" i="35"/>
  <c r="AJ46" i="35"/>
  <c r="AB46" i="35"/>
  <c r="AF46" i="35"/>
  <c r="AI49" i="33"/>
  <c r="AJ49" i="33"/>
  <c r="AB49" i="33"/>
  <c r="AF49" i="33"/>
  <c r="AJ58" i="34"/>
  <c r="AF39" i="34"/>
  <c r="AB39" i="34"/>
  <c r="AI39" i="34"/>
  <c r="AJ39" i="34"/>
  <c r="AN38" i="36"/>
  <c r="AM38" i="36"/>
  <c r="AM55" i="35"/>
  <c r="AN55" i="35"/>
  <c r="AM42" i="33"/>
  <c r="AN42" i="33"/>
  <c r="AM40" i="33"/>
  <c r="AN40" i="33"/>
  <c r="AK66" i="33"/>
  <c r="AE66" i="33"/>
  <c r="AN63" i="36"/>
  <c r="AM63" i="36"/>
  <c r="AM46" i="34"/>
  <c r="AF51" i="34"/>
  <c r="AI51" i="34"/>
  <c r="AJ51" i="34"/>
  <c r="AB51" i="34"/>
  <c r="AH67" i="33"/>
  <c r="AL67" i="33"/>
  <c r="AM55" i="33"/>
  <c r="AN55" i="33"/>
  <c r="AM34" i="31"/>
  <c r="AN34" i="31"/>
  <c r="AB52" i="30"/>
  <c r="AB40" i="30"/>
  <c r="AB71" i="30"/>
  <c r="AB55" i="30"/>
  <c r="AB44" i="30"/>
  <c r="AB66" i="30"/>
  <c r="AB50" i="30"/>
  <c r="AB58" i="30"/>
  <c r="AN36" i="31"/>
  <c r="AM36" i="31"/>
  <c r="AI42" i="30"/>
  <c r="AF42" i="30"/>
  <c r="AJ42" i="30"/>
  <c r="AB42" i="30"/>
  <c r="AJ52" i="28"/>
  <c r="AI42" i="29"/>
  <c r="AF42" i="29"/>
  <c r="AJ42" i="29"/>
  <c r="AB42" i="29"/>
  <c r="AJ61" i="29"/>
  <c r="AJ69" i="29"/>
  <c r="AJ58" i="29"/>
  <c r="AJ66" i="29"/>
  <c r="AJ53" i="29"/>
  <c r="AJ50" i="29"/>
  <c r="AJ40" i="29"/>
  <c r="AM75" i="29"/>
  <c r="AN75" i="29"/>
  <c r="AB67" i="28"/>
  <c r="AJ68" i="29"/>
  <c r="AM72" i="26"/>
  <c r="AN72" i="26"/>
  <c r="AN74" i="29"/>
  <c r="AM74" i="29"/>
  <c r="AJ57" i="28"/>
  <c r="AJ36" i="28"/>
  <c r="AJ47" i="28"/>
  <c r="AJ62" i="28"/>
  <c r="AF58" i="26"/>
  <c r="AB58" i="26"/>
  <c r="AI58" i="26"/>
  <c r="AJ58" i="26"/>
  <c r="AM60" i="26"/>
  <c r="AN60" i="26"/>
  <c r="AA54" i="25"/>
  <c r="AI52" i="25"/>
  <c r="AF52" i="25"/>
  <c r="AJ52" i="25"/>
  <c r="AB52" i="25"/>
  <c r="AM35" i="26"/>
  <c r="AN35" i="26"/>
  <c r="AM56" i="26"/>
  <c r="AN56" i="26"/>
  <c r="AM81" i="23"/>
  <c r="AN81" i="23"/>
  <c r="AB36" i="23"/>
  <c r="AM45" i="23"/>
  <c r="AN45" i="23"/>
  <c r="AB98" i="23"/>
  <c r="AI48" i="23"/>
  <c r="AJ48" i="23"/>
  <c r="AF48" i="23"/>
  <c r="AB48" i="23"/>
  <c r="AB39" i="21"/>
  <c r="AF39" i="21"/>
  <c r="AI39" i="21"/>
  <c r="AJ39" i="21"/>
  <c r="AN34" i="21"/>
  <c r="AM34" i="21"/>
  <c r="AM58" i="21"/>
  <c r="AN58" i="21"/>
  <c r="AM48" i="20"/>
  <c r="AN48" i="20"/>
  <c r="AM64" i="21"/>
  <c r="AN64" i="21"/>
  <c r="AM42" i="23"/>
  <c r="AN42" i="23"/>
  <c r="AM38" i="21"/>
  <c r="AN38" i="21"/>
  <c r="AM42" i="19"/>
  <c r="AN42" i="19"/>
  <c r="AI49" i="24"/>
  <c r="AA49" i="24"/>
  <c r="AH49" i="24"/>
  <c r="AE49" i="24"/>
  <c r="AI40" i="24"/>
  <c r="AA40" i="24"/>
  <c r="AH40" i="24"/>
  <c r="AE40" i="24"/>
  <c r="AF84" i="70"/>
  <c r="AI84" i="70"/>
  <c r="AL45" i="24"/>
  <c r="AM45" i="24"/>
  <c r="AA76" i="15"/>
  <c r="AI51" i="15"/>
  <c r="AJ51" i="15"/>
  <c r="AB51" i="15"/>
  <c r="AF51" i="15"/>
  <c r="AM55" i="24"/>
  <c r="AL55" i="24"/>
  <c r="AF42" i="67"/>
  <c r="AI42" i="67"/>
  <c r="AJ42" i="67"/>
  <c r="AB42" i="67"/>
  <c r="AI60" i="24"/>
  <c r="Z62" i="24"/>
  <c r="AA60" i="24"/>
  <c r="AH60" i="24"/>
  <c r="AE60" i="24"/>
  <c r="AN46" i="69"/>
  <c r="AM46" i="69"/>
  <c r="AM52" i="69"/>
  <c r="AN52" i="69"/>
  <c r="AF121" i="66"/>
  <c r="AI121" i="66"/>
  <c r="AB121" i="66"/>
  <c r="AF92" i="66"/>
  <c r="AI92" i="66"/>
  <c r="AM46" i="24"/>
  <c r="AL46" i="24"/>
  <c r="AD123" i="66"/>
  <c r="AE122" i="66"/>
  <c r="AM50" i="69"/>
  <c r="AN50" i="69"/>
  <c r="AN76" i="65"/>
  <c r="AM76" i="65"/>
  <c r="AM39" i="65"/>
  <c r="AN39" i="65"/>
  <c r="AM74" i="11"/>
  <c r="AN74" i="11"/>
  <c r="AM35" i="11"/>
  <c r="AN35" i="11"/>
  <c r="AA126" i="59"/>
  <c r="O127" i="59"/>
  <c r="AN42" i="65"/>
  <c r="AM42" i="65"/>
  <c r="AB93" i="65"/>
  <c r="AB92" i="65"/>
  <c r="AB100" i="65"/>
  <c r="AB83" i="65"/>
  <c r="AB87" i="65"/>
  <c r="AB80" i="11"/>
  <c r="AI80" i="11"/>
  <c r="AJ80" i="11"/>
  <c r="AF80" i="11"/>
  <c r="AM71" i="11"/>
  <c r="AN71" i="11"/>
  <c r="AI88" i="64"/>
  <c r="AF88" i="64"/>
  <c r="AM72" i="11"/>
  <c r="AN72" i="11"/>
  <c r="AM48" i="11"/>
  <c r="AN48" i="11"/>
  <c r="AM68" i="11"/>
  <c r="AN68" i="11"/>
  <c r="AN83" i="54"/>
  <c r="AM83" i="54"/>
  <c r="AM42" i="54"/>
  <c r="AN42" i="54"/>
  <c r="AF58" i="63"/>
  <c r="AB58" i="63"/>
  <c r="AJ58" i="63"/>
  <c r="AI58" i="63"/>
  <c r="O127" i="57"/>
  <c r="AA126" i="57"/>
  <c r="AA84" i="62"/>
  <c r="G82" i="62" s="1"/>
  <c r="AF81" i="62"/>
  <c r="AI81" i="62"/>
  <c r="AM52" i="63"/>
  <c r="AN52" i="63"/>
  <c r="AM47" i="63"/>
  <c r="AN47" i="63"/>
  <c r="AN53" i="63"/>
  <c r="AM53" i="63"/>
  <c r="AI93" i="62"/>
  <c r="AF93" i="62"/>
  <c r="AM38" i="61"/>
  <c r="AN38" i="61"/>
  <c r="AM54" i="61"/>
  <c r="AN54" i="61"/>
  <c r="AJ50" i="53"/>
  <c r="AF50" i="53"/>
  <c r="AB50" i="53"/>
  <c r="AI50" i="53"/>
  <c r="AM50" i="61"/>
  <c r="AN50" i="61"/>
  <c r="AH126" i="56"/>
  <c r="AG127" i="56"/>
  <c r="AM85" i="53"/>
  <c r="AN85" i="53"/>
  <c r="AM87" i="51"/>
  <c r="AN87" i="51"/>
  <c r="AI88" i="56"/>
  <c r="AF88" i="56"/>
  <c r="AI38" i="52"/>
  <c r="AJ38" i="52"/>
  <c r="AF38" i="52"/>
  <c r="AB38" i="52"/>
  <c r="AF141" i="56"/>
  <c r="AI141" i="56"/>
  <c r="AM45" i="61"/>
  <c r="AN45" i="61"/>
  <c r="AI91" i="51"/>
  <c r="AF91" i="51"/>
  <c r="AB91" i="51"/>
  <c r="AJ91" i="51"/>
  <c r="O127" i="39"/>
  <c r="AA126" i="39"/>
  <c r="AJ43" i="53"/>
  <c r="AB126" i="55"/>
  <c r="AF126" i="55"/>
  <c r="AI126" i="55"/>
  <c r="AM55" i="53"/>
  <c r="AN55" i="53"/>
  <c r="AN50" i="51"/>
  <c r="AM50" i="51"/>
  <c r="AM106" i="9"/>
  <c r="AN106" i="9"/>
  <c r="AM47" i="52"/>
  <c r="AN47" i="52"/>
  <c r="AI36" i="51"/>
  <c r="AF36" i="51"/>
  <c r="AB36" i="51"/>
  <c r="AJ36" i="51"/>
  <c r="AJ35" i="53"/>
  <c r="AM41" i="52"/>
  <c r="AN41" i="52"/>
  <c r="AI108" i="9"/>
  <c r="AJ108" i="9"/>
  <c r="AF108" i="9"/>
  <c r="AB108" i="9"/>
  <c r="AI56" i="9"/>
  <c r="AJ56" i="9"/>
  <c r="AF56" i="9"/>
  <c r="AB56" i="9"/>
  <c r="AN100" i="51"/>
  <c r="AM100" i="51"/>
  <c r="AM96" i="9"/>
  <c r="AN96" i="9"/>
  <c r="AM113" i="16"/>
  <c r="AN113" i="16"/>
  <c r="AM86" i="16"/>
  <c r="AN86" i="16"/>
  <c r="AK70" i="37"/>
  <c r="AI70" i="37"/>
  <c r="AM55" i="9"/>
  <c r="AN55" i="9"/>
  <c r="AN101" i="16"/>
  <c r="AM101" i="16"/>
  <c r="AN82" i="16"/>
  <c r="AM82" i="16"/>
  <c r="AL59" i="4"/>
  <c r="AN59" i="4"/>
  <c r="AM86" i="9"/>
  <c r="AN86" i="9"/>
  <c r="AN104" i="16"/>
  <c r="AM104" i="16"/>
  <c r="AI35" i="16"/>
  <c r="AJ35" i="16"/>
  <c r="AF35" i="16"/>
  <c r="AB35" i="16"/>
  <c r="X62" i="37"/>
  <c r="X64" i="37"/>
  <c r="X74" i="37" s="1"/>
  <c r="AM105" i="16"/>
  <c r="AN105" i="16"/>
  <c r="AN96" i="16"/>
  <c r="AM96" i="16"/>
  <c r="AI147" i="6"/>
  <c r="AF147" i="6"/>
  <c r="AM93" i="9"/>
  <c r="AN93" i="9"/>
  <c r="AM82" i="9"/>
  <c r="AN82" i="9"/>
  <c r="AM119" i="9"/>
  <c r="AN119" i="9"/>
  <c r="AM103" i="16"/>
  <c r="AN103" i="16"/>
  <c r="AM79" i="16"/>
  <c r="AN79" i="16"/>
  <c r="AI140" i="6"/>
  <c r="AF140" i="6"/>
  <c r="AM39" i="51"/>
  <c r="AN39" i="51"/>
  <c r="AN109" i="16"/>
  <c r="AM109" i="16"/>
  <c r="AM114" i="16"/>
  <c r="AN114" i="16"/>
  <c r="AJ47" i="16"/>
  <c r="AF47" i="16"/>
  <c r="AI47" i="16"/>
  <c r="AB47" i="16"/>
  <c r="AN112" i="16"/>
  <c r="AM112" i="16"/>
  <c r="AF40" i="7"/>
  <c r="AB40" i="7"/>
  <c r="AI40" i="7"/>
  <c r="AJ40" i="7"/>
  <c r="AA70" i="7"/>
  <c r="AN46" i="16"/>
  <c r="AM46" i="16"/>
  <c r="AL79" i="4"/>
  <c r="AN79" i="4"/>
  <c r="AL68" i="4"/>
  <c r="AN68" i="4"/>
  <c r="AN53" i="16"/>
  <c r="AM53" i="16"/>
  <c r="AI72" i="7"/>
  <c r="AF72" i="7"/>
  <c r="AL37" i="7"/>
  <c r="AN37" i="7"/>
  <c r="AN61" i="29"/>
  <c r="AM61" i="29"/>
  <c r="AM36" i="29"/>
  <c r="AN36" i="29"/>
  <c r="AM41" i="28"/>
  <c r="AN41" i="28"/>
  <c r="AJ49" i="28"/>
  <c r="AF66" i="26"/>
  <c r="AB66" i="26"/>
  <c r="AI66" i="26"/>
  <c r="AJ66" i="26"/>
  <c r="AM38" i="26"/>
  <c r="AN38" i="26"/>
  <c r="AJ51" i="26"/>
  <c r="AI51" i="26"/>
  <c r="AB51" i="26"/>
  <c r="AF51" i="26"/>
  <c r="AM62" i="26"/>
  <c r="AN62" i="26"/>
  <c r="AM42" i="26"/>
  <c r="AN42" i="26"/>
  <c r="AM71" i="21"/>
  <c r="AN71" i="21"/>
  <c r="AM93" i="23"/>
  <c r="AN93" i="23"/>
  <c r="AM37" i="23"/>
  <c r="AN37" i="23"/>
  <c r="AM87" i="23"/>
  <c r="AN87" i="23"/>
  <c r="AB43" i="21"/>
  <c r="AI43" i="21"/>
  <c r="AF43" i="21"/>
  <c r="AJ43" i="21"/>
  <c r="AN51" i="20"/>
  <c r="AM51" i="20"/>
  <c r="AM66" i="21"/>
  <c r="AN66" i="21"/>
  <c r="AF37" i="20"/>
  <c r="AB37" i="20"/>
  <c r="AI37" i="20"/>
  <c r="AJ37" i="20"/>
  <c r="AI44" i="20"/>
  <c r="AA70" i="20"/>
  <c r="AF44" i="20"/>
  <c r="AJ44" i="20"/>
  <c r="AB44" i="20"/>
  <c r="AF60" i="18"/>
  <c r="AI60" i="18"/>
  <c r="AB60" i="18"/>
  <c r="AM80" i="23"/>
  <c r="AN80" i="23"/>
  <c r="AD58" i="24"/>
  <c r="AJ58" i="24"/>
  <c r="AN36" i="19"/>
  <c r="AM36" i="19"/>
  <c r="AM72" i="15"/>
  <c r="AN72" i="15"/>
  <c r="AI36" i="18"/>
  <c r="AB36" i="18"/>
  <c r="AF36" i="18"/>
  <c r="AM57" i="19"/>
  <c r="AN57" i="19"/>
  <c r="AM60" i="15"/>
  <c r="AN60" i="15"/>
  <c r="AF56" i="18"/>
  <c r="AI56" i="18"/>
  <c r="AF46" i="15"/>
  <c r="AI46" i="15"/>
  <c r="AJ46" i="15"/>
  <c r="AN40" i="15"/>
  <c r="AM40" i="15"/>
  <c r="AI46" i="67"/>
  <c r="AF46" i="67"/>
  <c r="AB46" i="67"/>
  <c r="AJ46" i="67"/>
  <c r="AE53" i="24"/>
  <c r="AH53" i="24"/>
  <c r="AA53" i="24"/>
  <c r="AI53" i="24"/>
  <c r="AI77" i="68"/>
  <c r="AA79" i="68"/>
  <c r="G79" i="68" s="1"/>
  <c r="AF77" i="68"/>
  <c r="AM48" i="69"/>
  <c r="AN48" i="69"/>
  <c r="AI86" i="66"/>
  <c r="AF86" i="66"/>
  <c r="AM52" i="24"/>
  <c r="AL52" i="24"/>
  <c r="AM48" i="67"/>
  <c r="AN48" i="67"/>
  <c r="AI37" i="65"/>
  <c r="AF37" i="65"/>
  <c r="AJ37" i="65"/>
  <c r="AB37" i="65"/>
  <c r="AM43" i="65"/>
  <c r="AN43" i="65"/>
  <c r="AM39" i="11"/>
  <c r="AN39" i="11"/>
  <c r="AB121" i="59"/>
  <c r="AI121" i="59"/>
  <c r="AF121" i="59"/>
  <c r="AI141" i="58"/>
  <c r="AF141" i="58"/>
  <c r="AM95" i="65"/>
  <c r="AN95" i="65"/>
  <c r="AI83" i="11"/>
  <c r="AJ83" i="11"/>
  <c r="AF83" i="11"/>
  <c r="AB83" i="11"/>
  <c r="AB97" i="65"/>
  <c r="AB80" i="65"/>
  <c r="AM44" i="11"/>
  <c r="AN44" i="11"/>
  <c r="AN93" i="54"/>
  <c r="AM93" i="54"/>
  <c r="AN88" i="54"/>
  <c r="AM88" i="54"/>
  <c r="AM87" i="11"/>
  <c r="AN87" i="11"/>
  <c r="AM76" i="54"/>
  <c r="AN76" i="54"/>
  <c r="AI81" i="64"/>
  <c r="AA84" i="64"/>
  <c r="G82" i="64" s="1"/>
  <c r="AF81" i="64"/>
  <c r="AI78" i="54"/>
  <c r="AF78" i="54"/>
  <c r="AJ78" i="54"/>
  <c r="AB78" i="54"/>
  <c r="AI36" i="54"/>
  <c r="AJ36" i="54"/>
  <c r="AF36" i="54"/>
  <c r="AB36" i="54"/>
  <c r="AA44" i="64"/>
  <c r="G43" i="64" s="1"/>
  <c r="AI42" i="64"/>
  <c r="AF42" i="64"/>
  <c r="AM87" i="54"/>
  <c r="AN87" i="54"/>
  <c r="AA145" i="64"/>
  <c r="AI37" i="54"/>
  <c r="AJ37" i="54"/>
  <c r="AF37" i="54"/>
  <c r="AB37" i="54"/>
  <c r="AN41" i="11"/>
  <c r="AM41" i="11"/>
  <c r="AM85" i="63"/>
  <c r="AN85" i="63"/>
  <c r="AM38" i="54"/>
  <c r="AN38" i="54"/>
  <c r="AM87" i="61"/>
  <c r="AN87" i="61"/>
  <c r="AM72" i="61"/>
  <c r="AN72" i="61"/>
  <c r="AM51" i="63"/>
  <c r="AN51" i="63"/>
  <c r="AF94" i="62"/>
  <c r="AI94" i="62"/>
  <c r="AF124" i="62"/>
  <c r="AB124" i="62"/>
  <c r="AI124" i="62"/>
  <c r="AH126" i="57"/>
  <c r="AG127" i="57"/>
  <c r="AI66" i="61"/>
  <c r="AJ66" i="61"/>
  <c r="AF66" i="61"/>
  <c r="AM57" i="53"/>
  <c r="AN57" i="53"/>
  <c r="AM57" i="61"/>
  <c r="AN57" i="61"/>
  <c r="AM84" i="53"/>
  <c r="AN84" i="53"/>
  <c r="AM37" i="61"/>
  <c r="AN37" i="61"/>
  <c r="AJ85" i="53"/>
  <c r="AM36" i="53"/>
  <c r="AN36" i="53"/>
  <c r="AF79" i="53"/>
  <c r="AB79" i="53"/>
  <c r="AI79" i="53"/>
  <c r="AJ79" i="53"/>
  <c r="AM49" i="61"/>
  <c r="AN49" i="61"/>
  <c r="AJ68" i="53"/>
  <c r="AN56" i="53"/>
  <c r="AM56" i="53"/>
  <c r="AI42" i="52"/>
  <c r="AJ42" i="52"/>
  <c r="AF42" i="52"/>
  <c r="AB42" i="52"/>
  <c r="AN39" i="61"/>
  <c r="AM39" i="61"/>
  <c r="AN55" i="61"/>
  <c r="AM55" i="61"/>
  <c r="AM44" i="53"/>
  <c r="AN44" i="53"/>
  <c r="AI66" i="52"/>
  <c r="AJ66" i="52"/>
  <c r="AF66" i="52"/>
  <c r="AM43" i="53"/>
  <c r="AN43" i="53"/>
  <c r="AN54" i="51"/>
  <c r="AM54" i="51"/>
  <c r="AF62" i="51"/>
  <c r="AI62" i="51"/>
  <c r="AJ62" i="51"/>
  <c r="AM110" i="9"/>
  <c r="AN110" i="9"/>
  <c r="AM80" i="9"/>
  <c r="AN80" i="9"/>
  <c r="AM38" i="9"/>
  <c r="AN38" i="9"/>
  <c r="AI141" i="17"/>
  <c r="AB141" i="17"/>
  <c r="AF141" i="17"/>
  <c r="AM79" i="52"/>
  <c r="AN79" i="52"/>
  <c r="AM86" i="51"/>
  <c r="AN86" i="51"/>
  <c r="AI40" i="51"/>
  <c r="AF40" i="51"/>
  <c r="AB40" i="51"/>
  <c r="AJ40" i="51"/>
  <c r="AA44" i="39"/>
  <c r="G43" i="39" s="1"/>
  <c r="AI42" i="39"/>
  <c r="AF42" i="39"/>
  <c r="AJ47" i="53"/>
  <c r="AM82" i="51"/>
  <c r="AN82" i="51"/>
  <c r="AM104" i="9"/>
  <c r="AN104" i="9"/>
  <c r="AM78" i="9"/>
  <c r="AN78" i="9"/>
  <c r="AN102" i="16"/>
  <c r="AM102" i="16"/>
  <c r="AF42" i="16"/>
  <c r="AJ42" i="16"/>
  <c r="AB42" i="16"/>
  <c r="AI42" i="16"/>
  <c r="AM111" i="9"/>
  <c r="AN111" i="9"/>
  <c r="AM43" i="9"/>
  <c r="AN43" i="9"/>
  <c r="AN85" i="16"/>
  <c r="AM85" i="16"/>
  <c r="AF61" i="4"/>
  <c r="AB61" i="4"/>
  <c r="AI61" i="4"/>
  <c r="AJ61" i="4"/>
  <c r="AI78" i="37"/>
  <c r="AK78" i="37"/>
  <c r="AN119" i="16"/>
  <c r="AM119" i="16"/>
  <c r="AI76" i="16"/>
  <c r="AJ76" i="16"/>
  <c r="AF76" i="16"/>
  <c r="AB76" i="16"/>
  <c r="AM118" i="9"/>
  <c r="AN118" i="9"/>
  <c r="AM118" i="16"/>
  <c r="AN118" i="16"/>
  <c r="AM97" i="16"/>
  <c r="AN97" i="16"/>
  <c r="AI148" i="6"/>
  <c r="AF148" i="6"/>
  <c r="AM95" i="9"/>
  <c r="AN95" i="9"/>
  <c r="AN53" i="9"/>
  <c r="AM53" i="9"/>
  <c r="AM116" i="9"/>
  <c r="AN116" i="9"/>
  <c r="AM90" i="9"/>
  <c r="AN90" i="9"/>
  <c r="AF44" i="7"/>
  <c r="AB44" i="7"/>
  <c r="AI44" i="7"/>
  <c r="AJ44" i="7"/>
  <c r="AM56" i="16"/>
  <c r="AN56" i="16"/>
  <c r="AL93" i="4"/>
  <c r="AN93" i="4"/>
  <c r="Z61" i="37"/>
  <c r="AM44" i="16"/>
  <c r="AN44" i="16"/>
  <c r="AL44" i="4"/>
  <c r="AN44" i="4"/>
  <c r="AL41" i="7"/>
  <c r="AN41" i="7"/>
  <c r="Z51" i="37"/>
  <c r="AD60" i="34"/>
  <c r="AE60" i="34" s="1"/>
  <c r="AE53" i="34"/>
  <c r="AK53" i="34"/>
  <c r="AI57" i="33"/>
  <c r="AJ57" i="33"/>
  <c r="AB57" i="33"/>
  <c r="AF57" i="33"/>
  <c r="AN53" i="30"/>
  <c r="AM53" i="30"/>
  <c r="AN61" i="30"/>
  <c r="AM61" i="30"/>
  <c r="AN51" i="28"/>
  <c r="AM51" i="28"/>
  <c r="AF53" i="34"/>
  <c r="AJ53" i="34"/>
  <c r="AB53" i="34"/>
  <c r="AJ63" i="28"/>
  <c r="AJ42" i="28"/>
  <c r="AI35" i="27"/>
  <c r="AF35" i="27"/>
  <c r="AJ35" i="27"/>
  <c r="AB35" i="27"/>
  <c r="AM40" i="29"/>
  <c r="AN40" i="29"/>
  <c r="AM57" i="28"/>
  <c r="AN57" i="28"/>
  <c r="AM50" i="28"/>
  <c r="AN50" i="28"/>
  <c r="AM64" i="28"/>
  <c r="AN64" i="28"/>
  <c r="AB43" i="28"/>
  <c r="AB39" i="28"/>
  <c r="AM40" i="26"/>
  <c r="AN40" i="26"/>
  <c r="AN40" i="27"/>
  <c r="AM40" i="27"/>
  <c r="AM35" i="25"/>
  <c r="AN35" i="25"/>
  <c r="AB34" i="27"/>
  <c r="AB38" i="27"/>
  <c r="AB42" i="27"/>
  <c r="AM59" i="26"/>
  <c r="AN59" i="26"/>
  <c r="AM54" i="26"/>
  <c r="AN54" i="26"/>
  <c r="AM92" i="23"/>
  <c r="AN92" i="23"/>
  <c r="AM89" i="23"/>
  <c r="AN89" i="23"/>
  <c r="AM85" i="23"/>
  <c r="AN85" i="23"/>
  <c r="AN46" i="23"/>
  <c r="AM46" i="23"/>
  <c r="AM67" i="22"/>
  <c r="AN67" i="22"/>
  <c r="AN78" i="23"/>
  <c r="AM78" i="23"/>
  <c r="AN94" i="23"/>
  <c r="AM94" i="23"/>
  <c r="AM79" i="23"/>
  <c r="AN79" i="23"/>
  <c r="AI74" i="23"/>
  <c r="AJ74" i="23"/>
  <c r="AF74" i="23"/>
  <c r="AB34" i="22"/>
  <c r="AF34" i="22"/>
  <c r="AI34" i="22"/>
  <c r="AJ34" i="22"/>
  <c r="AN54" i="20"/>
  <c r="AM54" i="20"/>
  <c r="AN49" i="20"/>
  <c r="AM49" i="20"/>
  <c r="AG58" i="24"/>
  <c r="AK58" i="24"/>
  <c r="AF53" i="20"/>
  <c r="AJ53" i="20"/>
  <c r="AB53" i="20"/>
  <c r="AI53" i="20"/>
  <c r="AN67" i="20"/>
  <c r="AM67" i="20"/>
  <c r="AF56" i="19"/>
  <c r="AI56" i="19"/>
  <c r="AB56" i="19"/>
  <c r="AJ56" i="19"/>
  <c r="AF37" i="19"/>
  <c r="AB37" i="19"/>
  <c r="AI37" i="19"/>
  <c r="AJ37" i="19"/>
  <c r="AM51" i="19"/>
  <c r="AN51" i="19"/>
  <c r="AL47" i="24"/>
  <c r="AM47" i="24"/>
  <c r="AM56" i="15"/>
  <c r="AN56" i="15"/>
  <c r="AN70" i="15"/>
  <c r="AM70" i="15"/>
  <c r="AM59" i="15"/>
  <c r="AN59" i="15"/>
  <c r="AM44" i="24"/>
  <c r="AL44" i="24"/>
  <c r="AN63" i="15"/>
  <c r="AM63" i="15"/>
  <c r="AM64" i="15"/>
  <c r="AN64" i="15"/>
  <c r="AI47" i="15"/>
  <c r="AF47" i="15"/>
  <c r="AJ47" i="15"/>
  <c r="AA44" i="70"/>
  <c r="G44" i="70" s="1"/>
  <c r="AI42" i="70"/>
  <c r="AF42" i="70"/>
  <c r="AF108" i="70"/>
  <c r="AI108" i="70"/>
  <c r="AB108" i="70"/>
  <c r="AF52" i="18"/>
  <c r="AI52" i="18"/>
  <c r="AM36" i="15"/>
  <c r="AN36" i="15"/>
  <c r="AF50" i="67"/>
  <c r="AI50" i="67"/>
  <c r="AJ50" i="67"/>
  <c r="AB50" i="67"/>
  <c r="AM42" i="69"/>
  <c r="AN42" i="69"/>
  <c r="AI141" i="59"/>
  <c r="AF141" i="59"/>
  <c r="AF91" i="65"/>
  <c r="AI91" i="65"/>
  <c r="AJ91" i="65"/>
  <c r="AB91" i="65"/>
  <c r="AM41" i="69"/>
  <c r="AN41" i="69"/>
  <c r="AM52" i="67"/>
  <c r="AN52" i="67"/>
  <c r="AM40" i="69"/>
  <c r="AN40" i="69"/>
  <c r="AM103" i="65"/>
  <c r="AN103" i="65"/>
  <c r="AM88" i="65"/>
  <c r="AN88" i="65"/>
  <c r="AM35" i="65"/>
  <c r="AN35" i="65"/>
  <c r="AM69" i="11"/>
  <c r="AN69" i="11"/>
  <c r="AM63" i="11"/>
  <c r="AN63" i="11"/>
  <c r="AM43" i="11"/>
  <c r="AN43" i="11"/>
  <c r="AM82" i="11"/>
  <c r="AN82" i="11"/>
  <c r="AM86" i="11"/>
  <c r="AN86" i="11"/>
  <c r="AF40" i="54"/>
  <c r="AB40" i="54"/>
  <c r="AI40" i="54"/>
  <c r="AJ40" i="54"/>
  <c r="AF66" i="63"/>
  <c r="AJ66" i="63"/>
  <c r="AI66" i="63"/>
  <c r="AI93" i="64"/>
  <c r="AF93" i="64"/>
  <c r="AI104" i="54"/>
  <c r="AB104" i="54"/>
  <c r="AF104" i="54"/>
  <c r="AJ104" i="54"/>
  <c r="AI41" i="54"/>
  <c r="AJ41" i="54"/>
  <c r="AF41" i="54"/>
  <c r="AB41" i="54"/>
  <c r="AM92" i="54"/>
  <c r="AN92" i="54"/>
  <c r="O127" i="64"/>
  <c r="AA126" i="64"/>
  <c r="AM103" i="54"/>
  <c r="AN103" i="54"/>
  <c r="AM41" i="63"/>
  <c r="AN41" i="63"/>
  <c r="AM36" i="61"/>
  <c r="AN36" i="61"/>
  <c r="AI46" i="63"/>
  <c r="AJ46" i="63"/>
  <c r="AF46" i="63"/>
  <c r="AB46" i="63"/>
  <c r="AH126" i="62"/>
  <c r="AG127" i="62"/>
  <c r="AM55" i="54"/>
  <c r="AN55" i="54"/>
  <c r="AI64" i="63"/>
  <c r="AJ64" i="63"/>
  <c r="AF64" i="63"/>
  <c r="AI125" i="62"/>
  <c r="AB125" i="62"/>
  <c r="AF125" i="62"/>
  <c r="AI88" i="62"/>
  <c r="AF88" i="62"/>
  <c r="AN51" i="54"/>
  <c r="AM51" i="54"/>
  <c r="AM78" i="53"/>
  <c r="AN78" i="53"/>
  <c r="AM37" i="53"/>
  <c r="AN37" i="53"/>
  <c r="AM76" i="53"/>
  <c r="AN76" i="53"/>
  <c r="O127" i="56"/>
  <c r="AA126" i="56"/>
  <c r="AI72" i="52"/>
  <c r="AJ72" i="52"/>
  <c r="AA91" i="52"/>
  <c r="AB72" i="52"/>
  <c r="AF72" i="52"/>
  <c r="AI46" i="52"/>
  <c r="AJ46" i="52"/>
  <c r="AF46" i="52"/>
  <c r="AB46" i="52"/>
  <c r="AM77" i="61"/>
  <c r="AN77" i="61"/>
  <c r="AM49" i="52"/>
  <c r="AN49" i="52"/>
  <c r="AM97" i="51"/>
  <c r="AN97" i="51"/>
  <c r="AM77" i="52"/>
  <c r="AN77" i="52"/>
  <c r="AM57" i="52"/>
  <c r="AN57" i="52"/>
  <c r="AI81" i="51"/>
  <c r="AB81" i="51"/>
  <c r="AF81" i="51"/>
  <c r="AJ81" i="51"/>
  <c r="AM58" i="51"/>
  <c r="AN58" i="51"/>
  <c r="AM114" i="9"/>
  <c r="AN114" i="9"/>
  <c r="AM88" i="9"/>
  <c r="AN88" i="9"/>
  <c r="AM42" i="9"/>
  <c r="AN42" i="9"/>
  <c r="AJ39" i="53"/>
  <c r="AF81" i="39"/>
  <c r="AI81" i="39"/>
  <c r="AA84" i="39"/>
  <c r="G82" i="39" s="1"/>
  <c r="AJ72" i="51"/>
  <c r="AB72" i="51"/>
  <c r="AI72" i="51"/>
  <c r="AF72" i="51"/>
  <c r="AA104" i="51"/>
  <c r="AJ44" i="51"/>
  <c r="AF44" i="51"/>
  <c r="AB44" i="51"/>
  <c r="AI44" i="51"/>
  <c r="AN77" i="9"/>
  <c r="AM77" i="9"/>
  <c r="AI66" i="51"/>
  <c r="AJ66" i="51"/>
  <c r="AF66" i="51"/>
  <c r="AI68" i="9"/>
  <c r="AJ68" i="9"/>
  <c r="AF68" i="9"/>
  <c r="AJ67" i="51"/>
  <c r="AI67" i="51"/>
  <c r="AF67" i="51"/>
  <c r="AM112" i="9"/>
  <c r="AN112" i="9"/>
  <c r="AM35" i="51"/>
  <c r="AN35" i="51"/>
  <c r="AM109" i="9"/>
  <c r="AN109" i="9"/>
  <c r="AL42" i="4"/>
  <c r="AN42" i="4"/>
  <c r="AM88" i="16"/>
  <c r="AN88" i="16"/>
  <c r="AM55" i="16"/>
  <c r="AN55" i="16"/>
  <c r="AI65" i="4"/>
  <c r="AF65" i="4"/>
  <c r="AJ65" i="4"/>
  <c r="AB65" i="4"/>
  <c r="AN77" i="16"/>
  <c r="AM77" i="16"/>
  <c r="AN39" i="7"/>
  <c r="AL39" i="7"/>
  <c r="AN82" i="4"/>
  <c r="AL82" i="4"/>
  <c r="AI80" i="16"/>
  <c r="AF80" i="16"/>
  <c r="AB80" i="16"/>
  <c r="AJ80" i="16"/>
  <c r="AM101" i="9"/>
  <c r="AN101" i="9"/>
  <c r="AM47" i="9"/>
  <c r="AN47" i="9"/>
  <c r="AL75" i="4"/>
  <c r="AN75" i="4"/>
  <c r="AN56" i="4"/>
  <c r="AL56" i="4"/>
  <c r="AN70" i="16"/>
  <c r="AM70" i="16"/>
  <c r="AM43" i="16"/>
  <c r="AN43" i="16"/>
  <c r="AL86" i="4"/>
  <c r="AN86" i="4"/>
  <c r="AJ57" i="4"/>
  <c r="AJ97" i="4"/>
  <c r="AJ80" i="4"/>
  <c r="AJ88" i="4"/>
  <c r="AJ96" i="4"/>
  <c r="AJ62" i="4"/>
  <c r="AJ70" i="4"/>
  <c r="AI36" i="37"/>
  <c r="AH36" i="37"/>
  <c r="AE36" i="37"/>
  <c r="AK36" i="37"/>
  <c r="AL42" i="7"/>
  <c r="AN42" i="7"/>
  <c r="AJ83" i="4"/>
  <c r="AJ64" i="4"/>
  <c r="AI65" i="7"/>
  <c r="AF65" i="7"/>
  <c r="AJ40" i="4"/>
  <c r="AJ49" i="34"/>
  <c r="AJ57" i="34"/>
  <c r="AJ50" i="34"/>
  <c r="AN35" i="32"/>
  <c r="AM35" i="32"/>
  <c r="P66" i="33"/>
  <c r="P67" i="33"/>
  <c r="AA67" i="33" s="1"/>
  <c r="AM74" i="30"/>
  <c r="AN74" i="30"/>
  <c r="AN47" i="29"/>
  <c r="AM47" i="29"/>
  <c r="AM64" i="30"/>
  <c r="AN64" i="30"/>
  <c r="AA66" i="33"/>
  <c r="AI62" i="30"/>
  <c r="AJ62" i="30"/>
  <c r="AB62" i="30"/>
  <c r="AF62" i="30"/>
  <c r="AI70" i="30"/>
  <c r="AJ70" i="30"/>
  <c r="AB70" i="30"/>
  <c r="AF70" i="30"/>
  <c r="AM63" i="30"/>
  <c r="AN63" i="30"/>
  <c r="AJ43" i="30"/>
  <c r="AF43" i="30"/>
  <c r="AB43" i="30"/>
  <c r="AI43" i="30"/>
  <c r="AF67" i="29"/>
  <c r="AI67" i="29"/>
  <c r="AJ67" i="29"/>
  <c r="AB67" i="29"/>
  <c r="AM52" i="29"/>
  <c r="AN52" i="29"/>
  <c r="AM41" i="29"/>
  <c r="AN41" i="29"/>
  <c r="AB59" i="28"/>
  <c r="AM58" i="28"/>
  <c r="AN58" i="28"/>
  <c r="AM66" i="29"/>
  <c r="AN66" i="29"/>
  <c r="AB61" i="28"/>
  <c r="AJ64" i="28"/>
  <c r="AB53" i="28"/>
  <c r="AB62" i="28"/>
  <c r="AI35" i="28"/>
  <c r="AJ35" i="28"/>
  <c r="AB35" i="28"/>
  <c r="AF35" i="28"/>
  <c r="AN63" i="26"/>
  <c r="AM63" i="26"/>
  <c r="AI40" i="25"/>
  <c r="AF40" i="25"/>
  <c r="AB40" i="25"/>
  <c r="AJ40" i="25"/>
  <c r="AM46" i="25"/>
  <c r="AN46" i="25"/>
  <c r="AM57" i="26"/>
  <c r="AN57" i="26"/>
  <c r="AN90" i="23"/>
  <c r="AM90" i="23"/>
  <c r="AJ59" i="23"/>
  <c r="AF59" i="23"/>
  <c r="AI59" i="23"/>
  <c r="AM49" i="23"/>
  <c r="AN49" i="23"/>
  <c r="AM77" i="23"/>
  <c r="AN77" i="23"/>
  <c r="AM44" i="23"/>
  <c r="AN44" i="23"/>
  <c r="AB47" i="26"/>
  <c r="AB38" i="22"/>
  <c r="AI38" i="22"/>
  <c r="AJ38" i="22"/>
  <c r="AF38" i="22"/>
  <c r="AM64" i="20"/>
  <c r="AN64" i="20"/>
  <c r="AI42" i="20"/>
  <c r="AF42" i="20"/>
  <c r="AJ42" i="20"/>
  <c r="AN35" i="20"/>
  <c r="AM35" i="20"/>
  <c r="AM60" i="22"/>
  <c r="AN60" i="22"/>
  <c r="AM55" i="20"/>
  <c r="AN55" i="20"/>
  <c r="AM59" i="19"/>
  <c r="AN59" i="19"/>
  <c r="AM41" i="19"/>
  <c r="AN41" i="19"/>
  <c r="AF39" i="15"/>
  <c r="AI39" i="15"/>
  <c r="AJ39" i="15"/>
  <c r="AB39" i="15"/>
  <c r="AL57" i="24"/>
  <c r="AM57" i="24"/>
  <c r="AI37" i="67"/>
  <c r="AJ37" i="67"/>
  <c r="AB37" i="67"/>
  <c r="AF37" i="67"/>
  <c r="AI54" i="67"/>
  <c r="AF54" i="67"/>
  <c r="AB54" i="67"/>
  <c r="AJ54" i="67"/>
  <c r="AM49" i="69"/>
  <c r="AN49" i="69"/>
  <c r="AA44" i="66"/>
  <c r="G44" i="66" s="1"/>
  <c r="AI42" i="66"/>
  <c r="AF42" i="66"/>
  <c r="AF99" i="65"/>
  <c r="AI99" i="65"/>
  <c r="AJ99" i="65"/>
  <c r="AB99" i="65"/>
  <c r="AB35" i="67"/>
  <c r="AB51" i="67"/>
  <c r="AB55" i="67"/>
  <c r="AB43" i="67"/>
  <c r="AM77" i="11"/>
  <c r="AN77" i="11"/>
  <c r="AI53" i="65"/>
  <c r="AF53" i="65"/>
  <c r="AJ53" i="65"/>
  <c r="AB53" i="65"/>
  <c r="AA122" i="66"/>
  <c r="AM47" i="11"/>
  <c r="AN47" i="11"/>
  <c r="AN84" i="65"/>
  <c r="AM84" i="65"/>
  <c r="AM51" i="65"/>
  <c r="AN51" i="65"/>
  <c r="AA126" i="58"/>
  <c r="O127" i="58"/>
  <c r="AE126" i="58"/>
  <c r="AD127" i="58"/>
  <c r="AI98" i="54"/>
  <c r="AJ98" i="54"/>
  <c r="AB98" i="54"/>
  <c r="AF98" i="54"/>
  <c r="AM74" i="65"/>
  <c r="AN74" i="65"/>
  <c r="AM94" i="54"/>
  <c r="AN94" i="54"/>
  <c r="AM40" i="11"/>
  <c r="AN40" i="11"/>
  <c r="AM76" i="11"/>
  <c r="AN76" i="11"/>
  <c r="AI96" i="54"/>
  <c r="AB96" i="54"/>
  <c r="AF96" i="54"/>
  <c r="AJ96" i="54"/>
  <c r="AI44" i="54"/>
  <c r="AJ44" i="54"/>
  <c r="AF44" i="54"/>
  <c r="AB44" i="54"/>
  <c r="AM75" i="11"/>
  <c r="AN75" i="11"/>
  <c r="AI45" i="54"/>
  <c r="AJ45" i="54"/>
  <c r="AF45" i="54"/>
  <c r="AB45" i="54"/>
  <c r="AJ72" i="54"/>
  <c r="AA112" i="54"/>
  <c r="AI72" i="54"/>
  <c r="AB72" i="54"/>
  <c r="AF72" i="54"/>
  <c r="AM109" i="54"/>
  <c r="AN109" i="54"/>
  <c r="AM85" i="61"/>
  <c r="AN85" i="61"/>
  <c r="AM40" i="61"/>
  <c r="AN40" i="61"/>
  <c r="AM36" i="63"/>
  <c r="AN36" i="63"/>
  <c r="AM83" i="63"/>
  <c r="AN83" i="63"/>
  <c r="AM48" i="63"/>
  <c r="AN48" i="63"/>
  <c r="AF42" i="63"/>
  <c r="AB42" i="63"/>
  <c r="AJ42" i="63"/>
  <c r="AI42" i="63"/>
  <c r="AD127" i="62"/>
  <c r="AE126" i="62"/>
  <c r="AM77" i="53"/>
  <c r="AN77" i="53"/>
  <c r="AN93" i="51"/>
  <c r="AM93" i="51"/>
  <c r="AM35" i="53"/>
  <c r="AN35" i="53"/>
  <c r="AI122" i="56"/>
  <c r="AF122" i="56"/>
  <c r="AB122" i="56"/>
  <c r="AM46" i="61"/>
  <c r="AN46" i="61"/>
  <c r="AJ42" i="53"/>
  <c r="AF42" i="53"/>
  <c r="AB42" i="53"/>
  <c r="AI42" i="53"/>
  <c r="AI50" i="52"/>
  <c r="AJ50" i="52"/>
  <c r="AF50" i="52"/>
  <c r="AB50" i="52"/>
  <c r="AH126" i="39"/>
  <c r="AG127" i="39"/>
  <c r="AM39" i="52"/>
  <c r="AN39" i="52"/>
  <c r="AM46" i="9"/>
  <c r="AN46" i="9"/>
  <c r="AI65" i="51"/>
  <c r="AF65" i="51"/>
  <c r="AJ65" i="51"/>
  <c r="AJ48" i="51"/>
  <c r="AF48" i="51"/>
  <c r="AB48" i="51"/>
  <c r="AI48" i="51"/>
  <c r="AN99" i="9"/>
  <c r="AM99" i="9"/>
  <c r="AM81" i="9"/>
  <c r="AN81" i="9"/>
  <c r="AI36" i="9"/>
  <c r="AJ36" i="9"/>
  <c r="AF36" i="9"/>
  <c r="AB36" i="9"/>
  <c r="AM47" i="53"/>
  <c r="AN47" i="53"/>
  <c r="AM55" i="52"/>
  <c r="AN55" i="52"/>
  <c r="AM95" i="16"/>
  <c r="AN95" i="16"/>
  <c r="AN84" i="51"/>
  <c r="AM84" i="51"/>
  <c r="AL58" i="4"/>
  <c r="AN58" i="4"/>
  <c r="AM37" i="51"/>
  <c r="AN37" i="51"/>
  <c r="AN74" i="16"/>
  <c r="AM74" i="16"/>
  <c r="AF69" i="4"/>
  <c r="AB69" i="4"/>
  <c r="AI69" i="4"/>
  <c r="AJ69" i="4"/>
  <c r="AC62" i="37"/>
  <c r="AD62" i="37" s="1"/>
  <c r="AC64" i="37"/>
  <c r="AD61" i="37"/>
  <c r="AN45" i="9"/>
  <c r="AM45" i="9"/>
  <c r="AF73" i="4"/>
  <c r="AI73" i="4"/>
  <c r="AJ73" i="4"/>
  <c r="AB73" i="4"/>
  <c r="AN39" i="4"/>
  <c r="AL39" i="4"/>
  <c r="AC52" i="37"/>
  <c r="AD52" i="37" s="1"/>
  <c r="AD51" i="37"/>
  <c r="AM76" i="9"/>
  <c r="AN76" i="9"/>
  <c r="AN38" i="4"/>
  <c r="AL38" i="4"/>
  <c r="AI125" i="6"/>
  <c r="AF125" i="6"/>
  <c r="AM54" i="16"/>
  <c r="AN54" i="16"/>
  <c r="N74" i="37"/>
  <c r="AM107" i="16"/>
  <c r="AN107" i="16"/>
  <c r="AJ48" i="4"/>
  <c r="AJ41" i="4"/>
  <c r="AH35" i="37"/>
  <c r="AK35" i="37"/>
  <c r="AI35" i="37"/>
  <c r="AE35" i="37"/>
  <c r="AL47" i="7"/>
  <c r="AN47" i="7"/>
  <c r="AI68" i="7"/>
  <c r="AF68" i="7"/>
  <c r="R86" i="37"/>
  <c r="R88" i="37" s="1"/>
  <c r="R82" i="37"/>
  <c r="R84" i="37" s="1"/>
  <c r="R85" i="37" s="1"/>
  <c r="R75" i="37"/>
  <c r="AM36" i="16"/>
  <c r="AN36" i="16"/>
  <c r="AM75" i="30"/>
  <c r="AN75" i="30"/>
  <c r="AM51" i="33"/>
  <c r="AN51" i="33"/>
  <c r="AM60" i="30"/>
  <c r="AN60" i="30"/>
  <c r="AG52" i="35"/>
  <c r="AL48" i="35"/>
  <c r="AH48" i="35"/>
  <c r="AM60" i="33"/>
  <c r="AN60" i="33"/>
  <c r="AM34" i="33"/>
  <c r="AN34" i="33"/>
  <c r="AM48" i="33"/>
  <c r="AN48" i="33"/>
  <c r="AF38" i="33"/>
  <c r="AI38" i="33"/>
  <c r="AJ38" i="33"/>
  <c r="AB38" i="33"/>
  <c r="AF54" i="36"/>
  <c r="AI54" i="36"/>
  <c r="AJ54" i="36"/>
  <c r="AB54" i="36"/>
  <c r="AM39" i="33"/>
  <c r="AN39" i="33"/>
  <c r="AF51" i="30"/>
  <c r="AI51" i="30"/>
  <c r="AJ51" i="30"/>
  <c r="AB51" i="30"/>
  <c r="AB39" i="30"/>
  <c r="AI51" i="29"/>
  <c r="AJ51" i="29"/>
  <c r="AF51" i="29"/>
  <c r="AB51" i="29"/>
  <c r="AM68" i="29"/>
  <c r="AN68" i="29"/>
  <c r="AJ67" i="28"/>
  <c r="AJ65" i="29"/>
  <c r="AJ59" i="28"/>
  <c r="AJ75" i="29"/>
  <c r="AB63" i="28"/>
  <c r="AN43" i="29"/>
  <c r="AM43" i="29"/>
  <c r="AJ58" i="28"/>
  <c r="AM59" i="29"/>
  <c r="AN59" i="29"/>
  <c r="AJ61" i="28"/>
  <c r="AB54" i="28"/>
  <c r="AF39" i="27"/>
  <c r="AI39" i="27"/>
  <c r="AB39" i="27"/>
  <c r="AJ39" i="27"/>
  <c r="AJ53" i="28"/>
  <c r="AJ66" i="28"/>
  <c r="AB49" i="28"/>
  <c r="AJ44" i="29"/>
  <c r="AB48" i="28"/>
  <c r="AB52" i="26"/>
  <c r="AM36" i="26"/>
  <c r="AN36" i="26"/>
  <c r="AN39" i="25"/>
  <c r="AM39" i="25"/>
  <c r="AB45" i="25"/>
  <c r="AF45" i="25"/>
  <c r="AI45" i="25"/>
  <c r="AJ45" i="25"/>
  <c r="AB41" i="26"/>
  <c r="AI41" i="26"/>
  <c r="AJ41" i="26"/>
  <c r="AF41" i="26"/>
  <c r="AB46" i="26"/>
  <c r="AM38" i="25"/>
  <c r="AN38" i="25"/>
  <c r="AM41" i="25"/>
  <c r="AN41" i="25"/>
  <c r="AM68" i="22"/>
  <c r="AN68" i="22"/>
  <c r="AF70" i="23"/>
  <c r="AJ70" i="23"/>
  <c r="AI70" i="23"/>
  <c r="AB42" i="22"/>
  <c r="AF42" i="22"/>
  <c r="AI42" i="22"/>
  <c r="AJ42" i="22"/>
  <c r="AB38" i="19"/>
  <c r="AI38" i="19"/>
  <c r="AJ38" i="19"/>
  <c r="AF38" i="19"/>
  <c r="AM71" i="22"/>
  <c r="AN71" i="22"/>
  <c r="AM39" i="22"/>
  <c r="AN39" i="22"/>
  <c r="AM62" i="21"/>
  <c r="AN62" i="21"/>
  <c r="AM50" i="23"/>
  <c r="AN50" i="23"/>
  <c r="AM64" i="22"/>
  <c r="AN64" i="22"/>
  <c r="AM56" i="20"/>
  <c r="AN56" i="20"/>
  <c r="AM41" i="22"/>
  <c r="AN41" i="22"/>
  <c r="AN38" i="20"/>
  <c r="AM38" i="20"/>
  <c r="AM39" i="19"/>
  <c r="AN39" i="19"/>
  <c r="AJ50" i="15"/>
  <c r="AJ49" i="15"/>
  <c r="AJ69" i="15"/>
  <c r="AJ73" i="15"/>
  <c r="AJ37" i="15"/>
  <c r="AJ40" i="15"/>
  <c r="AI41" i="67"/>
  <c r="AB41" i="67"/>
  <c r="AJ41" i="67"/>
  <c r="AF41" i="67"/>
  <c r="AM58" i="15"/>
  <c r="AN58" i="15"/>
  <c r="AF110" i="70"/>
  <c r="AI110" i="70"/>
  <c r="AB110" i="70"/>
  <c r="AB45" i="68"/>
  <c r="AB89" i="68"/>
  <c r="AB55" i="68"/>
  <c r="AB46" i="68"/>
  <c r="AB39" i="68"/>
  <c r="AB56" i="68"/>
  <c r="AA115" i="68"/>
  <c r="AB90" i="68"/>
  <c r="AB49" i="68"/>
  <c r="AB59" i="68"/>
  <c r="AB35" i="68"/>
  <c r="AM36" i="69"/>
  <c r="AN36" i="69"/>
  <c r="AM55" i="69"/>
  <c r="AN55" i="69"/>
  <c r="AB56" i="67"/>
  <c r="AI85" i="66"/>
  <c r="AF85" i="66"/>
  <c r="AF71" i="66"/>
  <c r="AI71" i="66"/>
  <c r="AA73" i="66"/>
  <c r="G73" i="66" s="1"/>
  <c r="AA84" i="59"/>
  <c r="G82" i="59" s="1"/>
  <c r="AF81" i="59"/>
  <c r="AI81" i="59"/>
  <c r="AB44" i="65"/>
  <c r="AM82" i="65"/>
  <c r="AN82" i="65"/>
  <c r="AB56" i="65"/>
  <c r="AM51" i="11"/>
  <c r="AN51" i="11"/>
  <c r="AM78" i="65"/>
  <c r="AN78" i="65"/>
  <c r="AB86" i="65"/>
  <c r="AH126" i="58"/>
  <c r="AG127" i="58"/>
  <c r="AF77" i="54"/>
  <c r="AI77" i="54"/>
  <c r="AJ77" i="54"/>
  <c r="AB77" i="54"/>
  <c r="AF94" i="58"/>
  <c r="AI94" i="58"/>
  <c r="AM102" i="54"/>
  <c r="AN102" i="54"/>
  <c r="AI86" i="54"/>
  <c r="AF86" i="54"/>
  <c r="AJ86" i="54"/>
  <c r="AB86" i="54"/>
  <c r="AJ82" i="54"/>
  <c r="AF82" i="54"/>
  <c r="AI82" i="54"/>
  <c r="AB82" i="54"/>
  <c r="AJ97" i="54"/>
  <c r="AB97" i="54"/>
  <c r="AI97" i="54"/>
  <c r="AF97" i="54"/>
  <c r="AF48" i="54"/>
  <c r="AB48" i="54"/>
  <c r="AI48" i="54"/>
  <c r="AJ48" i="54"/>
  <c r="AM108" i="54"/>
  <c r="AN108" i="54"/>
  <c r="AI49" i="54"/>
  <c r="AJ49" i="54"/>
  <c r="AF49" i="54"/>
  <c r="AB49" i="54"/>
  <c r="AJ66" i="54"/>
  <c r="AI66" i="54"/>
  <c r="AF66" i="54"/>
  <c r="AM35" i="63"/>
  <c r="AN35" i="63"/>
  <c r="AM55" i="63"/>
  <c r="AN55" i="63"/>
  <c r="AM44" i="61"/>
  <c r="AN44" i="61"/>
  <c r="AN37" i="63"/>
  <c r="AM37" i="63"/>
  <c r="AI54" i="63"/>
  <c r="AJ54" i="63"/>
  <c r="AF54" i="63"/>
  <c r="AB54" i="63"/>
  <c r="AM72" i="63"/>
  <c r="AN72" i="63"/>
  <c r="AF141" i="62"/>
  <c r="AI141" i="62"/>
  <c r="AF94" i="57"/>
  <c r="AI94" i="57"/>
  <c r="AM56" i="63"/>
  <c r="AN56" i="63"/>
  <c r="AF50" i="63"/>
  <c r="AB50" i="63"/>
  <c r="AJ50" i="63"/>
  <c r="AI50" i="63"/>
  <c r="O127" i="62"/>
  <c r="AA126" i="62"/>
  <c r="AM35" i="61"/>
  <c r="AN35" i="61"/>
  <c r="AM51" i="61"/>
  <c r="AN51" i="61"/>
  <c r="AJ48" i="53"/>
  <c r="AN47" i="61"/>
  <c r="AM47" i="61"/>
  <c r="AJ78" i="53"/>
  <c r="AA145" i="56"/>
  <c r="AM87" i="53"/>
  <c r="AN87" i="53"/>
  <c r="AJ76" i="53"/>
  <c r="AM52" i="53"/>
  <c r="AN52" i="53"/>
  <c r="AI124" i="56"/>
  <c r="AF124" i="56"/>
  <c r="AB124" i="56"/>
  <c r="AM94" i="51"/>
  <c r="AN94" i="51"/>
  <c r="AN83" i="53"/>
  <c r="AM83" i="53"/>
  <c r="AF64" i="53"/>
  <c r="AI64" i="53"/>
  <c r="AJ64" i="53"/>
  <c r="AI54" i="52"/>
  <c r="AJ54" i="52"/>
  <c r="AF54" i="52"/>
  <c r="AB54" i="52"/>
  <c r="AM45" i="53"/>
  <c r="AN45" i="53"/>
  <c r="AJ63" i="53"/>
  <c r="AI38" i="53"/>
  <c r="AJ38" i="53"/>
  <c r="AF38" i="53"/>
  <c r="AB38" i="53"/>
  <c r="AA74" i="55"/>
  <c r="G73" i="55" s="1"/>
  <c r="AI72" i="55"/>
  <c r="AF72" i="55"/>
  <c r="AM78" i="51"/>
  <c r="AN78" i="51"/>
  <c r="AM50" i="9"/>
  <c r="AN50" i="9"/>
  <c r="AM39" i="53"/>
  <c r="AN39" i="53"/>
  <c r="AM53" i="52"/>
  <c r="AN53" i="52"/>
  <c r="AI52" i="51"/>
  <c r="AJ52" i="51"/>
  <c r="AF52" i="51"/>
  <c r="AB52" i="51"/>
  <c r="AN107" i="9"/>
  <c r="AM107" i="9"/>
  <c r="AN85" i="9"/>
  <c r="AM85" i="9"/>
  <c r="AI40" i="9"/>
  <c r="AJ40" i="9"/>
  <c r="AF40" i="9"/>
  <c r="AB40" i="9"/>
  <c r="AF148" i="17"/>
  <c r="AI148" i="17"/>
  <c r="AB148" i="17"/>
  <c r="AA61" i="17"/>
  <c r="G60" i="17" s="1"/>
  <c r="AI59" i="17"/>
  <c r="AF59" i="17"/>
  <c r="AF141" i="39"/>
  <c r="AI141" i="39"/>
  <c r="AI68" i="17"/>
  <c r="AA70" i="17"/>
  <c r="G69" i="17" s="1"/>
  <c r="AF68" i="17"/>
  <c r="AM35" i="9"/>
  <c r="AN35" i="9"/>
  <c r="AM41" i="51"/>
  <c r="AN41" i="51"/>
  <c r="AL67" i="4"/>
  <c r="AN67" i="4"/>
  <c r="AM47" i="51"/>
  <c r="AN47" i="51"/>
  <c r="AM72" i="9"/>
  <c r="AN72" i="9"/>
  <c r="AM116" i="16"/>
  <c r="AN116" i="16"/>
  <c r="AI74" i="7"/>
  <c r="AF74" i="7"/>
  <c r="AI56" i="37"/>
  <c r="AK56" i="37"/>
  <c r="AF81" i="4"/>
  <c r="AI81" i="4"/>
  <c r="AJ81" i="4"/>
  <c r="AB81" i="4"/>
  <c r="AK43" i="37"/>
  <c r="Z44" i="37"/>
  <c r="AA44" i="37" s="1"/>
  <c r="AA55" i="37"/>
  <c r="AA63" i="37"/>
  <c r="AE43" i="37"/>
  <c r="AA87" i="37"/>
  <c r="AA68" i="37"/>
  <c r="AI43" i="37"/>
  <c r="AA58" i="37"/>
  <c r="AA57" i="37"/>
  <c r="AA43" i="37"/>
  <c r="AA69" i="37"/>
  <c r="AA54" i="37"/>
  <c r="AH43" i="37"/>
  <c r="AM39" i="9"/>
  <c r="AN39" i="9"/>
  <c r="AM55" i="51"/>
  <c r="AN55" i="51"/>
  <c r="AI133" i="6"/>
  <c r="AF133" i="6"/>
  <c r="AM45" i="51"/>
  <c r="AN45" i="51"/>
  <c r="AI56" i="7"/>
  <c r="AF56" i="7"/>
  <c r="AB56" i="7"/>
  <c r="AL95" i="4"/>
  <c r="AN95" i="4"/>
  <c r="AI67" i="7"/>
  <c r="AF67" i="7"/>
  <c r="AL45" i="7"/>
  <c r="AN45" i="7"/>
  <c r="AJ85" i="4"/>
  <c r="AM49" i="16"/>
  <c r="AN49" i="16"/>
  <c r="AN48" i="7"/>
  <c r="AL48" i="7"/>
  <c r="AJ99" i="4"/>
  <c r="AJ78" i="4"/>
  <c r="AJ60" i="4"/>
  <c r="AF39" i="36"/>
  <c r="AI39" i="36"/>
  <c r="AJ39" i="36"/>
  <c r="AB39" i="36"/>
  <c r="AM55" i="36"/>
  <c r="AN55" i="36"/>
  <c r="AM44" i="33"/>
  <c r="AN44" i="33"/>
  <c r="AM37" i="34"/>
  <c r="AN37" i="34"/>
  <c r="AM36" i="36"/>
  <c r="AN36" i="36"/>
  <c r="AN62" i="33"/>
  <c r="AM62" i="33"/>
  <c r="AH46" i="34"/>
  <c r="AN46" i="34" s="1"/>
  <c r="AG53" i="34"/>
  <c r="AL46" i="34"/>
  <c r="AJ44" i="36"/>
  <c r="AB44" i="36"/>
  <c r="AF44" i="36"/>
  <c r="AI44" i="36"/>
  <c r="AB43" i="36"/>
  <c r="AB47" i="36"/>
  <c r="AB46" i="36"/>
  <c r="AM58" i="33"/>
  <c r="AN58" i="33"/>
  <c r="AI46" i="34"/>
  <c r="AM45" i="33"/>
  <c r="AN45" i="33"/>
  <c r="AB53" i="36"/>
  <c r="AB51" i="36"/>
  <c r="AN56" i="35"/>
  <c r="AM56" i="35"/>
  <c r="AF44" i="35"/>
  <c r="AI44" i="35"/>
  <c r="AJ44" i="35"/>
  <c r="AB44" i="35"/>
  <c r="AB60" i="36"/>
  <c r="AM38" i="35"/>
  <c r="AN38" i="35"/>
  <c r="AB52" i="36"/>
  <c r="AJ35" i="35"/>
  <c r="AB61" i="36"/>
  <c r="AD59" i="35"/>
  <c r="AE59" i="35" s="1"/>
  <c r="AK52" i="35"/>
  <c r="AE52" i="35"/>
  <c r="AN56" i="33"/>
  <c r="AM56" i="33"/>
  <c r="AM53" i="33"/>
  <c r="AN53" i="33"/>
  <c r="AF54" i="33"/>
  <c r="AI54" i="33"/>
  <c r="AJ54" i="33"/>
  <c r="AB54" i="33"/>
  <c r="AM52" i="33"/>
  <c r="AN52" i="33"/>
  <c r="AF59" i="30"/>
  <c r="AI59" i="30"/>
  <c r="AB59" i="30"/>
  <c r="AJ59" i="30"/>
  <c r="AB37" i="30"/>
  <c r="AM35" i="31"/>
  <c r="AN35" i="31"/>
  <c r="AB47" i="30"/>
  <c r="AM72" i="29"/>
  <c r="AN72" i="29"/>
  <c r="AJ52" i="30"/>
  <c r="AJ66" i="30"/>
  <c r="AJ45" i="30"/>
  <c r="AJ58" i="30"/>
  <c r="AJ37" i="30"/>
  <c r="AJ50" i="30"/>
  <c r="AJ63" i="30"/>
  <c r="AJ69" i="30"/>
  <c r="AJ39" i="30"/>
  <c r="AB68" i="30"/>
  <c r="AF67" i="30"/>
  <c r="AB67" i="30"/>
  <c r="AI67" i="30"/>
  <c r="AJ67" i="30"/>
  <c r="AM56" i="29"/>
  <c r="AN56" i="29"/>
  <c r="AJ39" i="28"/>
  <c r="AJ59" i="29"/>
  <c r="AI70" i="29"/>
  <c r="AB70" i="29"/>
  <c r="AJ70" i="29"/>
  <c r="AF70" i="29"/>
  <c r="AI45" i="27"/>
  <c r="AJ45" i="27"/>
  <c r="AF45" i="27"/>
  <c r="AB45" i="27"/>
  <c r="AJ57" i="29"/>
  <c r="AF38" i="29"/>
  <c r="AB38" i="29"/>
  <c r="AI38" i="29"/>
  <c r="AJ38" i="29"/>
  <c r="AB40" i="28"/>
  <c r="AM41" i="27"/>
  <c r="AN41" i="27"/>
  <c r="AB60" i="28"/>
  <c r="AM53" i="29"/>
  <c r="AN53" i="29"/>
  <c r="AN39" i="29"/>
  <c r="AM39" i="29"/>
  <c r="AM55" i="29"/>
  <c r="AN55" i="29"/>
  <c r="AB66" i="28"/>
  <c r="AJ44" i="28"/>
  <c r="AI64" i="26"/>
  <c r="AJ64" i="26"/>
  <c r="AF64" i="26"/>
  <c r="AB64" i="26"/>
  <c r="AB71" i="26"/>
  <c r="AB43" i="26"/>
  <c r="AB68" i="26"/>
  <c r="AB44" i="26"/>
  <c r="AM50" i="25"/>
  <c r="AN50" i="25"/>
  <c r="AB65" i="26"/>
  <c r="AN37" i="25"/>
  <c r="AM37" i="25"/>
  <c r="AB36" i="27"/>
  <c r="AJ49" i="25"/>
  <c r="AB49" i="25"/>
  <c r="AF49" i="25"/>
  <c r="AI49" i="25"/>
  <c r="O100" i="23"/>
  <c r="AA96" i="23"/>
  <c r="AN41" i="23"/>
  <c r="AM41" i="23"/>
  <c r="AD100" i="23"/>
  <c r="AE96" i="23"/>
  <c r="AK96" i="23"/>
  <c r="AM63" i="21"/>
  <c r="AN63" i="21"/>
  <c r="AM91" i="23"/>
  <c r="AN91" i="23"/>
  <c r="AI52" i="21"/>
  <c r="AJ52" i="21"/>
  <c r="AF52" i="21"/>
  <c r="AM43" i="22"/>
  <c r="AN43" i="22"/>
  <c r="AB34" i="19"/>
  <c r="AI34" i="19"/>
  <c r="AJ34" i="19"/>
  <c r="AF34" i="19"/>
  <c r="AN42" i="21"/>
  <c r="AM42" i="21"/>
  <c r="AH112" i="70"/>
  <c r="AG113" i="70"/>
  <c r="AM88" i="23"/>
  <c r="AN88" i="23"/>
  <c r="AM66" i="20"/>
  <c r="AN66" i="20"/>
  <c r="AM68" i="15"/>
  <c r="AN68" i="15"/>
  <c r="AL36" i="24"/>
  <c r="AM36" i="24"/>
  <c r="AJ45" i="67"/>
  <c r="AB45" i="67"/>
  <c r="AI45" i="67"/>
  <c r="AF45" i="67"/>
  <c r="AJ58" i="15"/>
  <c r="AM34" i="24"/>
  <c r="AL34" i="24"/>
  <c r="AM58" i="19"/>
  <c r="AN58" i="19"/>
  <c r="AI84" i="68"/>
  <c r="AF84" i="68"/>
  <c r="AM51" i="69"/>
  <c r="AN51" i="69"/>
  <c r="AA79" i="66"/>
  <c r="G79" i="66" s="1"/>
  <c r="AF77" i="66"/>
  <c r="AI77" i="66"/>
  <c r="AM37" i="69"/>
  <c r="AN37" i="69"/>
  <c r="AM53" i="69"/>
  <c r="AN53" i="69"/>
  <c r="AI137" i="66"/>
  <c r="AF137" i="66"/>
  <c r="AM85" i="65"/>
  <c r="AN85" i="65"/>
  <c r="AF123" i="59"/>
  <c r="AB123" i="59"/>
  <c r="AI123" i="59"/>
  <c r="AA141" i="66"/>
  <c r="AB98" i="65"/>
  <c r="AB40" i="65"/>
  <c r="AM47" i="65"/>
  <c r="AN47" i="65"/>
  <c r="AB36" i="65"/>
  <c r="AB52" i="65"/>
  <c r="AB55" i="65"/>
  <c r="AB77" i="65"/>
  <c r="AB48" i="65"/>
  <c r="AI81" i="54"/>
  <c r="AJ81" i="54"/>
  <c r="AF81" i="54"/>
  <c r="AB81" i="54"/>
  <c r="AM46" i="11"/>
  <c r="AN46" i="11"/>
  <c r="AM36" i="11"/>
  <c r="AN36" i="11"/>
  <c r="AM106" i="54"/>
  <c r="AN106" i="54"/>
  <c r="AI52" i="54"/>
  <c r="AJ52" i="54"/>
  <c r="AF52" i="54"/>
  <c r="AB52" i="54"/>
  <c r="AM100" i="54"/>
  <c r="AN100" i="54"/>
  <c r="AM84" i="54"/>
  <c r="AN84" i="54"/>
  <c r="AI53" i="54"/>
  <c r="AJ53" i="54"/>
  <c r="AF53" i="54"/>
  <c r="AB53" i="54"/>
  <c r="AI78" i="63"/>
  <c r="AJ78" i="63"/>
  <c r="AF78" i="63"/>
  <c r="AB78" i="63"/>
  <c r="AM48" i="61"/>
  <c r="AN48" i="61"/>
  <c r="AM49" i="63"/>
  <c r="AN49" i="63"/>
  <c r="AM44" i="63"/>
  <c r="AN44" i="63"/>
  <c r="AM54" i="54"/>
  <c r="AN54" i="54"/>
  <c r="AF123" i="62"/>
  <c r="AB123" i="62"/>
  <c r="AI123" i="62"/>
  <c r="AF88" i="57"/>
  <c r="AI88" i="57"/>
  <c r="AM47" i="54"/>
  <c r="AN47" i="54"/>
  <c r="AB122" i="62"/>
  <c r="AI122" i="62"/>
  <c r="AF122" i="62"/>
  <c r="AM41" i="53"/>
  <c r="AN41" i="53"/>
  <c r="AJ45" i="53"/>
  <c r="AJ69" i="53"/>
  <c r="AJ67" i="53"/>
  <c r="AJ37" i="53"/>
  <c r="AJ53" i="53"/>
  <c r="AJ87" i="53"/>
  <c r="AM41" i="61"/>
  <c r="AN41" i="61"/>
  <c r="AN80" i="53"/>
  <c r="AM80" i="53"/>
  <c r="AM53" i="61"/>
  <c r="AN53" i="61"/>
  <c r="AM98" i="51"/>
  <c r="AN98" i="51"/>
  <c r="AJ83" i="53"/>
  <c r="AN40" i="53"/>
  <c r="AM40" i="53"/>
  <c r="AJ58" i="53"/>
  <c r="AF58" i="53"/>
  <c r="AB58" i="53"/>
  <c r="AI58" i="53"/>
  <c r="AI58" i="52"/>
  <c r="AJ58" i="52"/>
  <c r="AF58" i="52"/>
  <c r="AB58" i="52"/>
  <c r="AM42" i="61"/>
  <c r="AN42" i="61"/>
  <c r="AM58" i="61"/>
  <c r="AN58" i="61"/>
  <c r="AM88" i="53"/>
  <c r="AN88" i="53"/>
  <c r="AN83" i="52"/>
  <c r="AM83" i="52"/>
  <c r="AA44" i="56"/>
  <c r="G43" i="56" s="1"/>
  <c r="AI42" i="56"/>
  <c r="AF42" i="56"/>
  <c r="AF88" i="55"/>
  <c r="AI88" i="55"/>
  <c r="AM80" i="51"/>
  <c r="AN80" i="51"/>
  <c r="AN38" i="51"/>
  <c r="AM38" i="51"/>
  <c r="AJ51" i="53"/>
  <c r="AF94" i="39"/>
  <c r="AI94" i="39"/>
  <c r="AM94" i="9"/>
  <c r="AN94" i="9"/>
  <c r="AM54" i="9"/>
  <c r="AN54" i="9"/>
  <c r="AI56" i="51"/>
  <c r="AJ56" i="51"/>
  <c r="AF56" i="51"/>
  <c r="AB56" i="51"/>
  <c r="AN115" i="9"/>
  <c r="AM115" i="9"/>
  <c r="AM89" i="9"/>
  <c r="AN89" i="9"/>
  <c r="AM35" i="52"/>
  <c r="AN35" i="52"/>
  <c r="AI44" i="9"/>
  <c r="AJ44" i="9"/>
  <c r="AF44" i="9"/>
  <c r="AB44" i="9"/>
  <c r="AI52" i="39"/>
  <c r="AF52" i="39"/>
  <c r="AA54" i="39"/>
  <c r="G53" i="39" s="1"/>
  <c r="AI92" i="17"/>
  <c r="AF92" i="17"/>
  <c r="AM103" i="9"/>
  <c r="AN103" i="9"/>
  <c r="AM84" i="9"/>
  <c r="AN84" i="9"/>
  <c r="AM49" i="9"/>
  <c r="AN49" i="9"/>
  <c r="AM89" i="16"/>
  <c r="AN89" i="16"/>
  <c r="AL100" i="4"/>
  <c r="AN100" i="4"/>
  <c r="AL50" i="4"/>
  <c r="AN50" i="4"/>
  <c r="AM92" i="16"/>
  <c r="AN92" i="16"/>
  <c r="AI66" i="7"/>
  <c r="AF66" i="7"/>
  <c r="AN93" i="16"/>
  <c r="AM93" i="16"/>
  <c r="AM39" i="16"/>
  <c r="AN39" i="16"/>
  <c r="AI47" i="37"/>
  <c r="AK47" i="37"/>
  <c r="AN110" i="16"/>
  <c r="AM110" i="16"/>
  <c r="AF89" i="4"/>
  <c r="AI89" i="4"/>
  <c r="AJ89" i="4"/>
  <c r="AB89" i="4"/>
  <c r="AM108" i="16"/>
  <c r="AN108" i="16"/>
  <c r="AN46" i="4"/>
  <c r="AL46" i="4"/>
  <c r="AM98" i="16"/>
  <c r="AN98" i="16"/>
  <c r="AI141" i="6"/>
  <c r="AF141" i="6"/>
  <c r="AI60" i="7"/>
  <c r="AF60" i="7"/>
  <c r="AB60" i="7"/>
  <c r="AL35" i="4"/>
  <c r="AN35" i="4"/>
  <c r="S64" i="37"/>
  <c r="S74" i="37" s="1"/>
  <c r="S62" i="37"/>
  <c r="V75" i="37"/>
  <c r="V86" i="37"/>
  <c r="V88" i="37" s="1"/>
  <c r="V82" i="37"/>
  <c r="V84" i="37" s="1"/>
  <c r="V85" i="37" s="1"/>
  <c r="AM51" i="16"/>
  <c r="AN51" i="16"/>
  <c r="AL77" i="4"/>
  <c r="AN77" i="4"/>
  <c r="T64" i="37"/>
  <c r="T74" i="37" s="1"/>
  <c r="T62" i="37"/>
  <c r="U64" i="37"/>
  <c r="U74" i="37" s="1"/>
  <c r="U62" i="37"/>
  <c r="AL34" i="7"/>
  <c r="AN34" i="7"/>
  <c r="AL50" i="7"/>
  <c r="AN50" i="7"/>
  <c r="AA77" i="37"/>
  <c r="AA49" i="37"/>
  <c r="AF34" i="35"/>
  <c r="AI34" i="35"/>
  <c r="AJ34" i="35"/>
  <c r="AB34" i="35"/>
  <c r="AN48" i="36"/>
  <c r="AM48" i="36"/>
  <c r="AN64" i="33"/>
  <c r="AM64" i="33"/>
  <c r="AM60" i="29"/>
  <c r="AN60" i="29"/>
  <c r="AM37" i="27"/>
  <c r="AN37" i="27"/>
  <c r="AJ56" i="34"/>
  <c r="AM59" i="33"/>
  <c r="AN59" i="33"/>
  <c r="AM47" i="33"/>
  <c r="AN47" i="33"/>
  <c r="AJ46" i="34"/>
  <c r="AA65" i="33"/>
  <c r="AM65" i="30"/>
  <c r="AN65" i="30"/>
  <c r="AN41" i="30"/>
  <c r="AJ60" i="28"/>
  <c r="AB40" i="36"/>
  <c r="AB59" i="36"/>
  <c r="AJ43" i="34"/>
  <c r="AN46" i="33"/>
  <c r="AM46" i="33"/>
  <c r="AM63" i="33"/>
  <c r="AN63" i="33"/>
  <c r="AB45" i="36"/>
  <c r="AB48" i="35"/>
  <c r="AF48" i="35"/>
  <c r="AI48" i="35"/>
  <c r="AJ48" i="35"/>
  <c r="AL66" i="33"/>
  <c r="AH66" i="33"/>
  <c r="AI42" i="34"/>
  <c r="AJ42" i="34"/>
  <c r="AF42" i="34"/>
  <c r="AB42" i="34"/>
  <c r="AM61" i="33"/>
  <c r="AN61" i="33"/>
  <c r="AB69" i="30"/>
  <c r="AM37" i="31"/>
  <c r="AN37" i="31"/>
  <c r="AB45" i="30"/>
  <c r="AI54" i="30"/>
  <c r="AJ54" i="30"/>
  <c r="AF54" i="30"/>
  <c r="AB54" i="30"/>
  <c r="AM36" i="30"/>
  <c r="AN36" i="30"/>
  <c r="AN57" i="29"/>
  <c r="AM57" i="29"/>
  <c r="AM37" i="29"/>
  <c r="AN37" i="29"/>
  <c r="AF46" i="29"/>
  <c r="AB46" i="29"/>
  <c r="AI46" i="29"/>
  <c r="AJ46" i="29"/>
  <c r="AJ51" i="28"/>
  <c r="AI62" i="29"/>
  <c r="AJ62" i="29"/>
  <c r="AF62" i="29"/>
  <c r="AB62" i="29"/>
  <c r="AM64" i="29"/>
  <c r="AN64" i="29"/>
  <c r="AJ43" i="29"/>
  <c r="AB52" i="28"/>
  <c r="AN69" i="29"/>
  <c r="AM69" i="29"/>
  <c r="AM71" i="29"/>
  <c r="AN71" i="29"/>
  <c r="AJ39" i="29"/>
  <c r="AJ54" i="28"/>
  <c r="AJ55" i="29"/>
  <c r="AM36" i="28"/>
  <c r="AN36" i="28"/>
  <c r="AM44" i="29"/>
  <c r="AN44" i="29"/>
  <c r="AB53" i="26"/>
  <c r="AF36" i="25"/>
  <c r="AB36" i="25"/>
  <c r="AI36" i="25"/>
  <c r="AJ36" i="25"/>
  <c r="AB67" i="26"/>
  <c r="AB44" i="27"/>
  <c r="AB55" i="26"/>
  <c r="AM42" i="25"/>
  <c r="AN42" i="25"/>
  <c r="AI66" i="23"/>
  <c r="AJ66" i="23"/>
  <c r="AF66" i="23"/>
  <c r="AF62" i="23"/>
  <c r="AJ62" i="23"/>
  <c r="AI62" i="23"/>
  <c r="AF52" i="23"/>
  <c r="AB52" i="23"/>
  <c r="AI52" i="23"/>
  <c r="AJ52" i="23"/>
  <c r="AG100" i="23"/>
  <c r="AH96" i="23"/>
  <c r="AL96" i="23"/>
  <c r="AN86" i="23"/>
  <c r="AM86" i="23"/>
  <c r="AF50" i="21"/>
  <c r="AJ50" i="21"/>
  <c r="AI50" i="21"/>
  <c r="AM83" i="23"/>
  <c r="AN83" i="23"/>
  <c r="AN37" i="22"/>
  <c r="AM37" i="22"/>
  <c r="AM35" i="22"/>
  <c r="AN35" i="22"/>
  <c r="AM36" i="20"/>
  <c r="AN36" i="20"/>
  <c r="AA112" i="70"/>
  <c r="O113" i="70"/>
  <c r="AL38" i="24"/>
  <c r="AM38" i="24"/>
  <c r="AI35" i="24"/>
  <c r="AI55" i="24"/>
  <c r="AJ68" i="15"/>
  <c r="AJ35" i="15"/>
  <c r="AF35" i="15"/>
  <c r="AI35" i="15"/>
  <c r="AB35" i="15"/>
  <c r="AI48" i="24"/>
  <c r="O113" i="68"/>
  <c r="AA112" i="68"/>
  <c r="AN62" i="15"/>
  <c r="AM62" i="15"/>
  <c r="AH54" i="24"/>
  <c r="AI54" i="24"/>
  <c r="AA54" i="24"/>
  <c r="AE54" i="24"/>
  <c r="AI36" i="24"/>
  <c r="AA79" i="70"/>
  <c r="G79" i="70" s="1"/>
  <c r="AF77" i="70"/>
  <c r="AI77" i="70"/>
  <c r="AI49" i="67"/>
  <c r="AB49" i="67"/>
  <c r="AJ49" i="67"/>
  <c r="AF49" i="67"/>
  <c r="AM37" i="24"/>
  <c r="AL37" i="24"/>
  <c r="AJ38" i="15"/>
  <c r="AN55" i="15"/>
  <c r="AM55" i="15"/>
  <c r="AB82" i="68"/>
  <c r="AB44" i="67"/>
  <c r="AG123" i="66"/>
  <c r="AH122" i="66"/>
  <c r="AI64" i="65"/>
  <c r="AJ64" i="65"/>
  <c r="AF64" i="65"/>
  <c r="AB36" i="67"/>
  <c r="AM44" i="69"/>
  <c r="AN44" i="69"/>
  <c r="AF96" i="65"/>
  <c r="AI96" i="65"/>
  <c r="AJ96" i="65"/>
  <c r="AB96" i="65"/>
  <c r="AL56" i="24"/>
  <c r="AM56" i="24"/>
  <c r="AM56" i="69"/>
  <c r="AN56" i="69"/>
  <c r="AM84" i="11"/>
  <c r="AN84" i="11"/>
  <c r="AB46" i="65"/>
  <c r="AF122" i="59"/>
  <c r="AB122" i="59"/>
  <c r="AI122" i="59"/>
  <c r="AF93" i="58"/>
  <c r="AI93" i="58"/>
  <c r="AF49" i="65"/>
  <c r="AI49" i="65"/>
  <c r="AB49" i="65"/>
  <c r="AJ49" i="65"/>
  <c r="AI45" i="65"/>
  <c r="AF45" i="65"/>
  <c r="AJ45" i="65"/>
  <c r="AB45" i="65"/>
  <c r="AM54" i="65"/>
  <c r="AN54" i="65"/>
  <c r="AF85" i="54"/>
  <c r="AI85" i="54"/>
  <c r="AJ85" i="54"/>
  <c r="AB85" i="54"/>
  <c r="AF41" i="65"/>
  <c r="AI41" i="65"/>
  <c r="AB41" i="65"/>
  <c r="AJ41" i="65"/>
  <c r="AH126" i="59"/>
  <c r="AG127" i="59"/>
  <c r="AA74" i="58"/>
  <c r="G73" i="58" s="1"/>
  <c r="AI72" i="58"/>
  <c r="AF72" i="58"/>
  <c r="AM105" i="54"/>
  <c r="AN105" i="54"/>
  <c r="AM79" i="54"/>
  <c r="AN79" i="54"/>
  <c r="AM95" i="54"/>
  <c r="AN95" i="54"/>
  <c r="AN49" i="11"/>
  <c r="AM49" i="11"/>
  <c r="AN80" i="54"/>
  <c r="AM80" i="54"/>
  <c r="AF56" i="54"/>
  <c r="AB56" i="54"/>
  <c r="AI56" i="54"/>
  <c r="AJ56" i="54"/>
  <c r="AI57" i="54"/>
  <c r="AJ57" i="54"/>
  <c r="AF57" i="54"/>
  <c r="AB57" i="54"/>
  <c r="AI69" i="63"/>
  <c r="AJ69" i="63"/>
  <c r="AF69" i="63"/>
  <c r="AN43" i="54"/>
  <c r="AM43" i="54"/>
  <c r="AA145" i="62"/>
  <c r="AM52" i="61"/>
  <c r="AN52" i="61"/>
  <c r="AM39" i="54"/>
  <c r="AN39" i="54"/>
  <c r="AM40" i="63"/>
  <c r="AN40" i="63"/>
  <c r="AN35" i="54"/>
  <c r="AM35" i="54"/>
  <c r="AJ80" i="53"/>
  <c r="AN48" i="53"/>
  <c r="AM48" i="53"/>
  <c r="AJ84" i="53"/>
  <c r="AI72" i="53"/>
  <c r="AA91" i="53"/>
  <c r="AB72" i="53"/>
  <c r="AF72" i="53"/>
  <c r="AJ72" i="53"/>
  <c r="AM51" i="53"/>
  <c r="AN51" i="53"/>
  <c r="AM53" i="53"/>
  <c r="AN53" i="53"/>
  <c r="AJ52" i="53"/>
  <c r="AI141" i="55"/>
  <c r="AF141" i="55"/>
  <c r="AI52" i="55"/>
  <c r="AF52" i="55"/>
  <c r="AA54" i="55"/>
  <c r="G53" i="55" s="1"/>
  <c r="AM79" i="51"/>
  <c r="AN79" i="51"/>
  <c r="AM78" i="61"/>
  <c r="AN78" i="61"/>
  <c r="AM49" i="53"/>
  <c r="AN49" i="53"/>
  <c r="AF94" i="56"/>
  <c r="AI94" i="56"/>
  <c r="AA84" i="56"/>
  <c r="G82" i="56" s="1"/>
  <c r="AF81" i="56"/>
  <c r="AI81" i="56"/>
  <c r="AJ70" i="53"/>
  <c r="AI54" i="53"/>
  <c r="AJ54" i="53"/>
  <c r="AF54" i="53"/>
  <c r="AB54" i="53"/>
  <c r="AB84" i="52"/>
  <c r="AI84" i="52"/>
  <c r="AF84" i="52"/>
  <c r="AJ84" i="52"/>
  <c r="AM37" i="52"/>
  <c r="AN37" i="52"/>
  <c r="AJ55" i="53"/>
  <c r="AM42" i="51"/>
  <c r="AN42" i="51"/>
  <c r="AI72" i="39"/>
  <c r="AF72" i="39"/>
  <c r="AA74" i="39"/>
  <c r="G73" i="39" s="1"/>
  <c r="AM98" i="9"/>
  <c r="AN98" i="9"/>
  <c r="AM58" i="9"/>
  <c r="AN58" i="9"/>
  <c r="AN96" i="51"/>
  <c r="AM96" i="51"/>
  <c r="AI48" i="9"/>
  <c r="AJ48" i="9"/>
  <c r="AF48" i="9"/>
  <c r="AB48" i="9"/>
  <c r="AM51" i="51"/>
  <c r="AN51" i="51"/>
  <c r="AI84" i="16"/>
  <c r="AJ84" i="16"/>
  <c r="AF84" i="16"/>
  <c r="AB84" i="16"/>
  <c r="AM87" i="16"/>
  <c r="AN87" i="16"/>
  <c r="AN37" i="9"/>
  <c r="AM37" i="9"/>
  <c r="AM106" i="16"/>
  <c r="AN106" i="16"/>
  <c r="AM78" i="16"/>
  <c r="AN78" i="16"/>
  <c r="AL66" i="4"/>
  <c r="AN66" i="4"/>
  <c r="AM113" i="9"/>
  <c r="AN113" i="9"/>
  <c r="AM57" i="9"/>
  <c r="AN57" i="9"/>
  <c r="AF138" i="6"/>
  <c r="AI138" i="6"/>
  <c r="AM88" i="51"/>
  <c r="AN88" i="51"/>
  <c r="AM51" i="9"/>
  <c r="AN51" i="9"/>
  <c r="AI45" i="16"/>
  <c r="AB45" i="16"/>
  <c r="AF45" i="16"/>
  <c r="AJ45" i="16"/>
  <c r="AN74" i="4"/>
  <c r="AL74" i="4"/>
  <c r="AN90" i="4"/>
  <c r="AL90" i="4"/>
  <c r="AM79" i="9"/>
  <c r="AN79" i="9"/>
  <c r="AN63" i="4"/>
  <c r="AL63" i="4"/>
  <c r="AI149" i="6"/>
  <c r="AF149" i="6"/>
  <c r="AN83" i="16"/>
  <c r="AM83" i="16"/>
  <c r="AJ55" i="4"/>
  <c r="AJ84" i="4"/>
  <c r="AJ51" i="4"/>
  <c r="O75" i="37"/>
  <c r="O82" i="37"/>
  <c r="O84" i="37" s="1"/>
  <c r="O85" i="37" s="1"/>
  <c r="O86" i="37"/>
  <c r="O88" i="37" s="1"/>
  <c r="AM52" i="16"/>
  <c r="AN52" i="16"/>
  <c r="AJ92" i="4"/>
  <c r="AJ43" i="4"/>
  <c r="AE95" i="37"/>
  <c r="AH95" i="37"/>
  <c r="AF73" i="7"/>
  <c r="AI73" i="7"/>
  <c r="AJ91" i="4"/>
  <c r="AA59" i="37"/>
  <c r="AE59" i="37"/>
  <c r="Z60" i="37"/>
  <c r="AH59" i="37"/>
  <c r="AN39" i="26" l="1"/>
  <c r="AM36" i="21"/>
  <c r="AN36" i="21"/>
  <c r="AM35" i="24"/>
  <c r="AL35" i="24"/>
  <c r="AM75" i="65"/>
  <c r="AN75" i="65"/>
  <c r="AN43" i="63"/>
  <c r="AN65" i="29"/>
  <c r="AM65" i="29"/>
  <c r="AN72" i="30"/>
  <c r="AM69" i="26"/>
  <c r="AM58" i="29"/>
  <c r="AN58" i="29"/>
  <c r="AN39" i="69"/>
  <c r="AM39" i="69"/>
  <c r="AM69" i="15"/>
  <c r="AN69" i="15"/>
  <c r="AN38" i="11"/>
  <c r="S86" i="37"/>
  <c r="S88" i="37" s="1"/>
  <c r="S82" i="37"/>
  <c r="S84" i="37" s="1"/>
  <c r="S85" i="37" s="1"/>
  <c r="S75" i="37"/>
  <c r="AM81" i="54"/>
  <c r="AN81" i="54"/>
  <c r="AM36" i="65"/>
  <c r="AN36" i="65"/>
  <c r="AM34" i="19"/>
  <c r="AN34" i="19"/>
  <c r="AM65" i="26"/>
  <c r="AN65" i="26"/>
  <c r="AN47" i="30"/>
  <c r="AM47" i="30"/>
  <c r="AM46" i="36"/>
  <c r="AN46" i="36"/>
  <c r="AH53" i="34"/>
  <c r="AG60" i="34"/>
  <c r="AL53" i="34"/>
  <c r="AL60" i="4"/>
  <c r="AN60" i="4"/>
  <c r="AK68" i="37"/>
  <c r="AI68" i="37"/>
  <c r="AN81" i="4"/>
  <c r="AL81" i="4"/>
  <c r="AI126" i="62"/>
  <c r="AF126" i="62"/>
  <c r="AB126" i="62"/>
  <c r="AA127" i="62"/>
  <c r="AM46" i="26"/>
  <c r="AN46" i="26"/>
  <c r="AN45" i="25"/>
  <c r="AM45" i="25"/>
  <c r="AM49" i="28"/>
  <c r="AN49" i="28"/>
  <c r="AM54" i="36"/>
  <c r="AN54" i="36"/>
  <c r="AH52" i="35"/>
  <c r="AL52" i="35"/>
  <c r="AG59" i="35"/>
  <c r="AH59" i="35" s="1"/>
  <c r="N75" i="37"/>
  <c r="N86" i="37"/>
  <c r="N82" i="37"/>
  <c r="Z74" i="37"/>
  <c r="AM45" i="54"/>
  <c r="AN45" i="54"/>
  <c r="AM38" i="22"/>
  <c r="AN38" i="22"/>
  <c r="AM61" i="28"/>
  <c r="AN61" i="28"/>
  <c r="AL88" i="4"/>
  <c r="AN88" i="4"/>
  <c r="AM72" i="52"/>
  <c r="AN72" i="52"/>
  <c r="AM41" i="54"/>
  <c r="AN41" i="54"/>
  <c r="AM38" i="27"/>
  <c r="AN38" i="27"/>
  <c r="AM39" i="28"/>
  <c r="AN39" i="28"/>
  <c r="AN53" i="34"/>
  <c r="AM53" i="34"/>
  <c r="AH61" i="37"/>
  <c r="AG89" i="37" s="1"/>
  <c r="AE61" i="37"/>
  <c r="AA61" i="37"/>
  <c r="Z62" i="37"/>
  <c r="AA62" i="37" s="1"/>
  <c r="AN78" i="54"/>
  <c r="AM78" i="54"/>
  <c r="AL40" i="7"/>
  <c r="AN40" i="7"/>
  <c r="AM58" i="63"/>
  <c r="AN58" i="63"/>
  <c r="AM93" i="65"/>
  <c r="AN93" i="65"/>
  <c r="AM51" i="15"/>
  <c r="AN51" i="15"/>
  <c r="AN52" i="25"/>
  <c r="AM52" i="25"/>
  <c r="AM52" i="30"/>
  <c r="AN52" i="30"/>
  <c r="AL37" i="4"/>
  <c r="AN37" i="4"/>
  <c r="AM100" i="9"/>
  <c r="AN100" i="9"/>
  <c r="AM77" i="51"/>
  <c r="AN77" i="51"/>
  <c r="AM85" i="51"/>
  <c r="AN85" i="51"/>
  <c r="AM43" i="27"/>
  <c r="AN43" i="27"/>
  <c r="AM44" i="28"/>
  <c r="AN44" i="28"/>
  <c r="AM34" i="32"/>
  <c r="AN34" i="32"/>
  <c r="AM44" i="34"/>
  <c r="AN44" i="34"/>
  <c r="AA60" i="37"/>
  <c r="L60" i="37"/>
  <c r="M60" i="37" s="1"/>
  <c r="AL43" i="4"/>
  <c r="AN43" i="4"/>
  <c r="AL84" i="4"/>
  <c r="AN84" i="4"/>
  <c r="AM45" i="16"/>
  <c r="AN45" i="16"/>
  <c r="AM96" i="65"/>
  <c r="AN96" i="65"/>
  <c r="AM36" i="25"/>
  <c r="AN36" i="25"/>
  <c r="AN69" i="30"/>
  <c r="AM69" i="30"/>
  <c r="AM56" i="51"/>
  <c r="AN56" i="51"/>
  <c r="AM38" i="29"/>
  <c r="AN38" i="29"/>
  <c r="AM51" i="36"/>
  <c r="AN51" i="36"/>
  <c r="AM47" i="36"/>
  <c r="AN47" i="36"/>
  <c r="AL78" i="4"/>
  <c r="AN78" i="4"/>
  <c r="AH89" i="37"/>
  <c r="AM97" i="54"/>
  <c r="AN97" i="54"/>
  <c r="AN39" i="30"/>
  <c r="AM39" i="30"/>
  <c r="Z64" i="37"/>
  <c r="AM36" i="9"/>
  <c r="AN36" i="9"/>
  <c r="AM54" i="67"/>
  <c r="AN54" i="67"/>
  <c r="AM47" i="26"/>
  <c r="AN47" i="26"/>
  <c r="AM62" i="30"/>
  <c r="AN62" i="30"/>
  <c r="AL80" i="4"/>
  <c r="AN80" i="4"/>
  <c r="AM44" i="51"/>
  <c r="AN44" i="51"/>
  <c r="AN34" i="27"/>
  <c r="AM34" i="27"/>
  <c r="AM43" i="28"/>
  <c r="AN43" i="28"/>
  <c r="Z52" i="37"/>
  <c r="AH51" i="37"/>
  <c r="AA51" i="37"/>
  <c r="AE51" i="37"/>
  <c r="AM76" i="16"/>
  <c r="AN76" i="16"/>
  <c r="AL61" i="4"/>
  <c r="AN61" i="4"/>
  <c r="AM80" i="65"/>
  <c r="AN80" i="65"/>
  <c r="AM37" i="20"/>
  <c r="AN37" i="20"/>
  <c r="AN66" i="26"/>
  <c r="AM66" i="26"/>
  <c r="AI126" i="39"/>
  <c r="AB126" i="39"/>
  <c r="AF126" i="39"/>
  <c r="AA127" i="39"/>
  <c r="AM42" i="67"/>
  <c r="AN42" i="67"/>
  <c r="AM39" i="21"/>
  <c r="AN39" i="21"/>
  <c r="AM36" i="23"/>
  <c r="AN36" i="23"/>
  <c r="AN58" i="26"/>
  <c r="AM58" i="26"/>
  <c r="AM58" i="30"/>
  <c r="AN58" i="30"/>
  <c r="AL87" i="4"/>
  <c r="AN87" i="4"/>
  <c r="AG64" i="37"/>
  <c r="AF74" i="37"/>
  <c r="AM46" i="30"/>
  <c r="AN46" i="30"/>
  <c r="AM56" i="30"/>
  <c r="AN56" i="30"/>
  <c r="AL91" i="4"/>
  <c r="AN91" i="4"/>
  <c r="AM84" i="16"/>
  <c r="AN84" i="16"/>
  <c r="AL51" i="4"/>
  <c r="AN51" i="4"/>
  <c r="AL92" i="4"/>
  <c r="AN92" i="4"/>
  <c r="AL55" i="4"/>
  <c r="AN55" i="4"/>
  <c r="AM84" i="52"/>
  <c r="AN84" i="52"/>
  <c r="AM56" i="54"/>
  <c r="AN56" i="54"/>
  <c r="AM49" i="65"/>
  <c r="AN49" i="65"/>
  <c r="AM46" i="65"/>
  <c r="AN46" i="65"/>
  <c r="AI112" i="68"/>
  <c r="AF112" i="68"/>
  <c r="AB112" i="68"/>
  <c r="AA113" i="68"/>
  <c r="AM52" i="23"/>
  <c r="AN52" i="23"/>
  <c r="AM46" i="29"/>
  <c r="AN46" i="29"/>
  <c r="AM54" i="30"/>
  <c r="AN54" i="30"/>
  <c r="AN34" i="35"/>
  <c r="AM34" i="35"/>
  <c r="AM58" i="53"/>
  <c r="AN58" i="53"/>
  <c r="AM78" i="63"/>
  <c r="AN78" i="63"/>
  <c r="AN70" i="29"/>
  <c r="AM70" i="29"/>
  <c r="AM67" i="30"/>
  <c r="AN67" i="30"/>
  <c r="AN54" i="33"/>
  <c r="AM54" i="33"/>
  <c r="AM60" i="36"/>
  <c r="AN60" i="36"/>
  <c r="AN53" i="36"/>
  <c r="AM53" i="36"/>
  <c r="AM43" i="36"/>
  <c r="AN43" i="36"/>
  <c r="AL99" i="4"/>
  <c r="AN99" i="4"/>
  <c r="AI54" i="37"/>
  <c r="AK54" i="37"/>
  <c r="AE89" i="37"/>
  <c r="AD89" i="37"/>
  <c r="AM56" i="65"/>
  <c r="AN56" i="65"/>
  <c r="AM38" i="19"/>
  <c r="AN38" i="19"/>
  <c r="AM51" i="30"/>
  <c r="AN51" i="30"/>
  <c r="AM48" i="51"/>
  <c r="AN48" i="51"/>
  <c r="AN39" i="15"/>
  <c r="AM39" i="15"/>
  <c r="AM35" i="28"/>
  <c r="AN35" i="28"/>
  <c r="AM67" i="29"/>
  <c r="AN67" i="29"/>
  <c r="AL40" i="4"/>
  <c r="AN40" i="4"/>
  <c r="AN97" i="4"/>
  <c r="AL97" i="4"/>
  <c r="AN46" i="63"/>
  <c r="AM46" i="63"/>
  <c r="AM37" i="19"/>
  <c r="AN37" i="19"/>
  <c r="AM35" i="27"/>
  <c r="AN35" i="27"/>
  <c r="AI53" i="34"/>
  <c r="AM37" i="54"/>
  <c r="AN37" i="54"/>
  <c r="AM97" i="65"/>
  <c r="AN97" i="65"/>
  <c r="AM37" i="65"/>
  <c r="AN37" i="65"/>
  <c r="AL53" i="24"/>
  <c r="AM53" i="24"/>
  <c r="AN44" i="20"/>
  <c r="AM44" i="20"/>
  <c r="AM43" i="21"/>
  <c r="AN43" i="21"/>
  <c r="AM51" i="26"/>
  <c r="AN51" i="26"/>
  <c r="X75" i="37"/>
  <c r="X86" i="37"/>
  <c r="X88" i="37" s="1"/>
  <c r="X82" i="37"/>
  <c r="X84" i="37" s="1"/>
  <c r="X85" i="37" s="1"/>
  <c r="AM108" i="9"/>
  <c r="AN108" i="9"/>
  <c r="AM36" i="51"/>
  <c r="AN36" i="51"/>
  <c r="AM50" i="53"/>
  <c r="AN50" i="53"/>
  <c r="AL40" i="24"/>
  <c r="AM40" i="24"/>
  <c r="AM48" i="23"/>
  <c r="AN48" i="23"/>
  <c r="AM50" i="30"/>
  <c r="AN50" i="30"/>
  <c r="AL49" i="4"/>
  <c r="AN49" i="4"/>
  <c r="AM53" i="67"/>
  <c r="AN53" i="67"/>
  <c r="AM35" i="21"/>
  <c r="AN35" i="21"/>
  <c r="AM58" i="36"/>
  <c r="AN58" i="36"/>
  <c r="AM41" i="33"/>
  <c r="AN41" i="33"/>
  <c r="AM72" i="53"/>
  <c r="AN72" i="53"/>
  <c r="AM85" i="54"/>
  <c r="AN85" i="54"/>
  <c r="AM36" i="67"/>
  <c r="AN36" i="67"/>
  <c r="AB112" i="70"/>
  <c r="AF112" i="70"/>
  <c r="AI112" i="70"/>
  <c r="AA113" i="70"/>
  <c r="AI59" i="37"/>
  <c r="AK59" i="37"/>
  <c r="AN54" i="53"/>
  <c r="AM54" i="53"/>
  <c r="AN53" i="26"/>
  <c r="AM53" i="26"/>
  <c r="AN62" i="29"/>
  <c r="AM62" i="29"/>
  <c r="AF65" i="33"/>
  <c r="AI65" i="33"/>
  <c r="AJ65" i="33"/>
  <c r="AB65" i="33"/>
  <c r="AM40" i="65"/>
  <c r="AN40" i="65"/>
  <c r="AM49" i="25"/>
  <c r="AN49" i="25"/>
  <c r="AN44" i="26"/>
  <c r="AM44" i="26"/>
  <c r="AM60" i="28"/>
  <c r="AN60" i="28"/>
  <c r="AM37" i="30"/>
  <c r="AN37" i="30"/>
  <c r="AN44" i="35"/>
  <c r="AM44" i="35"/>
  <c r="AI69" i="37"/>
  <c r="AK69" i="37"/>
  <c r="AK63" i="37"/>
  <c r="AI63" i="37"/>
  <c r="AM82" i="54"/>
  <c r="AN82" i="54"/>
  <c r="AM42" i="53"/>
  <c r="AN42" i="53"/>
  <c r="AN43" i="67"/>
  <c r="AM43" i="67"/>
  <c r="AF67" i="33"/>
  <c r="AI67" i="33"/>
  <c r="AJ67" i="33"/>
  <c r="AB67" i="33"/>
  <c r="AL57" i="4"/>
  <c r="AN57" i="4"/>
  <c r="AM46" i="52"/>
  <c r="AN46" i="52"/>
  <c r="AM53" i="20"/>
  <c r="AN53" i="20"/>
  <c r="AM57" i="33"/>
  <c r="AN57" i="33"/>
  <c r="AM83" i="11"/>
  <c r="AN83" i="11"/>
  <c r="AM38" i="52"/>
  <c r="AN38" i="52"/>
  <c r="AN80" i="11"/>
  <c r="AM80" i="11"/>
  <c r="AM42" i="30"/>
  <c r="AN42" i="30"/>
  <c r="AM66" i="30"/>
  <c r="AN66" i="30"/>
  <c r="AM39" i="34"/>
  <c r="AN39" i="34"/>
  <c r="AM46" i="35"/>
  <c r="AN46" i="35"/>
  <c r="AL76" i="4"/>
  <c r="AN76" i="4"/>
  <c r="AL36" i="7"/>
  <c r="AN36" i="7"/>
  <c r="P75" i="37"/>
  <c r="P86" i="37"/>
  <c r="P88" i="37" s="1"/>
  <c r="P82" i="37"/>
  <c r="P84" i="37" s="1"/>
  <c r="P85" i="37" s="1"/>
  <c r="AN38" i="63"/>
  <c r="AM38" i="63"/>
  <c r="AM94" i="65"/>
  <c r="AN94" i="65"/>
  <c r="AN61" i="20"/>
  <c r="AM61" i="20"/>
  <c r="AN38" i="23"/>
  <c r="AM38" i="23"/>
  <c r="AM45" i="26"/>
  <c r="AN45" i="26"/>
  <c r="AN54" i="29"/>
  <c r="AM54" i="29"/>
  <c r="AM57" i="30"/>
  <c r="AN57" i="30"/>
  <c r="AM40" i="35"/>
  <c r="AN40" i="35"/>
  <c r="L44" i="37"/>
  <c r="M44" i="37" s="1"/>
  <c r="AM48" i="65"/>
  <c r="AN48" i="65"/>
  <c r="AN98" i="65"/>
  <c r="AM98" i="65"/>
  <c r="AM68" i="26"/>
  <c r="AN68" i="26"/>
  <c r="AM66" i="28"/>
  <c r="AN66" i="28"/>
  <c r="AN45" i="27"/>
  <c r="AM45" i="27"/>
  <c r="AM68" i="30"/>
  <c r="AN68" i="30"/>
  <c r="AM39" i="36"/>
  <c r="AN39" i="36"/>
  <c r="AK55" i="37"/>
  <c r="AI55" i="37"/>
  <c r="AM54" i="52"/>
  <c r="AN54" i="52"/>
  <c r="AM50" i="63"/>
  <c r="AN50" i="63"/>
  <c r="AM41" i="26"/>
  <c r="AN41" i="26"/>
  <c r="AM39" i="27"/>
  <c r="AN39" i="27"/>
  <c r="AN38" i="33"/>
  <c r="AM38" i="33"/>
  <c r="AL41" i="4"/>
  <c r="AN41" i="4"/>
  <c r="AM72" i="54"/>
  <c r="AN72" i="54"/>
  <c r="AN96" i="54"/>
  <c r="AM96" i="54"/>
  <c r="AI122" i="66"/>
  <c r="AF122" i="66"/>
  <c r="AB122" i="66"/>
  <c r="AA123" i="66"/>
  <c r="AM55" i="67"/>
  <c r="AN55" i="67"/>
  <c r="AM40" i="25"/>
  <c r="AN40" i="25"/>
  <c r="AI66" i="33"/>
  <c r="AJ66" i="33"/>
  <c r="AB66" i="33"/>
  <c r="AF66" i="33"/>
  <c r="AM80" i="16"/>
  <c r="AN80" i="16"/>
  <c r="AI126" i="56"/>
  <c r="AF126" i="56"/>
  <c r="AB126" i="56"/>
  <c r="AA127" i="56"/>
  <c r="AI126" i="64"/>
  <c r="AB126" i="64"/>
  <c r="AA127" i="64"/>
  <c r="AF126" i="64"/>
  <c r="AM42" i="16"/>
  <c r="AN42" i="16"/>
  <c r="AM40" i="51"/>
  <c r="AN40" i="51"/>
  <c r="AM42" i="52"/>
  <c r="AN42" i="52"/>
  <c r="AM36" i="54"/>
  <c r="AN36" i="54"/>
  <c r="AM35" i="16"/>
  <c r="AN35" i="16"/>
  <c r="AM91" i="51"/>
  <c r="AN91" i="51"/>
  <c r="AB126" i="57"/>
  <c r="AA127" i="57"/>
  <c r="AF126" i="57"/>
  <c r="AI126" i="57"/>
  <c r="AM87" i="65"/>
  <c r="AN87" i="65"/>
  <c r="AF126" i="59"/>
  <c r="AI126" i="59"/>
  <c r="AB126" i="59"/>
  <c r="AA127" i="59"/>
  <c r="AM67" i="28"/>
  <c r="AN67" i="28"/>
  <c r="AM44" i="30"/>
  <c r="AN44" i="30"/>
  <c r="AM52" i="9"/>
  <c r="AN52" i="9"/>
  <c r="AN57" i="15"/>
  <c r="AM57" i="15"/>
  <c r="AM34" i="23"/>
  <c r="AN34" i="23"/>
  <c r="AM35" i="36"/>
  <c r="AN35" i="36"/>
  <c r="AM41" i="65"/>
  <c r="AN41" i="65"/>
  <c r="AN55" i="26"/>
  <c r="AM55" i="26"/>
  <c r="AM42" i="34"/>
  <c r="AN42" i="34"/>
  <c r="AM59" i="36"/>
  <c r="AN59" i="36"/>
  <c r="AM45" i="65"/>
  <c r="AN45" i="65"/>
  <c r="AM44" i="67"/>
  <c r="AN44" i="67"/>
  <c r="AM54" i="24"/>
  <c r="AL54" i="24"/>
  <c r="AN35" i="15"/>
  <c r="AM35" i="15"/>
  <c r="AM44" i="27"/>
  <c r="AN44" i="27"/>
  <c r="AM48" i="35"/>
  <c r="AN48" i="35"/>
  <c r="AM40" i="36"/>
  <c r="AN40" i="36"/>
  <c r="U75" i="37"/>
  <c r="U86" i="37"/>
  <c r="U88" i="37" s="1"/>
  <c r="U82" i="37"/>
  <c r="U84" i="37" s="1"/>
  <c r="U85" i="37" s="1"/>
  <c r="AM58" i="52"/>
  <c r="AN58" i="52"/>
  <c r="AM77" i="65"/>
  <c r="AN77" i="65"/>
  <c r="AM36" i="27"/>
  <c r="AN36" i="27"/>
  <c r="AN43" i="26"/>
  <c r="AM43" i="26"/>
  <c r="AM59" i="30"/>
  <c r="AN59" i="30"/>
  <c r="AN61" i="36"/>
  <c r="AM61" i="36"/>
  <c r="AM44" i="36"/>
  <c r="AN44" i="36"/>
  <c r="AI57" i="37"/>
  <c r="AK57" i="37"/>
  <c r="AN38" i="53"/>
  <c r="AM38" i="53"/>
  <c r="AM49" i="54"/>
  <c r="AN49" i="54"/>
  <c r="AM48" i="54"/>
  <c r="AN48" i="54"/>
  <c r="AM86" i="65"/>
  <c r="AN86" i="65"/>
  <c r="AM44" i="65"/>
  <c r="AN44" i="65"/>
  <c r="AM41" i="67"/>
  <c r="AN41" i="67"/>
  <c r="AM52" i="26"/>
  <c r="AN52" i="26"/>
  <c r="AN51" i="29"/>
  <c r="AM51" i="29"/>
  <c r="AL48" i="4"/>
  <c r="AN48" i="4"/>
  <c r="AC74" i="37"/>
  <c r="AD64" i="37"/>
  <c r="AM42" i="63"/>
  <c r="AN42" i="63"/>
  <c r="AB126" i="58"/>
  <c r="AF126" i="58"/>
  <c r="AI126" i="58"/>
  <c r="AA127" i="58"/>
  <c r="AM53" i="65"/>
  <c r="AN53" i="65"/>
  <c r="AN51" i="67"/>
  <c r="AM51" i="67"/>
  <c r="AM37" i="67"/>
  <c r="AN37" i="67"/>
  <c r="AM62" i="28"/>
  <c r="AN62" i="28"/>
  <c r="AM59" i="28"/>
  <c r="AN59" i="28"/>
  <c r="AM70" i="30"/>
  <c r="AN70" i="30"/>
  <c r="AN64" i="4"/>
  <c r="AL64" i="4"/>
  <c r="AL70" i="4"/>
  <c r="AN70" i="4"/>
  <c r="AM56" i="19"/>
  <c r="AN56" i="19"/>
  <c r="AL44" i="7"/>
  <c r="AN44" i="7"/>
  <c r="AM83" i="65"/>
  <c r="AN83" i="65"/>
  <c r="AM55" i="30"/>
  <c r="AN55" i="30"/>
  <c r="AM39" i="35"/>
  <c r="AN39" i="35"/>
  <c r="AM100" i="16"/>
  <c r="AN100" i="16"/>
  <c r="AN46" i="53"/>
  <c r="AM46" i="53"/>
  <c r="AM61" i="15"/>
  <c r="AN61" i="15"/>
  <c r="AM48" i="25"/>
  <c r="AN48" i="25"/>
  <c r="AF60" i="34"/>
  <c r="AM57" i="54"/>
  <c r="AN57" i="54"/>
  <c r="AM48" i="9"/>
  <c r="AN48" i="9"/>
  <c r="AN49" i="67"/>
  <c r="AM49" i="67"/>
  <c r="AM67" i="26"/>
  <c r="AN67" i="26"/>
  <c r="AM45" i="30"/>
  <c r="AN45" i="30"/>
  <c r="AM45" i="36"/>
  <c r="AN45" i="36"/>
  <c r="AI49" i="37"/>
  <c r="AK49" i="37"/>
  <c r="AM53" i="54"/>
  <c r="AN53" i="54"/>
  <c r="AM52" i="54"/>
  <c r="AN52" i="54"/>
  <c r="AM55" i="65"/>
  <c r="AN55" i="65"/>
  <c r="AM71" i="26"/>
  <c r="AN71" i="26"/>
  <c r="AM40" i="28"/>
  <c r="AN40" i="28"/>
  <c r="AI58" i="37"/>
  <c r="AK58" i="37"/>
  <c r="AM40" i="9"/>
  <c r="AN40" i="9"/>
  <c r="AM52" i="51"/>
  <c r="AN52" i="51"/>
  <c r="AN54" i="63"/>
  <c r="AM54" i="63"/>
  <c r="AM56" i="67"/>
  <c r="AN56" i="67"/>
  <c r="AM42" i="22"/>
  <c r="AN42" i="22"/>
  <c r="AM48" i="28"/>
  <c r="AN48" i="28"/>
  <c r="AM63" i="28"/>
  <c r="AN63" i="28"/>
  <c r="AM50" i="52"/>
  <c r="AN50" i="52"/>
  <c r="AM44" i="54"/>
  <c r="AN44" i="54"/>
  <c r="AN35" i="67"/>
  <c r="AM35" i="67"/>
  <c r="AM53" i="28"/>
  <c r="AN53" i="28"/>
  <c r="AL83" i="4"/>
  <c r="AN83" i="4"/>
  <c r="AL62" i="4"/>
  <c r="AN62" i="4"/>
  <c r="AL65" i="4"/>
  <c r="AN65" i="4"/>
  <c r="AN104" i="54"/>
  <c r="AM104" i="54"/>
  <c r="AM46" i="67"/>
  <c r="AN46" i="67"/>
  <c r="AM47" i="16"/>
  <c r="AN47" i="16"/>
  <c r="AM56" i="9"/>
  <c r="AN56" i="9"/>
  <c r="AM100" i="65"/>
  <c r="AN100" i="65"/>
  <c r="AL60" i="24"/>
  <c r="AM60" i="24"/>
  <c r="AL49" i="24"/>
  <c r="AM49" i="24"/>
  <c r="AN98" i="23"/>
  <c r="AM98" i="23"/>
  <c r="AM42" i="29"/>
  <c r="AN42" i="29"/>
  <c r="AM71" i="30"/>
  <c r="AN71" i="30"/>
  <c r="AE71" i="37"/>
  <c r="AH71" i="37"/>
  <c r="AA71" i="37"/>
  <c r="AM89" i="54"/>
  <c r="AN89" i="54"/>
  <c r="AM38" i="67"/>
  <c r="AN38" i="67"/>
  <c r="AN65" i="15"/>
  <c r="AM65" i="15"/>
  <c r="AN50" i="26"/>
  <c r="AM50" i="26"/>
  <c r="AF52" i="35"/>
  <c r="AI52" i="35"/>
  <c r="AJ52" i="35"/>
  <c r="AB52" i="35"/>
  <c r="AM35" i="34"/>
  <c r="AN35" i="34"/>
  <c r="AM52" i="28"/>
  <c r="AN52" i="28"/>
  <c r="AI77" i="37"/>
  <c r="AK77" i="37"/>
  <c r="T86" i="37"/>
  <c r="T88" i="37" s="1"/>
  <c r="T82" i="37"/>
  <c r="T84" i="37" s="1"/>
  <c r="T85" i="37" s="1"/>
  <c r="T75" i="37"/>
  <c r="AN89" i="4"/>
  <c r="AL89" i="4"/>
  <c r="AM44" i="9"/>
  <c r="AN44" i="9"/>
  <c r="AM52" i="65"/>
  <c r="AN52" i="65"/>
  <c r="AM45" i="67"/>
  <c r="AN45" i="67"/>
  <c r="AA100" i="23"/>
  <c r="AI96" i="23"/>
  <c r="AJ96" i="23"/>
  <c r="AB96" i="23"/>
  <c r="AF96" i="23"/>
  <c r="AM64" i="26"/>
  <c r="AN64" i="26"/>
  <c r="AM52" i="36"/>
  <c r="AN52" i="36"/>
  <c r="AL85" i="4"/>
  <c r="AN85" i="4"/>
  <c r="AN86" i="54"/>
  <c r="AM86" i="54"/>
  <c r="AM77" i="54"/>
  <c r="AN77" i="54"/>
  <c r="AM54" i="28"/>
  <c r="AN54" i="28"/>
  <c r="AN73" i="4"/>
  <c r="AL73" i="4"/>
  <c r="AL69" i="4"/>
  <c r="AN69" i="4"/>
  <c r="AM98" i="54"/>
  <c r="AN98" i="54"/>
  <c r="AM99" i="65"/>
  <c r="AN99" i="65"/>
  <c r="AM43" i="30"/>
  <c r="AN43" i="30"/>
  <c r="AL96" i="4"/>
  <c r="AN96" i="4"/>
  <c r="AM72" i="51"/>
  <c r="AN72" i="51"/>
  <c r="AN81" i="51"/>
  <c r="AM81" i="51"/>
  <c r="AM40" i="54"/>
  <c r="AN40" i="54"/>
  <c r="AM91" i="65"/>
  <c r="AN91" i="65"/>
  <c r="AM50" i="67"/>
  <c r="AN50" i="67"/>
  <c r="AM34" i="22"/>
  <c r="AN34" i="22"/>
  <c r="AN42" i="27"/>
  <c r="AM42" i="27"/>
  <c r="AM79" i="53"/>
  <c r="AN79" i="53"/>
  <c r="AF70" i="7"/>
  <c r="AI70" i="7"/>
  <c r="AM92" i="65"/>
  <c r="AN92" i="65"/>
  <c r="AN40" i="30"/>
  <c r="AM40" i="30"/>
  <c r="AM51" i="34"/>
  <c r="AN51" i="34"/>
  <c r="AM49" i="33"/>
  <c r="AN49" i="33"/>
  <c r="AE72" i="37"/>
  <c r="AH72" i="37"/>
  <c r="AA72" i="37"/>
  <c r="AM40" i="23"/>
  <c r="AN40" i="23"/>
  <c r="AM38" i="30"/>
  <c r="AN38" i="30"/>
  <c r="AI59" i="35"/>
  <c r="AF59" i="35"/>
  <c r="AB59" i="35"/>
  <c r="AL58" i="24"/>
  <c r="AM58" i="24"/>
  <c r="AI71" i="37" l="1"/>
  <c r="AK71" i="37"/>
  <c r="AM66" i="33"/>
  <c r="AN66" i="33"/>
  <c r="AA52" i="37"/>
  <c r="L52" i="37"/>
  <c r="M52" i="37" s="1"/>
  <c r="AI72" i="37"/>
  <c r="AK72" i="37"/>
  <c r="AN67" i="33"/>
  <c r="AM67" i="33"/>
  <c r="AF82" i="37"/>
  <c r="AF86" i="37"/>
  <c r="AG74" i="37"/>
  <c r="AF75" i="37"/>
  <c r="AG75" i="37" s="1"/>
  <c r="AH64" i="37"/>
  <c r="AA64" i="37"/>
  <c r="AE64" i="37"/>
  <c r="AM65" i="33"/>
  <c r="AN65" i="33"/>
  <c r="AN52" i="35"/>
  <c r="AM52" i="35"/>
  <c r="AH74" i="37"/>
  <c r="AA74" i="37"/>
  <c r="AE74" i="37"/>
  <c r="Z75" i="37"/>
  <c r="AA75" i="37" s="1"/>
  <c r="Z82" i="37"/>
  <c r="N84" i="37"/>
  <c r="AI51" i="37"/>
  <c r="AK51" i="37"/>
  <c r="Z86" i="37"/>
  <c r="N88" i="37"/>
  <c r="Z88" i="37" s="1"/>
  <c r="AH60" i="34"/>
  <c r="AI60" i="34"/>
  <c r="AM96" i="23"/>
  <c r="AN96" i="23"/>
  <c r="AC75" i="37"/>
  <c r="AD75" i="37" s="1"/>
  <c r="AC86" i="37"/>
  <c r="AD74" i="37"/>
  <c r="AC82" i="37"/>
  <c r="AI61" i="37"/>
  <c r="AK61" i="37"/>
  <c r="L62" i="37"/>
  <c r="M62" i="37" s="1"/>
  <c r="AI74" i="37" l="1"/>
  <c r="AK74" i="37"/>
  <c r="N85" i="37"/>
  <c r="Z84" i="37"/>
  <c r="AF84" i="37"/>
  <c r="AG82" i="37"/>
  <c r="AA88" i="37"/>
  <c r="AH88" i="37"/>
  <c r="AC88" i="37"/>
  <c r="AD88" i="37" s="1"/>
  <c r="AD86" i="37"/>
  <c r="AF88" i="37"/>
  <c r="AG88" i="37" s="1"/>
  <c r="AG86" i="37"/>
  <c r="AI64" i="37"/>
  <c r="AK64" i="37"/>
  <c r="AC84" i="37"/>
  <c r="AD82" i="37"/>
  <c r="AA86" i="37"/>
  <c r="AH86" i="37"/>
  <c r="AE86" i="37"/>
  <c r="L75" i="37"/>
  <c r="M75" i="37" s="1"/>
  <c r="AA82" i="37"/>
  <c r="AE82" i="37"/>
  <c r="AH82" i="37"/>
  <c r="AK82" i="37" l="1"/>
  <c r="AI82" i="37"/>
  <c r="AF85" i="37"/>
  <c r="AG85" i="37" s="1"/>
  <c r="AG84" i="37"/>
  <c r="AH84" i="37"/>
  <c r="AE84" i="37"/>
  <c r="Z85" i="37"/>
  <c r="AA85" i="37" s="1"/>
  <c r="AA84" i="37"/>
  <c r="AC85" i="37"/>
  <c r="AD85" i="37" s="1"/>
  <c r="AD84" i="37"/>
  <c r="AE88" i="37"/>
  <c r="AI84" i="37" l="1"/>
  <c r="AK84" i="37"/>
  <c r="L85" i="37"/>
  <c r="M85"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0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1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100-000002000000}">
      <text>
        <r>
          <rPr>
            <sz val="9"/>
            <color indexed="81"/>
            <rFont val="Tahoma"/>
            <family val="2"/>
          </rPr>
          <t>Right-click to build filter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2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200-000002000000}">
      <text>
        <r>
          <rPr>
            <sz val="9"/>
            <color indexed="81"/>
            <rFont val="Tahoma"/>
            <family val="2"/>
          </rPr>
          <t>Right-click to build filter</t>
        </r>
      </text>
    </comment>
    <comment ref="K32" authorId="1" shapeId="0" xr:uid="{00000000-0006-0000-02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200-000004000000}">
      <text>
        <r>
          <rPr>
            <sz val="9"/>
            <color indexed="81"/>
            <rFont val="Tahoma"/>
            <family val="2"/>
          </rPr>
          <t>Right-click to build filter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300-000001000000}">
      <text>
        <r>
          <rPr>
            <b/>
            <sz val="9"/>
            <color indexed="81"/>
            <rFont val="Tahoma"/>
            <family val="2"/>
          </rPr>
          <t>Kaitlyn Pressley:</t>
        </r>
        <r>
          <rPr>
            <sz val="9"/>
            <color indexed="81"/>
            <rFont val="Tahoma"/>
            <family val="2"/>
          </rPr>
          <t xml:space="preserve">
For ALT scenario use only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4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400-000002000000}">
      <text>
        <r>
          <rPr>
            <sz val="9"/>
            <color indexed="81"/>
            <rFont val="Tahoma"/>
            <family val="2"/>
          </rPr>
          <t>Right-click to build filter</t>
        </r>
      </text>
    </comment>
    <comment ref="K32" authorId="1" shapeId="0" xr:uid="{00000000-0006-0000-04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400-000004000000}">
      <text>
        <r>
          <rPr>
            <sz val="9"/>
            <color indexed="81"/>
            <rFont val="Tahoma"/>
            <family val="2"/>
          </rPr>
          <t>Right-click to build filter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5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500-000002000000}">
      <text>
        <r>
          <rPr>
            <sz val="9"/>
            <color indexed="81"/>
            <rFont val="Tahoma"/>
            <family val="2"/>
          </rPr>
          <t>Right-click to build filter</t>
        </r>
      </text>
    </comment>
    <comment ref="C29" authorId="1" shapeId="0" xr:uid="{00000000-0006-0000-0500-000003000000}">
      <text>
        <r>
          <rPr>
            <sz val="9"/>
            <color indexed="81"/>
            <rFont val="Tahoma"/>
            <family val="2"/>
          </rPr>
          <t>Right-click to build filter</t>
        </r>
      </text>
    </comment>
    <comment ref="K32" authorId="1" shapeId="0" xr:uid="{00000000-0006-0000-0500-000004000000}">
      <text>
        <r>
          <rPr>
            <b/>
            <sz val="9"/>
            <color indexed="81"/>
            <rFont val="Tahoma"/>
            <family val="2"/>
          </rPr>
          <t>ekrolik:</t>
        </r>
        <r>
          <rPr>
            <sz val="9"/>
            <color indexed="81"/>
            <rFont val="Tahoma"/>
            <family val="2"/>
          </rPr>
          <t xml:space="preserve">
Drill Down Indicator.  Double Click to drill into additional detail.</t>
        </r>
      </text>
    </comment>
    <comment ref="B51" authorId="1" shapeId="0" xr:uid="{00000000-0006-0000-0500-000005000000}">
      <text>
        <r>
          <rPr>
            <sz val="9"/>
            <color indexed="81"/>
            <rFont val="Tahoma"/>
            <family val="2"/>
          </rPr>
          <t>Right-click to build filter</t>
        </r>
      </text>
    </comment>
    <comment ref="B84" authorId="1" shapeId="0" xr:uid="{00000000-0006-0000-0500-000006000000}">
      <text>
        <r>
          <rPr>
            <sz val="9"/>
            <color indexed="81"/>
            <rFont val="Tahoma"/>
            <family val="2"/>
          </rPr>
          <t>Right-click to build filter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6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600-000002000000}">
      <text>
        <r>
          <rPr>
            <sz val="9"/>
            <color indexed="81"/>
            <rFont val="Tahoma"/>
            <family val="2"/>
          </rPr>
          <t>Right-click to build filter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7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700-000002000000}">
      <text>
        <r>
          <rPr>
            <sz val="9"/>
            <color indexed="81"/>
            <rFont val="Tahoma"/>
            <family val="2"/>
          </rPr>
          <t>Right-click to build filter</t>
        </r>
      </text>
    </comment>
    <comment ref="K32" authorId="1" shapeId="0" xr:uid="{00000000-0006-0000-0700-000003000000}">
      <text>
        <r>
          <rPr>
            <b/>
            <sz val="9"/>
            <color indexed="81"/>
            <rFont val="Tahoma"/>
            <family val="2"/>
          </rPr>
          <t>ekrolik:</t>
        </r>
        <r>
          <rPr>
            <sz val="9"/>
            <color indexed="81"/>
            <rFont val="Tahoma"/>
            <family val="2"/>
          </rPr>
          <t xml:space="preserve">
Drill Down Indicator.  Double Click to drill into additional detail.</t>
        </r>
      </text>
    </comment>
    <comment ref="B62" authorId="1" shapeId="0" xr:uid="{00000000-0006-0000-0700-000004000000}">
      <text>
        <r>
          <rPr>
            <sz val="9"/>
            <color indexed="81"/>
            <rFont val="Tahoma"/>
            <family val="2"/>
          </rPr>
          <t>Right-click to build filter</t>
        </r>
      </text>
    </comment>
    <comment ref="B95" authorId="1" shapeId="0" xr:uid="{00000000-0006-0000-0700-000005000000}">
      <text>
        <r>
          <rPr>
            <sz val="9"/>
            <color indexed="81"/>
            <rFont val="Tahoma"/>
            <family val="2"/>
          </rPr>
          <t>Right-click to build filter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800-000001000000}">
      <text>
        <r>
          <rPr>
            <sz val="9"/>
            <color indexed="81"/>
            <rFont val="Tahoma"/>
            <family val="2"/>
          </rPr>
          <t>Right-click to build filter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900-000001000000}">
      <text>
        <r>
          <rPr>
            <sz val="9"/>
            <color indexed="81"/>
            <rFont val="Tahoma"/>
            <family val="2"/>
          </rPr>
          <t>Right-click to build filter</t>
        </r>
      </text>
    </comment>
    <comment ref="K32" authorId="0" shapeId="0" xr:uid="{00000000-0006-0000-09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900-000003000000}">
      <text>
        <r>
          <rPr>
            <sz val="9"/>
            <color indexed="81"/>
            <rFont val="Tahoma"/>
            <family val="2"/>
          </rPr>
          <t>Right-click to build filter</t>
        </r>
      </text>
    </comment>
    <comment ref="B95" authorId="0" shapeId="0" xr:uid="{00000000-0006-0000-0900-000004000000}">
      <text>
        <r>
          <rPr>
            <sz val="9"/>
            <color indexed="81"/>
            <rFont val="Tahoma"/>
            <family val="2"/>
          </rPr>
          <t>Right-click to build filter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A00-000001000000}">
      <text>
        <r>
          <rPr>
            <sz val="9"/>
            <color indexed="81"/>
            <rFont val="Tahoma"/>
            <family val="2"/>
          </rPr>
          <t>Right-click to build filter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B00-000001000000}">
      <text>
        <r>
          <rPr>
            <sz val="9"/>
            <color indexed="81"/>
            <rFont val="Tahoma"/>
            <family val="2"/>
          </rPr>
          <t>Right-click to build filter</t>
        </r>
      </text>
    </comment>
    <comment ref="K32" authorId="0" shapeId="0" xr:uid="{00000000-0006-0000-0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B00-000003000000}">
      <text>
        <r>
          <rPr>
            <sz val="9"/>
            <color indexed="81"/>
            <rFont val="Tahoma"/>
            <family val="2"/>
          </rPr>
          <t>Right-click to build filter</t>
        </r>
      </text>
    </comment>
    <comment ref="B95" authorId="0" shapeId="0" xr:uid="{00000000-0006-0000-0B00-000004000000}">
      <text>
        <r>
          <rPr>
            <sz val="9"/>
            <color indexed="81"/>
            <rFont val="Tahoma"/>
            <family val="2"/>
          </rPr>
          <t>Right-click to build filter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C00-000001000000}">
      <text>
        <r>
          <rPr>
            <sz val="9"/>
            <color indexed="81"/>
            <rFont val="Tahoma"/>
            <family val="2"/>
          </rPr>
          <t>Right-click to build filter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D00-000001000000}">
      <text>
        <r>
          <rPr>
            <sz val="9"/>
            <color indexed="81"/>
            <rFont val="Tahoma"/>
            <family val="2"/>
          </rPr>
          <t>Right-click to build filter</t>
        </r>
      </text>
    </comment>
    <comment ref="K32" authorId="0" shapeId="0" xr:uid="{00000000-0006-0000-0D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D00-000003000000}">
      <text>
        <r>
          <rPr>
            <sz val="9"/>
            <color indexed="81"/>
            <rFont val="Tahoma"/>
            <family val="2"/>
          </rPr>
          <t>Right-click to build filter</t>
        </r>
      </text>
    </comment>
    <comment ref="B95" authorId="0" shapeId="0" xr:uid="{00000000-0006-0000-0D00-000004000000}">
      <text>
        <r>
          <rPr>
            <sz val="9"/>
            <color indexed="81"/>
            <rFont val="Tahoma"/>
            <family val="2"/>
          </rPr>
          <t>Right-click to build filter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E00-000001000000}">
      <text>
        <r>
          <rPr>
            <sz val="9"/>
            <color indexed="81"/>
            <rFont val="Tahoma"/>
            <family val="2"/>
          </rPr>
          <t>Right-click to build filter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F00-000001000000}">
      <text>
        <r>
          <rPr>
            <sz val="9"/>
            <color indexed="81"/>
            <rFont val="Tahoma"/>
            <family val="2"/>
          </rPr>
          <t>Right-click to build filter</t>
        </r>
      </text>
    </comment>
    <comment ref="K32" authorId="0" shapeId="0" xr:uid="{00000000-0006-0000-0F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F00-000003000000}">
      <text>
        <r>
          <rPr>
            <sz val="9"/>
            <color indexed="81"/>
            <rFont val="Tahoma"/>
            <family val="2"/>
          </rPr>
          <t>Right-click to build filter</t>
        </r>
      </text>
    </comment>
    <comment ref="B95" authorId="0" shapeId="0" xr:uid="{00000000-0006-0000-0F00-000004000000}">
      <text>
        <r>
          <rPr>
            <sz val="9"/>
            <color indexed="81"/>
            <rFont val="Tahoma"/>
            <family val="2"/>
          </rPr>
          <t>Right-click to build filter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000-000001000000}">
      <text>
        <r>
          <rPr>
            <sz val="9"/>
            <color indexed="81"/>
            <rFont val="Tahoma"/>
            <family val="2"/>
          </rPr>
          <t>Right-click to build filter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100-000001000000}">
      <text>
        <r>
          <rPr>
            <sz val="9"/>
            <color indexed="81"/>
            <rFont val="Tahoma"/>
            <family val="2"/>
          </rPr>
          <t>Right-click to build filter</t>
        </r>
      </text>
    </comment>
    <comment ref="K32" authorId="0" shapeId="0" xr:uid="{00000000-0006-0000-11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100-000003000000}">
      <text>
        <r>
          <rPr>
            <sz val="9"/>
            <color indexed="81"/>
            <rFont val="Tahoma"/>
            <family val="2"/>
          </rPr>
          <t>Right-click to build filter</t>
        </r>
      </text>
    </comment>
    <comment ref="B95" authorId="0" shapeId="0" xr:uid="{00000000-0006-0000-1100-000004000000}">
      <text>
        <r>
          <rPr>
            <sz val="9"/>
            <color indexed="81"/>
            <rFont val="Tahoma"/>
            <family val="2"/>
          </rPr>
          <t>Right-click to build filter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200-000001000000}">
      <text>
        <r>
          <rPr>
            <sz val="9"/>
            <color indexed="81"/>
            <rFont val="Tahoma"/>
            <family val="2"/>
          </rPr>
          <t>Right-click to build filter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300-000001000000}">
      <text>
        <r>
          <rPr>
            <sz val="9"/>
            <color indexed="81"/>
            <rFont val="Tahoma"/>
            <family val="2"/>
          </rPr>
          <t>Right-click to build filter</t>
        </r>
      </text>
    </comment>
    <comment ref="K32" authorId="0" shapeId="0" xr:uid="{00000000-0006-0000-13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300-000003000000}">
      <text>
        <r>
          <rPr>
            <sz val="9"/>
            <color indexed="81"/>
            <rFont val="Tahoma"/>
            <family val="2"/>
          </rPr>
          <t>Right-click to build filter</t>
        </r>
      </text>
    </comment>
    <comment ref="B95" authorId="0" shapeId="0" xr:uid="{00000000-0006-0000-1300-000004000000}">
      <text>
        <r>
          <rPr>
            <sz val="9"/>
            <color indexed="81"/>
            <rFont val="Tahoma"/>
            <family val="2"/>
          </rPr>
          <t>Right-click to build filter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400-000001000000}">
      <text>
        <r>
          <rPr>
            <sz val="9"/>
            <color indexed="81"/>
            <rFont val="Tahoma"/>
            <family val="2"/>
          </rPr>
          <t>Right-click to build filter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500-000001000000}">
      <text>
        <r>
          <rPr>
            <sz val="9"/>
            <color indexed="81"/>
            <rFont val="Tahoma"/>
            <family val="2"/>
          </rPr>
          <t>Right-click to build filter</t>
        </r>
      </text>
    </comment>
    <comment ref="K32" authorId="0" shapeId="0" xr:uid="{00000000-0006-0000-15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500-000003000000}">
      <text>
        <r>
          <rPr>
            <sz val="9"/>
            <color indexed="81"/>
            <rFont val="Tahoma"/>
            <family val="2"/>
          </rPr>
          <t>Right-click to build filter</t>
        </r>
      </text>
    </comment>
    <comment ref="B95" authorId="0" shapeId="0" xr:uid="{00000000-0006-0000-1500-000004000000}">
      <text>
        <r>
          <rPr>
            <sz val="9"/>
            <color indexed="81"/>
            <rFont val="Tahoma"/>
            <family val="2"/>
          </rPr>
          <t>Right-click to build filter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600-000001000000}">
      <text>
        <r>
          <rPr>
            <sz val="9"/>
            <color indexed="81"/>
            <rFont val="Tahoma"/>
            <family val="2"/>
          </rPr>
          <t>Right-click to build filter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700-000001000000}">
      <text>
        <r>
          <rPr>
            <sz val="9"/>
            <color indexed="81"/>
            <rFont val="Tahoma"/>
            <family val="2"/>
          </rPr>
          <t>Right-click to build filter</t>
        </r>
      </text>
    </comment>
    <comment ref="K32" authorId="0" shapeId="0" xr:uid="{00000000-0006-0000-17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700-000003000000}">
      <text>
        <r>
          <rPr>
            <sz val="9"/>
            <color indexed="81"/>
            <rFont val="Tahoma"/>
            <family val="2"/>
          </rPr>
          <t>Right-click to build filter</t>
        </r>
      </text>
    </comment>
    <comment ref="B95" authorId="0" shapeId="0" xr:uid="{00000000-0006-0000-1700-000004000000}">
      <text>
        <r>
          <rPr>
            <sz val="9"/>
            <color indexed="81"/>
            <rFont val="Tahoma"/>
            <family val="2"/>
          </rPr>
          <t>Right-click to build filter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800-000001000000}">
      <text>
        <r>
          <rPr>
            <sz val="9"/>
            <color indexed="81"/>
            <rFont val="Tahoma"/>
            <family val="2"/>
          </rPr>
          <t>Right-click to build filter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900-000001000000}">
      <text>
        <r>
          <rPr>
            <sz val="9"/>
            <color indexed="81"/>
            <rFont val="Tahoma"/>
            <family val="2"/>
          </rPr>
          <t>Right-click to build filter</t>
        </r>
      </text>
    </comment>
    <comment ref="K32" authorId="0" shapeId="0" xr:uid="{00000000-0006-0000-19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900-000003000000}">
      <text>
        <r>
          <rPr>
            <sz val="9"/>
            <color indexed="81"/>
            <rFont val="Tahoma"/>
            <family val="2"/>
          </rPr>
          <t>Right-click to build filter</t>
        </r>
      </text>
    </comment>
    <comment ref="B95" authorId="0" shapeId="0" xr:uid="{00000000-0006-0000-1900-000004000000}">
      <text>
        <r>
          <rPr>
            <sz val="9"/>
            <color indexed="81"/>
            <rFont val="Tahoma"/>
            <family val="2"/>
          </rPr>
          <t>Right-click to build filter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A00-000001000000}">
      <text>
        <r>
          <rPr>
            <sz val="9"/>
            <color indexed="81"/>
            <rFont val="Tahoma"/>
            <family val="2"/>
          </rPr>
          <t>Right-click to build filter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B00-000001000000}">
      <text>
        <r>
          <rPr>
            <sz val="9"/>
            <color indexed="81"/>
            <rFont val="Tahoma"/>
            <family val="2"/>
          </rPr>
          <t>Right-click to build filter</t>
        </r>
      </text>
    </comment>
    <comment ref="K32" authorId="0" shapeId="0" xr:uid="{00000000-0006-0000-1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B00-000003000000}">
      <text>
        <r>
          <rPr>
            <sz val="9"/>
            <color indexed="81"/>
            <rFont val="Tahoma"/>
            <family val="2"/>
          </rPr>
          <t>Right-click to build filter</t>
        </r>
      </text>
    </comment>
    <comment ref="B95" authorId="0" shapeId="0" xr:uid="{00000000-0006-0000-1B00-000004000000}">
      <text>
        <r>
          <rPr>
            <sz val="9"/>
            <color indexed="81"/>
            <rFont val="Tahoma"/>
            <family val="2"/>
          </rPr>
          <t>Right-click to build filter</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C00-000001000000}">
      <text>
        <r>
          <rPr>
            <sz val="9"/>
            <color indexed="81"/>
            <rFont val="Tahoma"/>
            <family val="2"/>
          </rPr>
          <t>Right-click to build filter</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D00-000001000000}">
      <text>
        <r>
          <rPr>
            <sz val="9"/>
            <color indexed="81"/>
            <rFont val="Tahoma"/>
            <family val="2"/>
          </rPr>
          <t>Right-click to build filter</t>
        </r>
      </text>
    </comment>
    <comment ref="K32" authorId="0" shapeId="0" xr:uid="{00000000-0006-0000-1D00-000002000000}">
      <text>
        <r>
          <rPr>
            <b/>
            <sz val="9"/>
            <color indexed="81"/>
            <rFont val="Tahoma"/>
            <family val="2"/>
          </rPr>
          <t>ekrolik:</t>
        </r>
        <r>
          <rPr>
            <sz val="9"/>
            <color indexed="81"/>
            <rFont val="Tahoma"/>
            <family val="2"/>
          </rPr>
          <t xml:space="preserve">
Drill Down Indicator.  Double Click to drill into additional detail.</t>
        </r>
      </text>
    </comment>
    <comment ref="B61" authorId="0" shapeId="0" xr:uid="{00000000-0006-0000-1D00-000003000000}">
      <text>
        <r>
          <rPr>
            <sz val="9"/>
            <color indexed="81"/>
            <rFont val="Tahoma"/>
            <family val="2"/>
          </rPr>
          <t>Right-click to build filter</t>
        </r>
      </text>
    </comment>
    <comment ref="B93" authorId="0" shapeId="0" xr:uid="{00000000-0006-0000-1D00-000004000000}">
      <text>
        <r>
          <rPr>
            <sz val="9"/>
            <color indexed="81"/>
            <rFont val="Tahoma"/>
            <family val="2"/>
          </rPr>
          <t>Right-click to build filter</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E00-000001000000}">
      <text>
        <r>
          <rPr>
            <sz val="9"/>
            <color indexed="81"/>
            <rFont val="Tahoma"/>
            <family val="2"/>
          </rPr>
          <t>Right-click to build filter</t>
        </r>
      </text>
    </comment>
    <comment ref="C29" authorId="0" shapeId="0" xr:uid="{00000000-0006-0000-1E00-000002000000}">
      <text>
        <r>
          <rPr>
            <sz val="9"/>
            <color indexed="81"/>
            <rFont val="Tahoma"/>
            <family val="2"/>
          </rPr>
          <t>Right-click to build filter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F00-000001000000}">
      <text>
        <r>
          <rPr>
            <sz val="9"/>
            <color indexed="81"/>
            <rFont val="Tahoma"/>
            <family val="2"/>
          </rPr>
          <t>Right-click to build filter</t>
        </r>
      </text>
    </comment>
    <comment ref="K32" authorId="0" shapeId="0" xr:uid="{00000000-0006-0000-1F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1F00-000003000000}">
      <text>
        <r>
          <rPr>
            <sz val="9"/>
            <color indexed="81"/>
            <rFont val="Tahoma"/>
            <family val="2"/>
          </rPr>
          <t>Right-click to build filter</t>
        </r>
      </text>
    </comment>
    <comment ref="B87" authorId="0" shapeId="0" xr:uid="{00000000-0006-0000-1F00-000004000000}">
      <text>
        <r>
          <rPr>
            <sz val="9"/>
            <color indexed="81"/>
            <rFont val="Tahoma"/>
            <family val="2"/>
          </rPr>
          <t>Right-click to build filter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000-000001000000}">
      <text>
        <r>
          <rPr>
            <sz val="9"/>
            <color indexed="81"/>
            <rFont val="Tahoma"/>
            <family val="2"/>
          </rPr>
          <t>Right-click to build filter</t>
        </r>
      </text>
    </comment>
    <comment ref="K32" authorId="0" shapeId="0" xr:uid="{00000000-0006-0000-20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000-000003000000}">
      <text>
        <r>
          <rPr>
            <sz val="9"/>
            <color indexed="81"/>
            <rFont val="Tahoma"/>
            <family val="2"/>
          </rPr>
          <t>Right-click to build filter</t>
        </r>
      </text>
    </comment>
    <comment ref="B86" authorId="0" shapeId="0" xr:uid="{00000000-0006-0000-2000-000004000000}">
      <text>
        <r>
          <rPr>
            <sz val="9"/>
            <color indexed="81"/>
            <rFont val="Tahoma"/>
            <family val="2"/>
          </rPr>
          <t>Right-click to build filter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100-000001000000}">
      <text>
        <r>
          <rPr>
            <sz val="9"/>
            <color indexed="81"/>
            <rFont val="Tahoma"/>
            <family val="2"/>
          </rPr>
          <t>Right-click to build filter</t>
        </r>
      </text>
    </comment>
    <comment ref="K32" authorId="0" shapeId="0" xr:uid="{00000000-0006-0000-21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100-000003000000}">
      <text>
        <r>
          <rPr>
            <sz val="9"/>
            <color indexed="81"/>
            <rFont val="Tahoma"/>
            <family val="2"/>
          </rPr>
          <t>Right-click to build filter</t>
        </r>
      </text>
    </comment>
    <comment ref="B86" authorId="0" shapeId="0" xr:uid="{00000000-0006-0000-2100-000004000000}">
      <text>
        <r>
          <rPr>
            <sz val="9"/>
            <color indexed="81"/>
            <rFont val="Tahoma"/>
            <family val="2"/>
          </rPr>
          <t>Right-click to build filter</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200-000001000000}">
      <text>
        <r>
          <rPr>
            <sz val="9"/>
            <color indexed="81"/>
            <rFont val="Tahoma"/>
            <family val="2"/>
          </rPr>
          <t>Right-click to build filter</t>
        </r>
      </text>
    </comment>
    <comment ref="K32" authorId="0" shapeId="0" xr:uid="{00000000-0006-0000-22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2200-000003000000}">
      <text>
        <r>
          <rPr>
            <sz val="9"/>
            <color indexed="81"/>
            <rFont val="Tahoma"/>
            <family val="2"/>
          </rPr>
          <t>Right-click to build filter</t>
        </r>
      </text>
    </comment>
    <comment ref="B85" authorId="0" shapeId="0" xr:uid="{00000000-0006-0000-2200-000004000000}">
      <text>
        <r>
          <rPr>
            <sz val="9"/>
            <color indexed="81"/>
            <rFont val="Tahoma"/>
            <family val="2"/>
          </rPr>
          <t>Right-click to build filter</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300-000001000000}">
      <text>
        <r>
          <rPr>
            <sz val="9"/>
            <color indexed="81"/>
            <rFont val="Tahoma"/>
            <family val="2"/>
          </rPr>
          <t>Right-click to build filter</t>
        </r>
      </text>
    </comment>
    <comment ref="K32" authorId="0" shapeId="0" xr:uid="{00000000-0006-0000-23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300-000003000000}">
      <text>
        <r>
          <rPr>
            <sz val="9"/>
            <color indexed="81"/>
            <rFont val="Tahoma"/>
            <family val="2"/>
          </rPr>
          <t>Right-click to build filter</t>
        </r>
      </text>
    </comment>
    <comment ref="B86" authorId="0" shapeId="0" xr:uid="{00000000-0006-0000-2300-000004000000}">
      <text>
        <r>
          <rPr>
            <sz val="9"/>
            <color indexed="81"/>
            <rFont val="Tahoma"/>
            <family val="2"/>
          </rPr>
          <t>Right-click to build filter</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400-000001000000}">
      <text>
        <r>
          <rPr>
            <sz val="9"/>
            <color indexed="81"/>
            <rFont val="Tahoma"/>
            <family val="2"/>
          </rPr>
          <t>Right-click to build filter</t>
        </r>
      </text>
    </comment>
    <comment ref="K32" authorId="0" shapeId="0" xr:uid="{00000000-0006-0000-24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2400-000003000000}">
      <text>
        <r>
          <rPr>
            <sz val="9"/>
            <color indexed="81"/>
            <rFont val="Tahoma"/>
            <family val="2"/>
          </rPr>
          <t>Right-click to build filter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500-000001000000}">
      <text>
        <r>
          <rPr>
            <sz val="9"/>
            <color indexed="81"/>
            <rFont val="Tahoma"/>
            <family val="2"/>
          </rPr>
          <t>Right-click to build filter</t>
        </r>
      </text>
    </comment>
    <comment ref="K32" authorId="0" shapeId="0" xr:uid="{00000000-0006-0000-25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600-000001000000}">
      <text>
        <r>
          <rPr>
            <sz val="9"/>
            <color indexed="81"/>
            <rFont val="Tahoma"/>
            <family val="2"/>
          </rPr>
          <t>Right-click to build filter</t>
        </r>
      </text>
    </comment>
    <comment ref="C29" authorId="0" shapeId="0" xr:uid="{00000000-0006-0000-2600-000002000000}">
      <text>
        <r>
          <rPr>
            <sz val="9"/>
            <color indexed="81"/>
            <rFont val="Tahoma"/>
            <family val="2"/>
          </rPr>
          <t>Right-click to build filter</t>
        </r>
      </text>
    </comment>
    <comment ref="K32" authorId="0" shapeId="0" xr:uid="{00000000-0006-0000-2600-000003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700-000001000000}">
      <text>
        <r>
          <rPr>
            <sz val="9"/>
            <color indexed="81"/>
            <rFont val="Tahoma"/>
            <family val="2"/>
          </rPr>
          <t>Right-click to build filter</t>
        </r>
      </text>
    </comment>
    <comment ref="K32" authorId="0" shapeId="0" xr:uid="{00000000-0006-0000-27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800-000001000000}">
      <text>
        <r>
          <rPr>
            <sz val="9"/>
            <color indexed="81"/>
            <rFont val="Tahoma"/>
            <family val="2"/>
          </rPr>
          <t>Right-click to build filter</t>
        </r>
      </text>
    </comment>
    <comment ref="K32" authorId="0" shapeId="0" xr:uid="{00000000-0006-0000-28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2800-000003000000}">
      <text>
        <r>
          <rPr>
            <sz val="9"/>
            <color indexed="81"/>
            <rFont val="Tahoma"/>
            <family val="2"/>
          </rPr>
          <t>Right-click to build filter</t>
        </r>
      </text>
    </comment>
    <comment ref="B83" authorId="0" shapeId="0" xr:uid="{00000000-0006-0000-2800-000004000000}">
      <text>
        <r>
          <rPr>
            <sz val="9"/>
            <color indexed="81"/>
            <rFont val="Tahoma"/>
            <family val="2"/>
          </rPr>
          <t>Right-click to build filter</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900-000001000000}">
      <text>
        <r>
          <rPr>
            <sz val="9"/>
            <color indexed="81"/>
            <rFont val="Tahoma"/>
            <family val="2"/>
          </rPr>
          <t>Right-click to build filter</t>
        </r>
      </text>
    </comment>
    <comment ref="K32" authorId="0" shapeId="0" xr:uid="{00000000-0006-0000-29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A00-000001000000}">
      <text>
        <r>
          <rPr>
            <sz val="9"/>
            <color indexed="81"/>
            <rFont val="Tahoma"/>
            <family val="2"/>
          </rPr>
          <t>Right-click to build filter</t>
        </r>
      </text>
    </comment>
    <comment ref="K32" authorId="0" shapeId="0" xr:uid="{00000000-0006-0000-2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B00-000001000000}">
      <text>
        <r>
          <rPr>
            <sz val="9"/>
            <color indexed="81"/>
            <rFont val="Tahoma"/>
            <family val="2"/>
          </rPr>
          <t>Right-click to build filter</t>
        </r>
      </text>
    </comment>
    <comment ref="K32" authorId="0" shapeId="0" xr:uid="{00000000-0006-0000-2B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C00-000001000000}">
      <text>
        <r>
          <rPr>
            <sz val="9"/>
            <color indexed="81"/>
            <rFont val="Tahoma"/>
            <family val="2"/>
          </rPr>
          <t>Right-click to build filter</t>
        </r>
      </text>
    </comment>
    <comment ref="K32" authorId="0" shapeId="0" xr:uid="{00000000-0006-0000-2C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D00-000001000000}">
      <text>
        <r>
          <rPr>
            <sz val="9"/>
            <color indexed="81"/>
            <rFont val="Tahoma"/>
            <family val="2"/>
          </rPr>
          <t>Right-click to build filter</t>
        </r>
      </text>
    </comment>
    <comment ref="K32" authorId="0" shapeId="0" xr:uid="{00000000-0006-0000-2D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E00-000001000000}">
      <text>
        <r>
          <rPr>
            <sz val="9"/>
            <color indexed="81"/>
            <rFont val="Tahoma"/>
            <family val="2"/>
          </rPr>
          <t>Right-click to build filter</t>
        </r>
      </text>
    </comment>
    <comment ref="K32" authorId="0" shapeId="0" xr:uid="{00000000-0006-0000-2E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2E00-000003000000}">
      <text>
        <r>
          <rPr>
            <sz val="9"/>
            <color indexed="81"/>
            <rFont val="Tahoma"/>
            <family val="2"/>
          </rPr>
          <t>Right-click to build filter</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F00-000001000000}">
      <text>
        <r>
          <rPr>
            <sz val="9"/>
            <color indexed="81"/>
            <rFont val="Tahoma"/>
            <family val="2"/>
          </rPr>
          <t>Right-click to build filter</t>
        </r>
      </text>
    </comment>
    <comment ref="K32" authorId="0" shapeId="0" xr:uid="{00000000-0006-0000-2F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2F00-000003000000}">
      <text>
        <r>
          <rPr>
            <sz val="9"/>
            <color indexed="81"/>
            <rFont val="Tahoma"/>
            <family val="2"/>
          </rPr>
          <t>Right-click to build filter</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000-000001000000}">
      <text>
        <r>
          <rPr>
            <sz val="9"/>
            <color indexed="81"/>
            <rFont val="Tahoma"/>
            <family val="2"/>
          </rPr>
          <t>Right-click to build filter</t>
        </r>
      </text>
    </comment>
    <comment ref="K32" authorId="0" shapeId="0" xr:uid="{00000000-0006-0000-30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sharedStrings.xml><?xml version="1.0" encoding="utf-8"?>
<sst xmlns="http://schemas.openxmlformats.org/spreadsheetml/2006/main" count="12678" uniqueCount="956">
  <si>
    <t>RANGE</t>
  </si>
  <si>
    <t>VALUE</t>
  </si>
  <si>
    <t>PageKeyRange</t>
  </si>
  <si>
    <t>ColKeyRange</t>
  </si>
  <si>
    <t>RowKeyRange</t>
  </si>
  <si>
    <t>CellKeyRange</t>
  </si>
  <si>
    <t>GetOnlyRange</t>
  </si>
  <si>
    <t>FormatRange</t>
  </si>
  <si>
    <t>SortRange</t>
  </si>
  <si>
    <t>PARAMETER</t>
  </si>
  <si>
    <t>EXPANSION 1</t>
  </si>
  <si>
    <t>ExpandIn</t>
  </si>
  <si>
    <t>Dimension</t>
  </si>
  <si>
    <t>MemberSet</t>
  </si>
  <si>
    <t>BeforeRange</t>
  </si>
  <si>
    <t>AfterRange</t>
  </si>
  <si>
    <t>Suppress</t>
  </si>
  <si>
    <t>Insert</t>
  </si>
  <si>
    <t>TIME</t>
  </si>
  <si>
    <t>CATEGORY</t>
  </si>
  <si>
    <t>MEASURES</t>
  </si>
  <si>
    <t>ROW</t>
  </si>
  <si>
    <t>ACCOUNT</t>
  </si>
  <si>
    <t>Option</t>
  </si>
  <si>
    <t>Value</t>
  </si>
  <si>
    <t>AutoFitCol</t>
  </si>
  <si>
    <t>Bottom</t>
  </si>
  <si>
    <t>DumpDataCache</t>
  </si>
  <si>
    <t>ExpandOnly</t>
  </si>
  <si>
    <t>GroupExpansion</t>
  </si>
  <si>
    <t>HideColKeys</t>
  </si>
  <si>
    <t>HideRowKeys</t>
  </si>
  <si>
    <t>NoRefresh</t>
  </si>
  <si>
    <t>NoSend</t>
  </si>
  <si>
    <t>PctInput</t>
  </si>
  <si>
    <t>QueryEngine</t>
  </si>
  <si>
    <t>QueryType</t>
  </si>
  <si>
    <t>QueryViewName</t>
  </si>
  <si>
    <t>ShowComments</t>
  </si>
  <si>
    <t>ShowNullAsZero</t>
  </si>
  <si>
    <t>SortCol</t>
  </si>
  <si>
    <t>SqlOnly</t>
  </si>
  <si>
    <t>SumParent</t>
  </si>
  <si>
    <t>SuppressDataCol</t>
  </si>
  <si>
    <t>SuppressDataRow</t>
  </si>
  <si>
    <t>SuppressNoData</t>
  </si>
  <si>
    <t>Top</t>
  </si>
  <si>
    <t>OptionRange</t>
  </si>
  <si>
    <t>App</t>
  </si>
  <si>
    <t>FINANCE</t>
  </si>
  <si>
    <t>BUSINESSUNIT</t>
  </si>
  <si>
    <t>DATASRC</t>
  </si>
  <si>
    <t>DEPARTMENT</t>
  </si>
  <si>
    <t>INTCO</t>
  </si>
  <si>
    <t>RPTCURRENCY</t>
  </si>
  <si>
    <t>PERIODIC</t>
  </si>
  <si>
    <t>GOI</t>
  </si>
  <si>
    <t>$</t>
  </si>
  <si>
    <t>%</t>
  </si>
  <si>
    <t>TOTALADJ</t>
  </si>
  <si>
    <t>D_ROOMS_CON</t>
  </si>
  <si>
    <t>All_InterCo</t>
  </si>
  <si>
    <t>LC</t>
  </si>
  <si>
    <t>YTD</t>
  </si>
  <si>
    <t>401000</t>
  </si>
  <si>
    <t>402200</t>
  </si>
  <si>
    <t>402000</t>
  </si>
  <si>
    <t>403000</t>
  </si>
  <si>
    <t>401200</t>
  </si>
  <si>
    <t>REV</t>
  </si>
  <si>
    <t>TRANSRR</t>
  </si>
  <si>
    <t>GROUPRR</t>
  </si>
  <si>
    <t>ROOMS_TOT</t>
  </si>
  <si>
    <t>LABORRL</t>
  </si>
  <si>
    <t>SALWAG</t>
  </si>
  <si>
    <t>NONMGMT</t>
  </si>
  <si>
    <t>600000</t>
  </si>
  <si>
    <t>710000</t>
  </si>
  <si>
    <t>Y</t>
  </si>
  <si>
    <t>700000</t>
  </si>
  <si>
    <t>TOTDEPTEXP</t>
  </si>
  <si>
    <t>TOTDEPTPL</t>
  </si>
  <si>
    <t>OTHR_EXP</t>
  </si>
  <si>
    <t>R_RETAIL</t>
  </si>
  <si>
    <t>R_DISCNT</t>
  </si>
  <si>
    <t>R_NEGOT</t>
  </si>
  <si>
    <t>R_QUALF</t>
  </si>
  <si>
    <t>R_CORP</t>
  </si>
  <si>
    <t>R_ASSCN</t>
  </si>
  <si>
    <t>401800</t>
  </si>
  <si>
    <t>R_TOURW</t>
  </si>
  <si>
    <t>403990</t>
  </si>
  <si>
    <t>CRITERIA</t>
  </si>
  <si>
    <t>EVALUATE IN</t>
  </si>
  <si>
    <t>FORMAT</t>
  </si>
  <si>
    <t>USE</t>
  </si>
  <si>
    <t>PARAMETERS</t>
  </si>
  <si>
    <t>APPLY TO</t>
  </si>
  <si>
    <t>HEADING</t>
  </si>
  <si>
    <t>DATA</t>
  </si>
  <si>
    <t>ACCOUNT.STYLE=B1</t>
  </si>
  <si>
    <t>abc</t>
  </si>
  <si>
    <t>ACCOUNT.STYLE=T4</t>
  </si>
  <si>
    <t>INDENTLEVEL</t>
  </si>
  <si>
    <t>ACCOUNT.STYLE=T5</t>
  </si>
  <si>
    <t>ACCOUNT.STYLE=N</t>
  </si>
  <si>
    <t>FONTBOLD,INDENTLEVEL</t>
  </si>
  <si>
    <t>FONTBOLD,FRAME</t>
  </si>
  <si>
    <t>ACCOUNT.STYLE=T3</t>
  </si>
  <si>
    <t>ACCOUNT.STYLE=T2</t>
  </si>
  <si>
    <t>ACCOUNT.STYLE=T1</t>
  </si>
  <si>
    <t>DEP(700000)</t>
  </si>
  <si>
    <t>&lt;=== Select Category</t>
  </si>
  <si>
    <t>Double-click shaded cells to make selection</t>
  </si>
  <si>
    <t>&lt;=== Do not Delete</t>
  </si>
  <si>
    <t>Current Year</t>
  </si>
  <si>
    <t>TOTAL</t>
  </si>
  <si>
    <t>&gt;</t>
  </si>
  <si>
    <t>DEP(402000),402000,GROUPRR,DEP(401000),401000,R_CONTRACT,403000,403990,ROOMS_TOT</t>
  </si>
  <si>
    <t>R_CONTRACT</t>
  </si>
  <si>
    <t>(Drill Down Indicator - Double Click)</t>
  </si>
  <si>
    <t>402100</t>
  </si>
  <si>
    <t>402130</t>
  </si>
  <si>
    <t>402530</t>
  </si>
  <si>
    <t>402500</t>
  </si>
  <si>
    <t>402540</t>
  </si>
  <si>
    <t>402550</t>
  </si>
  <si>
    <t>402560</t>
  </si>
  <si>
    <t>402600</t>
  </si>
  <si>
    <t>402300</t>
  </si>
  <si>
    <t>402350</t>
  </si>
  <si>
    <t>402400</t>
  </si>
  <si>
    <t>402700</t>
  </si>
  <si>
    <t>402730</t>
  </si>
  <si>
    <t>401100</t>
  </si>
  <si>
    <t>401500</t>
  </si>
  <si>
    <t>401400</t>
  </si>
  <si>
    <t>401600</t>
  </si>
  <si>
    <t>401300</t>
  </si>
  <si>
    <t>401330</t>
  </si>
  <si>
    <t>401700</t>
  </si>
  <si>
    <t>902000</t>
  </si>
  <si>
    <t>S_RETAIL</t>
  </si>
  <si>
    <t>902100</t>
  </si>
  <si>
    <t>902130</t>
  </si>
  <si>
    <t>S_DISCNT</t>
  </si>
  <si>
    <t>902530</t>
  </si>
  <si>
    <t>902500</t>
  </si>
  <si>
    <t>902540</t>
  </si>
  <si>
    <t>902550</t>
  </si>
  <si>
    <t>902560</t>
  </si>
  <si>
    <t>902600</t>
  </si>
  <si>
    <t>S_NEGOT</t>
  </si>
  <si>
    <t>902300</t>
  </si>
  <si>
    <t>902350</t>
  </si>
  <si>
    <t>902200</t>
  </si>
  <si>
    <t>S_QUALF</t>
  </si>
  <si>
    <t>902700</t>
  </si>
  <si>
    <t>902730</t>
  </si>
  <si>
    <t>902400</t>
  </si>
  <si>
    <t>901000</t>
  </si>
  <si>
    <t>S_CORP</t>
  </si>
  <si>
    <t>901100</t>
  </si>
  <si>
    <t>901500</t>
  </si>
  <si>
    <t>S_ASSCN</t>
  </si>
  <si>
    <t>901200</t>
  </si>
  <si>
    <t>901600</t>
  </si>
  <si>
    <t>901800</t>
  </si>
  <si>
    <t>S_TOURW</t>
  </si>
  <si>
    <t>901300</t>
  </si>
  <si>
    <t>901330</t>
  </si>
  <si>
    <t>901400</t>
  </si>
  <si>
    <t>901700</t>
  </si>
  <si>
    <t>R_STAT</t>
  </si>
  <si>
    <t>900200</t>
  </si>
  <si>
    <t>BLANKROW</t>
  </si>
  <si>
    <t>903100</t>
  </si>
  <si>
    <t>ADR_INDT</t>
  </si>
  <si>
    <t>ADR_GROP</t>
  </si>
  <si>
    <t>ADR_CORPT</t>
  </si>
  <si>
    <t>ADR_CORP</t>
  </si>
  <si>
    <t>ADR_ENTR</t>
  </si>
  <si>
    <t>ADR_ASSCN</t>
  </si>
  <si>
    <t>ADR_ASSC</t>
  </si>
  <si>
    <t>ADR_CONV</t>
  </si>
  <si>
    <t>ADR_GGOV</t>
  </si>
  <si>
    <t>ADR_TOURW</t>
  </si>
  <si>
    <t>ADR_WHTT</t>
  </si>
  <si>
    <t>ADR_MICE</t>
  </si>
  <si>
    <t>ADR_SMERF</t>
  </si>
  <si>
    <t>ADR_RETAIL</t>
  </si>
  <si>
    <t>ADR_ROOM</t>
  </si>
  <si>
    <t>ADR_RWEB</t>
  </si>
  <si>
    <t>ADR_DISCNT</t>
  </si>
  <si>
    <t>ADR_PACK</t>
  </si>
  <si>
    <t>ADR_OTA</t>
  </si>
  <si>
    <t>ADR_BMPRO</t>
  </si>
  <si>
    <t>ADR_ADVPR</t>
  </si>
  <si>
    <t>ADR_LDISCNT</t>
  </si>
  <si>
    <t>ADR_PAPR</t>
  </si>
  <si>
    <t>ADR_NEGOT</t>
  </si>
  <si>
    <t>ADR_CONS</t>
  </si>
  <si>
    <t>ADR_NNEG</t>
  </si>
  <si>
    <t>ADR_LNEG</t>
  </si>
  <si>
    <t>ADR_QUALF</t>
  </si>
  <si>
    <t>ADR_QUDI</t>
  </si>
  <si>
    <t>ADR_TGOV</t>
  </si>
  <si>
    <t>ADR_WHOL</t>
  </si>
  <si>
    <t>KPI_ADR</t>
  </si>
  <si>
    <t>DEFAULT</t>
  </si>
  <si>
    <t>ADR_CONT</t>
  </si>
  <si>
    <t>904100</t>
  </si>
  <si>
    <t>905100</t>
  </si>
  <si>
    <t>905200</t>
  </si>
  <si>
    <t>905300</t>
  </si>
  <si>
    <t>906100</t>
  </si>
  <si>
    <t>907100</t>
  </si>
  <si>
    <t>907200</t>
  </si>
  <si>
    <t>907300</t>
  </si>
  <si>
    <t>Market Mix Analysis</t>
  </si>
  <si>
    <t>710150</t>
  </si>
  <si>
    <t>710140</t>
  </si>
  <si>
    <t>710145</t>
  </si>
  <si>
    <t>710160</t>
  </si>
  <si>
    <t>710170</t>
  </si>
  <si>
    <t>710180</t>
  </si>
  <si>
    <t>710190</t>
  </si>
  <si>
    <t>TLFEE</t>
  </si>
  <si>
    <t>TLCST</t>
  </si>
  <si>
    <t>TLOTHR</t>
  </si>
  <si>
    <t>910200</t>
  </si>
  <si>
    <t>RESATHOTEL</t>
  </si>
  <si>
    <t>910220</t>
  </si>
  <si>
    <t>910230</t>
  </si>
  <si>
    <t>910240</t>
  </si>
  <si>
    <t>910250</t>
  </si>
  <si>
    <t>TLNETRES</t>
  </si>
  <si>
    <t>D_RESV_CON</t>
  </si>
  <si>
    <t>910200,BLANKROW,DEP(TLNETRES),TLNETRES</t>
  </si>
  <si>
    <t>RESVEXP</t>
  </si>
  <si>
    <t>RESVSTAT</t>
  </si>
  <si>
    <t>OTHRESV</t>
  </si>
  <si>
    <t>Reservations Operating Expenses</t>
  </si>
  <si>
    <t>Total Reservations Expense</t>
  </si>
  <si>
    <t>ACCOUNT.ID=710000</t>
  </si>
  <si>
    <t>CRS Fee Per Call</t>
  </si>
  <si>
    <t>Net Booking Fee Per Reservation</t>
  </si>
  <si>
    <t>Kimpton Fee Per Available Room</t>
  </si>
  <si>
    <t>GDS Cost Per Reservation</t>
  </si>
  <si>
    <t>Hotel Website Fee Per Reservation</t>
  </si>
  <si>
    <t>E-Channel Fee Per Reservation</t>
  </si>
  <si>
    <t>Total Res. Exp. Per Reservation</t>
  </si>
  <si>
    <t>Payroll Cost Per Total Net Reservation</t>
  </si>
  <si>
    <t>Total Cost Per Net Reservation</t>
  </si>
  <si>
    <t>D1120</t>
  </si>
  <si>
    <t>CURRENT</t>
  </si>
  <si>
    <t>DEP(TLFEE),TLFEE,DEP(TLOTHR),TLOTHR,710000</t>
  </si>
  <si>
    <t>S_TRMSLD</t>
  </si>
  <si>
    <t>D_REST_OUTLET</t>
  </si>
  <si>
    <t>FOOD</t>
  </si>
  <si>
    <t>461100</t>
  </si>
  <si>
    <t>462100</t>
  </si>
  <si>
    <t>463100</t>
  </si>
  <si>
    <t>464100</t>
  </si>
  <si>
    <t>465100</t>
  </si>
  <si>
    <t>REV_F</t>
  </si>
  <si>
    <t>BEV</t>
  </si>
  <si>
    <t>BEV_B</t>
  </si>
  <si>
    <t>BEV_L</t>
  </si>
  <si>
    <t>BEV_D</t>
  </si>
  <si>
    <t>BEV_BAR</t>
  </si>
  <si>
    <t>BEV_PD</t>
  </si>
  <si>
    <t>REV_BEV</t>
  </si>
  <si>
    <t>REV_FB</t>
  </si>
  <si>
    <t>468300</t>
  </si>
  <si>
    <t>468350</t>
  </si>
  <si>
    <t>468550</t>
  </si>
  <si>
    <t>REV_OTHR</t>
  </si>
  <si>
    <t>Filter</t>
  </si>
  <si>
    <t>OTHR_REV</t>
  </si>
  <si>
    <t>400000</t>
  </si>
  <si>
    <t>COS</t>
  </si>
  <si>
    <t>REV_SVCCHG</t>
  </si>
  <si>
    <t>REV_MISC_OTHR</t>
  </si>
  <si>
    <t>COSFB</t>
  </si>
  <si>
    <t>561100</t>
  </si>
  <si>
    <t>COS_FB</t>
  </si>
  <si>
    <t>COSOTH</t>
  </si>
  <si>
    <t>COS_OTHR</t>
  </si>
  <si>
    <t>500001</t>
  </si>
  <si>
    <t>RETAIN(NONMGMT)</t>
  </si>
  <si>
    <t>SALY_MGMT,NONMGMT,DEP(HRLY_NONMGMT),600001,DEP(PAY_OTHER),PAYSUB1,PAYRLTD,DEP(PAY_RELATED),PAY_RELATED,600000</t>
  </si>
  <si>
    <t>KPI_GP</t>
  </si>
  <si>
    <t>NOEXPAND</t>
  </si>
  <si>
    <t>461200</t>
  </si>
  <si>
    <t>461300</t>
  </si>
  <si>
    <t>461400</t>
  </si>
  <si>
    <t>946100</t>
  </si>
  <si>
    <t>946200</t>
  </si>
  <si>
    <t>946300</t>
  </si>
  <si>
    <t>946400</t>
  </si>
  <si>
    <t>462200</t>
  </si>
  <si>
    <t>463200</t>
  </si>
  <si>
    <t>462400</t>
  </si>
  <si>
    <t>463400</t>
  </si>
  <si>
    <t>462300</t>
  </si>
  <si>
    <t>463300</t>
  </si>
  <si>
    <t>Bar</t>
  </si>
  <si>
    <t>464200</t>
  </si>
  <si>
    <t>464400</t>
  </si>
  <si>
    <t>464300</t>
  </si>
  <si>
    <t>KPI_AC</t>
  </si>
  <si>
    <t>Breakfast</t>
  </si>
  <si>
    <t>KPI_BAC</t>
  </si>
  <si>
    <t>Lunch</t>
  </si>
  <si>
    <t>KPI_LAC</t>
  </si>
  <si>
    <t>Dinner</t>
  </si>
  <si>
    <t>KPI_DAC</t>
  </si>
  <si>
    <t>KPI_B</t>
  </si>
  <si>
    <t>KPI_L</t>
  </si>
  <si>
    <t>KPI_D</t>
  </si>
  <si>
    <t>465200</t>
  </si>
  <si>
    <t>465400</t>
  </si>
  <si>
    <t>465300</t>
  </si>
  <si>
    <t>Private Dining</t>
  </si>
  <si>
    <t>KPI_PDAC</t>
  </si>
  <si>
    <t>946500</t>
  </si>
  <si>
    <t>KPI_BAR</t>
  </si>
  <si>
    <t>KPI_BARAC</t>
  </si>
  <si>
    <t>REV_PD</t>
  </si>
  <si>
    <t>Revenue Mix, Average Check, Covers</t>
  </si>
  <si>
    <t>946000</t>
  </si>
  <si>
    <t>HWHRLY_FBKIT</t>
  </si>
  <si>
    <t>HWHRLY_FBVEN</t>
  </si>
  <si>
    <t>Covers/ Labor Hour</t>
  </si>
  <si>
    <t>F&amp;B Kitchen</t>
  </si>
  <si>
    <t>F&amp;B Venues</t>
  </si>
  <si>
    <t>Liquor</t>
  </si>
  <si>
    <t>Wine</t>
  </si>
  <si>
    <t>Beer</t>
  </si>
  <si>
    <t>KPI_CL</t>
  </si>
  <si>
    <t>KPI_CW</t>
  </si>
  <si>
    <t>KPI_CB</t>
  </si>
  <si>
    <t>Beverage Revenue Mix</t>
  </si>
  <si>
    <t>(Revenue mix expressed as % of F&amp;B Revenue)</t>
  </si>
  <si>
    <t>Average Check - Verify</t>
  </si>
  <si>
    <t>D_RS_CON</t>
  </si>
  <si>
    <t>D_BCC_CON</t>
  </si>
  <si>
    <t>Totals</t>
  </si>
  <si>
    <t>D1149</t>
  </si>
  <si>
    <t>467100</t>
  </si>
  <si>
    <t>467200</t>
  </si>
  <si>
    <t>467300</t>
  </si>
  <si>
    <t>567100</t>
  </si>
  <si>
    <t>567200</t>
  </si>
  <si>
    <t>567300</t>
  </si>
  <si>
    <t>Food &amp; Beverage</t>
  </si>
  <si>
    <t>EXPANSION 2</t>
  </si>
  <si>
    <t>D_REST_CON</t>
  </si>
  <si>
    <t>D_REST_OUTLET,D_RS_CON,D_BCC_CON,D1149,D_REST_CON</t>
  </si>
  <si>
    <t>REV_F,|REV_BEV</t>
  </si>
  <si>
    <t>Static</t>
  </si>
  <si>
    <t>Mini Bar</t>
  </si>
  <si>
    <t>REV_MBFB</t>
  </si>
  <si>
    <t>GL</t>
  </si>
  <si>
    <t>D_TELCOM</t>
  </si>
  <si>
    <t>D1132</t>
  </si>
  <si>
    <t>420300</t>
  </si>
  <si>
    <t>REV_SKIN</t>
  </si>
  <si>
    <t>REV_HAIR</t>
  </si>
  <si>
    <t>REV_NAIL</t>
  </si>
  <si>
    <t>REV_FITNES</t>
  </si>
  <si>
    <t>420350</t>
  </si>
  <si>
    <t>REV_MEMBR</t>
  </si>
  <si>
    <t>REV_SPARET</t>
  </si>
  <si>
    <t>420700</t>
  </si>
  <si>
    <t>420990</t>
  </si>
  <si>
    <t>520600</t>
  </si>
  <si>
    <t>520650</t>
  </si>
  <si>
    <t>COS_SPARET</t>
  </si>
  <si>
    <t>D1133</t>
  </si>
  <si>
    <t>430100</t>
  </si>
  <si>
    <t>REV_VALPRK</t>
  </si>
  <si>
    <t>430300</t>
  </si>
  <si>
    <t>430990</t>
  </si>
  <si>
    <t>530100</t>
  </si>
  <si>
    <t>D1136</t>
  </si>
  <si>
    <t>440100</t>
  </si>
  <si>
    <t>440200</t>
  </si>
  <si>
    <t>440300</t>
  </si>
  <si>
    <t>440400</t>
  </si>
  <si>
    <t>440500</t>
  </si>
  <si>
    <t>440600</t>
  </si>
  <si>
    <t>440700</t>
  </si>
  <si>
    <t>440800</t>
  </si>
  <si>
    <t>440900</t>
  </si>
  <si>
    <t>440990</t>
  </si>
  <si>
    <t>540100</t>
  </si>
  <si>
    <t>540200</t>
  </si>
  <si>
    <t>540300</t>
  </si>
  <si>
    <t>540400</t>
  </si>
  <si>
    <t>540500</t>
  </si>
  <si>
    <t>540600</t>
  </si>
  <si>
    <t>540700</t>
  </si>
  <si>
    <t>540800</t>
  </si>
  <si>
    <t>540900</t>
  </si>
  <si>
    <t>D2149</t>
  </si>
  <si>
    <t>469100</t>
  </si>
  <si>
    <t>469200</t>
  </si>
  <si>
    <t>469300</t>
  </si>
  <si>
    <t>469400</t>
  </si>
  <si>
    <t>469500</t>
  </si>
  <si>
    <t>469600</t>
  </si>
  <si>
    <t>469700</t>
  </si>
  <si>
    <t>469800</t>
  </si>
  <si>
    <t>569100</t>
  </si>
  <si>
    <t>569200</t>
  </si>
  <si>
    <t>569300</t>
  </si>
  <si>
    <t>569400</t>
  </si>
  <si>
    <t>569500</t>
  </si>
  <si>
    <t>569600</t>
  </si>
  <si>
    <t>569700</t>
  </si>
  <si>
    <t>569800</t>
  </si>
  <si>
    <t>D1138</t>
  </si>
  <si>
    <t>410000</t>
  </si>
  <si>
    <t>450100</t>
  </si>
  <si>
    <t>450150</t>
  </si>
  <si>
    <t>450200</t>
  </si>
  <si>
    <t>450250</t>
  </si>
  <si>
    <t>450300</t>
  </si>
  <si>
    <t>450350</t>
  </si>
  <si>
    <t>450400</t>
  </si>
  <si>
    <t>450450</t>
  </si>
  <si>
    <t>450500</t>
  </si>
  <si>
    <t>450550</t>
  </si>
  <si>
    <t>450600</t>
  </si>
  <si>
    <t>450650</t>
  </si>
  <si>
    <t>510000</t>
  </si>
  <si>
    <t>550100</t>
  </si>
  <si>
    <t>550150</t>
  </si>
  <si>
    <t>550200</t>
  </si>
  <si>
    <t>550250</t>
  </si>
  <si>
    <t>550300</t>
  </si>
  <si>
    <t>550350</t>
  </si>
  <si>
    <t>550400</t>
  </si>
  <si>
    <t>550450</t>
  </si>
  <si>
    <t>550500</t>
  </si>
  <si>
    <t>550550</t>
  </si>
  <si>
    <t>550600</t>
  </si>
  <si>
    <t>550650</t>
  </si>
  <si>
    <t>Guest Communication</t>
  </si>
  <si>
    <t>Movie</t>
  </si>
  <si>
    <t>Guest Laundry</t>
  </si>
  <si>
    <t>In Room Fax</t>
  </si>
  <si>
    <t>In Room Items</t>
  </si>
  <si>
    <t>Massage</t>
  </si>
  <si>
    <t>Other 1</t>
  </si>
  <si>
    <t>Other 2</t>
  </si>
  <si>
    <t>Other 3</t>
  </si>
  <si>
    <t>Other 4</t>
  </si>
  <si>
    <t>Other 5</t>
  </si>
  <si>
    <t>Other 6</t>
  </si>
  <si>
    <t>Total Department Profit (Loss)</t>
  </si>
  <si>
    <t>D_OTHER_CON</t>
  </si>
  <si>
    <t>DIRECTEXP</t>
  </si>
  <si>
    <t>DEPARTMENT.HLEVEL&lt;&gt;3</t>
  </si>
  <si>
    <t>DEPARTMENT.HLEVEL=3</t>
  </si>
  <si>
    <t>400000|DIRECTEXP|TOTDEPTPL</t>
  </si>
  <si>
    <t>D_TELCOM,D1132,D1133,D1136,D2149,D1138</t>
  </si>
  <si>
    <t>Total Departmental Expenses</t>
  </si>
  <si>
    <t>Total Departmental Revenues</t>
  </si>
  <si>
    <t>Total Departmental Profit</t>
  </si>
  <si>
    <t>D_ROI_CON</t>
  </si>
  <si>
    <t>468990</t>
  </si>
  <si>
    <t>469990</t>
  </si>
  <si>
    <t>450375</t>
  </si>
  <si>
    <t>450380</t>
  </si>
  <si>
    <t>450385</t>
  </si>
  <si>
    <t>450390</t>
  </si>
  <si>
    <t>450395</t>
  </si>
  <si>
    <t>ALLOW_MOP</t>
  </si>
  <si>
    <t>550375</t>
  </si>
  <si>
    <t>550380</t>
  </si>
  <si>
    <t>550385</t>
  </si>
  <si>
    <t>550390</t>
  </si>
  <si>
    <t>550395</t>
  </si>
  <si>
    <t>ALLOW_FB</t>
  </si>
  <si>
    <t>Gym Pass</t>
  </si>
  <si>
    <t>Shared Facilities &amp; Services</t>
  </si>
  <si>
    <t>Retail Kiosk</t>
  </si>
  <si>
    <t>Vending Machines</t>
  </si>
  <si>
    <t>Laundry Machines</t>
  </si>
  <si>
    <t>Occasional F&amp;B</t>
  </si>
  <si>
    <t>EXP</t>
  </si>
  <si>
    <t>ADROCC</t>
  </si>
  <si>
    <t>KPI_OCCUPC</t>
  </si>
  <si>
    <t>Total ADR/ OCC%</t>
  </si>
  <si>
    <t>D_AG_CON</t>
  </si>
  <si>
    <t>D_AGHR</t>
  </si>
  <si>
    <t>D_CON</t>
  </si>
  <si>
    <t>D_IT_CON</t>
  </si>
  <si>
    <t>SYSEXP</t>
  </si>
  <si>
    <t>ITSYS_EXP</t>
  </si>
  <si>
    <t>DEP(ITSYS_EXP)|DEP(700000) AND ID &lt;&gt; ITSYS_EXP AND ID &lt;&gt; 707900</t>
  </si>
  <si>
    <t>COSSRVC</t>
  </si>
  <si>
    <t>DEP(707900)</t>
  </si>
  <si>
    <t>707901</t>
  </si>
  <si>
    <t>707902</t>
  </si>
  <si>
    <t>707903</t>
  </si>
  <si>
    <t>707904</t>
  </si>
  <si>
    <t>707905</t>
  </si>
  <si>
    <t>707900</t>
  </si>
  <si>
    <t>D_SM_CON</t>
  </si>
  <si>
    <t>D_PM_CON</t>
  </si>
  <si>
    <t>D_EC_CON</t>
  </si>
  <si>
    <t>DEP(717000),702600</t>
  </si>
  <si>
    <t>D_MGMT_CON</t>
  </si>
  <si>
    <t>DEP(731000)</t>
  </si>
  <si>
    <t>MGTFEES</t>
  </si>
  <si>
    <t>D_FIXED</t>
  </si>
  <si>
    <t>TOTAL_RENT</t>
  </si>
  <si>
    <t>TOTAL_TAX</t>
  </si>
  <si>
    <t>804100</t>
  </si>
  <si>
    <t>804110</t>
  </si>
  <si>
    <t>804120</t>
  </si>
  <si>
    <t>804000</t>
  </si>
  <si>
    <t>RENT_LB</t>
  </si>
  <si>
    <t>RENT_OTH</t>
  </si>
  <si>
    <t>752100</t>
  </si>
  <si>
    <t>752200</t>
  </si>
  <si>
    <t>752300</t>
  </si>
  <si>
    <t>752400</t>
  </si>
  <si>
    <t>751100</t>
  </si>
  <si>
    <t>751200</t>
  </si>
  <si>
    <t>751300</t>
  </si>
  <si>
    <t>751400</t>
  </si>
  <si>
    <t>751500</t>
  </si>
  <si>
    <t>751000</t>
  </si>
  <si>
    <t>801290</t>
  </si>
  <si>
    <t>801300</t>
  </si>
  <si>
    <t>801360</t>
  </si>
  <si>
    <t>MISC_NONOP</t>
  </si>
  <si>
    <t>801000</t>
  </si>
  <si>
    <t>OTHEXP</t>
  </si>
  <si>
    <t>INCOME</t>
  </si>
  <si>
    <t>OTHR_DESC</t>
  </si>
  <si>
    <t>PROP_OTAX</t>
  </si>
  <si>
    <t>RENT_DESC</t>
  </si>
  <si>
    <t>UTIL</t>
  </si>
  <si>
    <t>DEP(804000),804000,RENT_DESC,DEP(TOTAL_RENT),TOTAL_RENT,PROP_OTAX,DEP(TOTAL_TAX),TOTAL_TAX,INSRC,DEP(751000),751000,OTHR_DESC,DEP(801000),801000</t>
  </si>
  <si>
    <t>INSRC</t>
  </si>
  <si>
    <t>FONT,INDENTLEVEL</t>
  </si>
  <si>
    <t>D1228</t>
  </si>
  <si>
    <t>PAYRLTD</t>
  </si>
  <si>
    <t>799999</t>
  </si>
  <si>
    <t>Total Allocations</t>
  </si>
  <si>
    <t>Cost of House Laundry</t>
  </si>
  <si>
    <t>Total Credits</t>
  </si>
  <si>
    <t>Net Recovery</t>
  </si>
  <si>
    <t>D2259</t>
  </si>
  <si>
    <t>Supplemental Pay</t>
  </si>
  <si>
    <t>Payroll Taxes</t>
  </si>
  <si>
    <t>Employee Benefits</t>
  </si>
  <si>
    <t>D_ALLOC_CON</t>
  </si>
  <si>
    <t>DEPEXP</t>
  </si>
  <si>
    <t>UNDEXP</t>
  </si>
  <si>
    <t>D_UNALLOC_CON</t>
  </si>
  <si>
    <t>KPI_GOP</t>
  </si>
  <si>
    <t>D_PROP</t>
  </si>
  <si>
    <t xml:space="preserve">  </t>
  </si>
  <si>
    <t>EBITDA</t>
  </si>
  <si>
    <t>801100</t>
  </si>
  <si>
    <t>801400</t>
  </si>
  <si>
    <t>801900</t>
  </si>
  <si>
    <t>INCBEFNON</t>
  </si>
  <si>
    <t>NONOPP</t>
  </si>
  <si>
    <t>INTDEPAMT</t>
  </si>
  <si>
    <t>INCBEFTAX</t>
  </si>
  <si>
    <t>803000</t>
  </si>
  <si>
    <t>NETINCOME</t>
  </si>
  <si>
    <t>992200</t>
  </si>
  <si>
    <t>EBITDA: Less Replacement Reserve</t>
  </si>
  <si>
    <t>KPI_REVPAR</t>
  </si>
  <si>
    <t>D_Const_and_Reno</t>
  </si>
  <si>
    <t>NetIncome</t>
  </si>
  <si>
    <t>Total Other - Reported</t>
  </si>
  <si>
    <t>Other</t>
  </si>
  <si>
    <t>("Other" manual recalculation due to Construction and Reno departments impact.  Kimpton rolls the net affect into "Pre-Opening Expense", under Other.</t>
  </si>
  <si>
    <t>Total Other - recalcualted</t>
  </si>
  <si>
    <t>("Other" manual recalculation due to Construction and Reno departments impact)</t>
  </si>
  <si>
    <t>FRAME</t>
  </si>
  <si>
    <t>dept profit</t>
  </si>
  <si>
    <t>789110</t>
  </si>
  <si>
    <t>789115</t>
  </si>
  <si>
    <t>DEP(ALLOC_OUT)</t>
  </si>
  <si>
    <t>Allocations</t>
  </si>
  <si>
    <t>Credits</t>
  </si>
  <si>
    <t>ActualFlag</t>
  </si>
  <si>
    <t>TIMEID</t>
  </si>
  <si>
    <t>MONTH</t>
  </si>
  <si>
    <t>PERIOD</t>
  </si>
  <si>
    <t>MEASURE</t>
  </si>
  <si>
    <t>ForecastYear</t>
  </si>
  <si>
    <t>JAN</t>
  </si>
  <si>
    <t>FEB</t>
  </si>
  <si>
    <t>MAR</t>
  </si>
  <si>
    <t>APR</t>
  </si>
  <si>
    <t>MAY</t>
  </si>
  <si>
    <t>JUN</t>
  </si>
  <si>
    <t>JUL</t>
  </si>
  <si>
    <t>AUG</t>
  </si>
  <si>
    <t>SEP</t>
  </si>
  <si>
    <t>OCT</t>
  </si>
  <si>
    <t>NOV</t>
  </si>
  <si>
    <t>DEC</t>
  </si>
  <si>
    <t>P01</t>
  </si>
  <si>
    <t>P02</t>
  </si>
  <si>
    <t>P03</t>
  </si>
  <si>
    <t>P04</t>
  </si>
  <si>
    <t>P05</t>
  </si>
  <si>
    <t>P06</t>
  </si>
  <si>
    <t>P07</t>
  </si>
  <si>
    <t>P08</t>
  </si>
  <si>
    <t>P09</t>
  </si>
  <si>
    <t>P10</t>
  </si>
  <si>
    <t>P11</t>
  </si>
  <si>
    <t>P12</t>
  </si>
  <si>
    <t>Monthly Data Columns</t>
  </si>
  <si>
    <t>&lt;=== Select Time (Year)</t>
  </si>
  <si>
    <t>Comparison 1 Column</t>
  </si>
  <si>
    <t>Comparison 2 Column</t>
  </si>
  <si>
    <t>VARIANCE</t>
  </si>
  <si>
    <t>Trailing 12 Option</t>
  </si>
  <si>
    <t>1.  Check the box</t>
  </si>
  <si>
    <t>3.  Expand All</t>
  </si>
  <si>
    <t>2.  Select ending month of the trailing 12 period</t>
  </si>
  <si>
    <t>COS_BEV</t>
  </si>
  <si>
    <t>568300</t>
  </si>
  <si>
    <t>568350</t>
  </si>
  <si>
    <t>COS_MISC</t>
  </si>
  <si>
    <t>455100</t>
  </si>
  <si>
    <t>455200</t>
  </si>
  <si>
    <t>455250</t>
  </si>
  <si>
    <t>455300</t>
  </si>
  <si>
    <t>455400</t>
  </si>
  <si>
    <t>455500</t>
  </si>
  <si>
    <t>455510</t>
  </si>
  <si>
    <t>455550</t>
  </si>
  <si>
    <t>455560</t>
  </si>
  <si>
    <t>455565</t>
  </si>
  <si>
    <t>455570</t>
  </si>
  <si>
    <t>455575</t>
  </si>
  <si>
    <t>455580</t>
  </si>
  <si>
    <t>455600</t>
  </si>
  <si>
    <t>455610</t>
  </si>
  <si>
    <t>455650</t>
  </si>
  <si>
    <t>410100</t>
  </si>
  <si>
    <t>410200</t>
  </si>
  <si>
    <t>410300</t>
  </si>
  <si>
    <t>410400</t>
  </si>
  <si>
    <t>410500</t>
  </si>
  <si>
    <t>510100</t>
  </si>
  <si>
    <t>510200</t>
  </si>
  <si>
    <t>510300</t>
  </si>
  <si>
    <t>510400</t>
  </si>
  <si>
    <t>Cost of Staff Dining</t>
  </si>
  <si>
    <t>Net Recovery - Check</t>
  </si>
  <si>
    <t/>
  </si>
  <si>
    <t>1.  Select Business Unit from Current View Action Pane</t>
  </si>
  <si>
    <t>Instructions:</t>
  </si>
  <si>
    <t>Category Glossary</t>
  </si>
  <si>
    <t>Print to PDF Instructions:</t>
  </si>
  <si>
    <t>2.  Select Save As &gt; "PDF or XPS"</t>
  </si>
  <si>
    <t>4.  Set options as shown in screen shot. (recommended options)</t>
  </si>
  <si>
    <t>5.  Select Options button.   You can change options to suit your needs.</t>
  </si>
  <si>
    <t>a.  Page Range:  All</t>
  </si>
  <si>
    <t>b.  Publish what:  Entire workbook (to publish all tabs)</t>
  </si>
  <si>
    <t>c.  Leave remaining default selections</t>
  </si>
  <si>
    <t>3.  Select local disk and folder where you want file saved.  Ensure Save As Type is "PDF"</t>
  </si>
  <si>
    <t>6.  Click "OK"</t>
  </si>
  <si>
    <t>7.  Click "Publish".  PDF will be created in the location you specified</t>
  </si>
  <si>
    <t>&gt;  No longer do we use BPC's ePublish tool for this report</t>
  </si>
  <si>
    <t>ACTUAL_CON</t>
  </si>
  <si>
    <t>ACTUAL</t>
  </si>
  <si>
    <t>HISTORY</t>
  </si>
  <si>
    <t>BUDGET</t>
  </si>
  <si>
    <t>BUD_PROOF</t>
  </si>
  <si>
    <t>JANFORECAST</t>
  </si>
  <si>
    <t>FEBFORECAST</t>
  </si>
  <si>
    <t>MARFORECAST</t>
  </si>
  <si>
    <t>APRFORECAST</t>
  </si>
  <si>
    <t>MAYFORECAST</t>
  </si>
  <si>
    <t>JUNFORECAST</t>
  </si>
  <si>
    <t>JULFORECAST</t>
  </si>
  <si>
    <t>AUGFORECAST</t>
  </si>
  <si>
    <t>SEPFORECAST</t>
  </si>
  <si>
    <t>OCTFORECAST</t>
  </si>
  <si>
    <t>NOVFORECAST</t>
  </si>
  <si>
    <t>DECFORECAST</t>
  </si>
  <si>
    <t>BUDSNAP</t>
  </si>
  <si>
    <t>Rollup of ACTUAL+HISTORY</t>
  </si>
  <si>
    <t>Actual from JDE</t>
  </si>
  <si>
    <t>Pre Kimpton History from JDE</t>
  </si>
  <si>
    <t>Final Budgets (Read only)</t>
  </si>
  <si>
    <t>Forecast (user input)</t>
  </si>
  <si>
    <t>Working Budgets (user input)</t>
  </si>
  <si>
    <t>Forecast Snap (Mar - Dec Forecast + Actual through Feb)</t>
  </si>
  <si>
    <t>Forecast Snap (Apr - Dec Forecast + Actual through Mar)</t>
  </si>
  <si>
    <t>Forecast Snap (May - Dec Forecast + Actual through Apr)</t>
  </si>
  <si>
    <t>Forecast Snap (Jun - Dec Forecast + Actual through May)</t>
  </si>
  <si>
    <t>Forecast Snap (Jul - Dec Forecast + Actual through Jun)</t>
  </si>
  <si>
    <t>Forecast Snap (Aug - Dec Forecast + Actual through Jul)</t>
  </si>
  <si>
    <t>Forecast Snap (Sep - Dec Forecast + Actual through Aug)</t>
  </si>
  <si>
    <t>Forecast Snap (Oct - Dec Forecast + Actual through Sep)</t>
  </si>
  <si>
    <t>Forecast Snap (Feb - Dec Forecast + Jan Actual)</t>
  </si>
  <si>
    <t>1.  Click Excel Office Button, upper left corner</t>
  </si>
  <si>
    <t>Forecast Snap (Nov - Dec Forecast + Actual through Oct)</t>
  </si>
  <si>
    <t>Forecast Snap (Dec Forecast + Actual through Nov)</t>
  </si>
  <si>
    <t>Forecast Snap captured for budget comparisons</t>
  </si>
  <si>
    <t>OR Active Sheets (to publish sheets you have selected)</t>
  </si>
  <si>
    <t>a.  The category and time for each set of data columns are independent and driven by user selection</t>
  </si>
  <si>
    <t>c.  Double-click the blue shaded cells to see the various data choices and comparisons</t>
  </si>
  <si>
    <t>e.  See Category Glossary for additional information</t>
  </si>
  <si>
    <t>b.  To expand/update a single tab, right mouse click, select EVDRE: Expand &amp; Refresh &gt; Active Sheet</t>
  </si>
  <si>
    <t>Forecast Snap (Jan - Dec Forecast, no Actual)</t>
  </si>
  <si>
    <t>D2140</t>
  </si>
  <si>
    <t>D2141</t>
  </si>
  <si>
    <t>XXXX.INP</t>
  </si>
  <si>
    <t>A_NONE</t>
  </si>
  <si>
    <t>Non_InterCo</t>
  </si>
  <si>
    <t>INPUT</t>
  </si>
  <si>
    <t>&lt;=== Venue Name (unique comment)</t>
  </si>
  <si>
    <t>D2142</t>
  </si>
  <si>
    <t>D2145</t>
  </si>
  <si>
    <t>D2146</t>
  </si>
  <si>
    <t>SALY_MGMT|DEP(HRLY_NONMGMT),600001,DEP(PAY_OTHER),PAYSUB1,PAYRLTD,DEP(PAY_RELATED),PAY_RELATED,600000|DEP(700000)</t>
  </si>
  <si>
    <t>use EVGTS here?</t>
  </si>
  <si>
    <t>DEP(SALY_MGMT)|DEP(HRLY_NONMGMT) ,600001,DEP(PAY_OTHER),PAYSUB1,PAYRLTD,DEP(PAY_RELATED),PAY_RELATED,600000|DEP(700000)</t>
  </si>
  <si>
    <t>D_AG_CON|D_AG_CON|D_AGHotRest</t>
  </si>
  <si>
    <t>use EVFTS here?</t>
  </si>
  <si>
    <t>use EVGTS?</t>
  </si>
  <si>
    <t>DEP(PAY_TAXES),PAY_TAXES|DEP(SUP_PAY),SUP_PAY|DEP(EMP_BEN),EMP_BEN|PAY_RELATED</t>
  </si>
  <si>
    <t>% expressed as % of Occupied Rooms</t>
  </si>
  <si>
    <t>ADR</t>
  </si>
  <si>
    <t>OCC%</t>
  </si>
  <si>
    <t>561100|SALY_MGMT|DEP(HRLY_NONMGMT) AND D2259=Y,600001,DEP(PAY_OTHER) AND D2259=Y,PAYSUB1,PAYRLTD,DEP(PAY_RELATED),PAY_RELATED,600000|DEP(700000) AND D2259 = Y</t>
  </si>
  <si>
    <t>SALY_MGMT|DEP(HRLY_NONMGMT) AND D1228=Y,600001,DEP(PAY_OTHER) AND D1228=Y,PAYSUB1,PAYRLTD,DEP(PAY_RELATED),PAY_RELATED,600000|DEP(700000) AND D1228 = Y AND ID &lt;&gt; LNDY_CR</t>
  </si>
  <si>
    <t>Variance</t>
  </si>
  <si>
    <t>Rev / Cost POR</t>
  </si>
  <si>
    <t>D_ROOMS</t>
  </si>
  <si>
    <t>Points</t>
  </si>
  <si>
    <t>Rev / Cost per Customer</t>
  </si>
  <si>
    <t xml:space="preserve"> Cost PAR</t>
  </si>
  <si>
    <t>(% chg)</t>
  </si>
  <si>
    <t>Flow Through</t>
  </si>
  <si>
    <t>561300</t>
  </si>
  <si>
    <t>FDCOS_PCT</t>
  </si>
  <si>
    <t>BEVCOS_PCT</t>
  </si>
  <si>
    <t>LCOS_PCT</t>
  </si>
  <si>
    <t>BCOS_PCT</t>
  </si>
  <si>
    <t>WCOS_PCT</t>
  </si>
  <si>
    <t>Mini Bar Cost %</t>
  </si>
  <si>
    <t>Total F&amp;B Cost %</t>
  </si>
  <si>
    <t>947100</t>
  </si>
  <si>
    <t>947200</t>
  </si>
  <si>
    <t>947300</t>
  </si>
  <si>
    <t>947400</t>
  </si>
  <si>
    <t>947500</t>
  </si>
  <si>
    <t>Total Cost of Sales - Check</t>
  </si>
  <si>
    <t>OWNER_EXP</t>
  </si>
  <si>
    <t>FCOS_NOMB</t>
  </si>
  <si>
    <t>FCOS_NOMB_PCT</t>
  </si>
  <si>
    <t>MBFCOS_PCT</t>
  </si>
  <si>
    <t>b.  The default selection will always be CURRENT, (current year), BUDGET (current year) and ACTUAL (prior year)</t>
  </si>
  <si>
    <t>HWHRLY_FBBQT</t>
  </si>
  <si>
    <t>Banquet &amp; Conf/Catering</t>
  </si>
  <si>
    <t>2. Select Currency from Current View Action Pane: LC for Local Currency, or USD to convert foreign currency BU's to USD</t>
  </si>
  <si>
    <t>3.  Select Category and Time from selection grid above</t>
  </si>
  <si>
    <t>4.  After making data selections you must "Expand All" to pull in data</t>
  </si>
  <si>
    <t>5.  You may delete Tabs that are not needed for your property, but be sure no data exists before deleting tabs</t>
  </si>
  <si>
    <t>All Data Columns</t>
  </si>
  <si>
    <t>&lt;=== Select Report Currency</t>
  </si>
  <si>
    <t>PSFT GL</t>
  </si>
  <si>
    <t>6.  Click the "+" button above Column N to reveal GL Account numbers</t>
  </si>
  <si>
    <t>&lt;&lt; Double Click</t>
  </si>
  <si>
    <t>a.  You may double click the 'Expand All' cell or use (click) 'Expand All' from the Excel Planning &amp; Consolidation tab</t>
  </si>
  <si>
    <t>801310</t>
  </si>
  <si>
    <t>D2143</t>
  </si>
  <si>
    <t>D2144</t>
  </si>
  <si>
    <t>470110</t>
  </si>
  <si>
    <t>471110</t>
  </si>
  <si>
    <t>BEV_RC</t>
  </si>
  <si>
    <t>Use ALT as BUD or FCST</t>
  </si>
  <si>
    <t>&lt;=== Select ALT Use</t>
  </si>
  <si>
    <t>i. When choosing an ALT scenario, it must be defined as BUD or FCST purposes in cell D8</t>
  </si>
  <si>
    <t>Alternate Scenario for budget/forecast</t>
  </si>
  <si>
    <t>ALT1</t>
  </si>
  <si>
    <t>ALT2</t>
  </si>
  <si>
    <t>ALT3</t>
  </si>
  <si>
    <t>ALT4</t>
  </si>
  <si>
    <t>Alt Scenario Cat</t>
  </si>
  <si>
    <t>801315</t>
  </si>
  <si>
    <t>Group vs Local Revenue Ratios [Expand for all Revenue accounts]</t>
  </si>
  <si>
    <t>Group BCC %</t>
  </si>
  <si>
    <t>Local BCC %</t>
  </si>
  <si>
    <t>D2248</t>
  </si>
  <si>
    <t>D2348</t>
  </si>
  <si>
    <t>Reception</t>
  </si>
  <si>
    <t>471210</t>
  </si>
  <si>
    <t>471310</t>
  </si>
  <si>
    <t>471410</t>
  </si>
  <si>
    <t>REV_RC</t>
  </si>
  <si>
    <t>946700</t>
  </si>
  <si>
    <t>KPI_RCAC</t>
  </si>
  <si>
    <t>Break</t>
  </si>
  <si>
    <t>REV_CB</t>
  </si>
  <si>
    <t>946600</t>
  </si>
  <si>
    <t>KPI_CBAC</t>
  </si>
  <si>
    <t>947600</t>
  </si>
  <si>
    <t>KPI_REVSQFT</t>
  </si>
  <si>
    <t>Food &amp; Beverage Revenue per Occupied Group Rooms</t>
  </si>
  <si>
    <t>Removed COS Section</t>
  </si>
  <si>
    <t>Removed Labor Section</t>
  </si>
  <si>
    <t>Removed Op and Oth Exp Section</t>
  </si>
  <si>
    <t>FCST</t>
  </si>
  <si>
    <t>752500</t>
  </si>
  <si>
    <r>
      <rPr>
        <b/>
        <sz val="10"/>
        <color rgb="FFFF0000"/>
        <rFont val="Calibri"/>
        <family val="2"/>
        <scheme val="minor"/>
      </rPr>
      <t>COVID-19 DISCLAIMER</t>
    </r>
    <r>
      <rPr>
        <b/>
        <sz val="10"/>
        <rFont val="Calibri"/>
        <family val="2"/>
        <scheme val="minor"/>
      </rPr>
      <t xml:space="preserve">: </t>
    </r>
    <r>
      <rPr>
        <sz val="10"/>
        <rFont val="Calibri"/>
        <family val="2"/>
        <scheme val="minor"/>
      </rPr>
      <t xml:space="preserve"> Demand in the hospitality industry continues to be negatively affected by the COVID 19 pandemic and national, state and municipal responses thereto (collectively, the “Pandemic”).   The budget and related information and projections are based on uncertain predictions of when and at what rate travel and hotel bookings will stabilize.  The hotel’s market may continue to be negatively affected by the Pandemic in a manner not reflected in the budget and related information. Various data sources used by operator to forecast results continue to be unavailable or unreliable given the increased volatility from the Pandemic. Under these conditions, Kimpton Hotel &amp; Restaurant Group, LLC and its affiliates (“KHRG”) does not have dependable economic data on which to rely and KHRG is not engaged as an economist for Owner. The Pandemic continues to be an event of force majeure that may affect the hotel’s operations in 2022.  Accordingly, Owner acknowledges that the financial projections and conclusions contained in this document are based in whole or in part on estimates and/or assumptions that are inherently uncertain and unreliable. No warranty or guaranty, either express or implied, is made as to the accuracy, completeness, reliability or reasonableness of any of the information contained herein, or as to any conclusions which may be made based thereon. Neither KHRG nor any company, director, officer or employee of KHRG or its affiliates shall have any liability for any loss or damage connected in any way with the use of or reliance on the information provided, including without limitation, under the hotel operating / management agreement between KHRG and Owner. No reference to the information provided may be published in any document or communicated to third parties, without KHRG’s prior written consent. In the event Owner provides this information to its lender, investors, partners, shareholders, etc., we require that at all times the disclaimer included on the attached remains fully intact.</t>
    </r>
  </si>
  <si>
    <t>D_AGHotRest</t>
  </si>
  <si>
    <t>701100</t>
  </si>
  <si>
    <t>701200</t>
  </si>
  <si>
    <t>701400</t>
  </si>
  <si>
    <t>701500</t>
  </si>
  <si>
    <t>702600</t>
  </si>
  <si>
    <t>TRVL_OTHR</t>
  </si>
  <si>
    <t>702900</t>
  </si>
  <si>
    <t>704600</t>
  </si>
  <si>
    <t>704700</t>
  </si>
  <si>
    <t>704800</t>
  </si>
  <si>
    <t>705000</t>
  </si>
  <si>
    <t>705100</t>
  </si>
  <si>
    <t>705200</t>
  </si>
  <si>
    <t>705500</t>
  </si>
  <si>
    <t>705800</t>
  </si>
  <si>
    <t>706000</t>
  </si>
  <si>
    <t>706100</t>
  </si>
  <si>
    <t>706500</t>
  </si>
  <si>
    <t>HRLY_ACCOT</t>
  </si>
  <si>
    <t>HRLY_HUMRE</t>
  </si>
  <si>
    <t>600001</t>
  </si>
  <si>
    <t>ADD_COMP</t>
  </si>
  <si>
    <t>PAYSUB1</t>
  </si>
  <si>
    <t>PAY_TAXES</t>
  </si>
  <si>
    <t>SUP_PAY</t>
  </si>
  <si>
    <t>EMP_BEN</t>
  </si>
  <si>
    <t>PAY_RELATED</t>
  </si>
  <si>
    <t>SALY_MGMT</t>
  </si>
  <si>
    <t>701300</t>
  </si>
  <si>
    <t>701600</t>
  </si>
  <si>
    <t>701700</t>
  </si>
  <si>
    <t>702000</t>
  </si>
  <si>
    <t>703400</t>
  </si>
  <si>
    <t>703500</t>
  </si>
  <si>
    <t>703800</t>
  </si>
  <si>
    <t>HRLY_FBBQT</t>
  </si>
  <si>
    <t>HRLY_FBKIT</t>
  </si>
  <si>
    <t>HRLY_FBVEN</t>
  </si>
  <si>
    <t>SVC_DIST</t>
  </si>
  <si>
    <t>CON_LABOR</t>
  </si>
  <si>
    <t>717100</t>
  </si>
  <si>
    <t>717200</t>
  </si>
  <si>
    <t>WS_EXP</t>
  </si>
  <si>
    <t>702300</t>
  </si>
  <si>
    <t>702500</t>
  </si>
  <si>
    <t>702580</t>
  </si>
  <si>
    <t>703000</t>
  </si>
  <si>
    <t>703200</t>
  </si>
  <si>
    <t>703300</t>
  </si>
  <si>
    <t>703510</t>
  </si>
  <si>
    <t>703600</t>
  </si>
  <si>
    <t>703700</t>
  </si>
  <si>
    <t>704100</t>
  </si>
  <si>
    <t>SALY_FBSVC</t>
  </si>
  <si>
    <t>SALY_FBKIT</t>
  </si>
  <si>
    <t>703100</t>
  </si>
  <si>
    <t>706700</t>
  </si>
  <si>
    <t>706800</t>
  </si>
  <si>
    <t>706900</t>
  </si>
  <si>
    <t>706060</t>
  </si>
  <si>
    <t>707010</t>
  </si>
  <si>
    <t>707150</t>
  </si>
  <si>
    <t>707310</t>
  </si>
  <si>
    <t>707450</t>
  </si>
  <si>
    <t>707550</t>
  </si>
  <si>
    <t>707610</t>
  </si>
  <si>
    <t>707650</t>
  </si>
  <si>
    <t>731010</t>
  </si>
  <si>
    <t>706300</t>
  </si>
  <si>
    <t>HRLY_VPARK</t>
  </si>
  <si>
    <t>715100</t>
  </si>
  <si>
    <t>715200</t>
  </si>
  <si>
    <t>715300</t>
  </si>
  <si>
    <t>POM_FE</t>
  </si>
  <si>
    <t>715600</t>
  </si>
  <si>
    <t>715700</t>
  </si>
  <si>
    <t>715800</t>
  </si>
  <si>
    <t>715900</t>
  </si>
  <si>
    <t>716000</t>
  </si>
  <si>
    <t>716100</t>
  </si>
  <si>
    <t>716200</t>
  </si>
  <si>
    <t>716300</t>
  </si>
  <si>
    <t>716400</t>
  </si>
  <si>
    <t>716500</t>
  </si>
  <si>
    <t>HRLY_POM</t>
  </si>
  <si>
    <t>693040</t>
  </si>
  <si>
    <t>CONTSP</t>
  </si>
  <si>
    <t>693160</t>
  </si>
  <si>
    <t>693200</t>
  </si>
  <si>
    <t>693280</t>
  </si>
  <si>
    <t>HEAINS</t>
  </si>
  <si>
    <t>693360</t>
  </si>
  <si>
    <t>MEALS</t>
  </si>
  <si>
    <t>693480</t>
  </si>
  <si>
    <t>WC_EXP</t>
  </si>
  <si>
    <t>692200</t>
  </si>
  <si>
    <t>692300</t>
  </si>
  <si>
    <t>WELL_PAY</t>
  </si>
  <si>
    <t>692500</t>
  </si>
  <si>
    <t>VAC_PAY</t>
  </si>
  <si>
    <t>NATLMED</t>
  </si>
  <si>
    <t>NATLRET</t>
  </si>
  <si>
    <t>NATLUNE</t>
  </si>
  <si>
    <t>STATUNE</t>
  </si>
  <si>
    <t>OTHLTAX</t>
  </si>
  <si>
    <t>701800</t>
  </si>
  <si>
    <t>703010</t>
  </si>
  <si>
    <t>704000</t>
  </si>
  <si>
    <t>704200</t>
  </si>
  <si>
    <t>704300</t>
  </si>
  <si>
    <t>704400</t>
  </si>
  <si>
    <t>704500</t>
  </si>
  <si>
    <t>HRLY_FRTOF</t>
  </si>
  <si>
    <t>HRLY_GUSVC</t>
  </si>
  <si>
    <t>HRLY_HOUSK</t>
  </si>
  <si>
    <t>HRLY_RESVS</t>
  </si>
  <si>
    <t>711100</t>
  </si>
  <si>
    <t>711200</t>
  </si>
  <si>
    <t>711400</t>
  </si>
  <si>
    <t>712100</t>
  </si>
  <si>
    <t>712200</t>
  </si>
  <si>
    <t>712400</t>
  </si>
  <si>
    <t>712600</t>
  </si>
  <si>
    <t>712800</t>
  </si>
  <si>
    <t>712900</t>
  </si>
  <si>
    <t>713000</t>
  </si>
  <si>
    <t>713100</t>
  </si>
  <si>
    <t>HRLY_SALES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</si>
</sst>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
    <numFmt numFmtId="165" formatCode="_(* #,##0_);_(* \(#,##0\);_(* &quot;-&quot;??_);_(@_)"/>
    <numFmt numFmtId="166" formatCode="#,##0.0000_);\(#,##0.0000\)"/>
  </numFmts>
  <fonts count="30"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1"/>
      <color theme="1"/>
      <name val="Verdana"/>
      <family val="2"/>
    </font>
    <font>
      <b/>
      <sz val="11"/>
      <name val="Calibri"/>
      <family val="2"/>
      <scheme val="minor"/>
    </font>
    <font>
      <sz val="10"/>
      <name val="Arial"/>
      <family val="2"/>
    </font>
    <font>
      <sz val="11"/>
      <name val="Calibri"/>
      <family val="2"/>
      <scheme val="minor"/>
    </font>
    <font>
      <b/>
      <sz val="11"/>
      <color rgb="FFFF0000"/>
      <name val="Calibri"/>
      <family val="2"/>
      <scheme val="minor"/>
    </font>
    <font>
      <sz val="11"/>
      <color rgb="FFFF0000"/>
      <name val="Calibri"/>
      <family val="2"/>
      <scheme val="minor"/>
    </font>
    <font>
      <b/>
      <sz val="9"/>
      <color indexed="81"/>
      <name val="Tahoma"/>
      <family val="2"/>
    </font>
    <font>
      <b/>
      <sz val="11"/>
      <color theme="0"/>
      <name val="Calibri"/>
      <family val="2"/>
      <scheme val="minor"/>
    </font>
    <font>
      <b/>
      <sz val="10"/>
      <name val="Arial"/>
      <family val="2"/>
    </font>
    <font>
      <b/>
      <sz val="11"/>
      <color rgb="FF5F554D"/>
      <name val="Calibri"/>
      <family val="2"/>
      <scheme val="minor"/>
    </font>
    <font>
      <b/>
      <sz val="18"/>
      <color rgb="FF00AEC7"/>
      <name val="Verdana"/>
      <family val="2"/>
    </font>
    <font>
      <sz val="11"/>
      <color rgb="FFC63527"/>
      <name val="Calibri"/>
      <family val="2"/>
      <scheme val="minor"/>
    </font>
    <font>
      <b/>
      <sz val="11"/>
      <color rgb="FFC63527"/>
      <name val="Calibri"/>
      <family val="2"/>
      <scheme val="minor"/>
    </font>
    <font>
      <b/>
      <sz val="14"/>
      <color rgb="FF6E6259"/>
      <name val="Verdana"/>
      <family val="2"/>
    </font>
    <font>
      <b/>
      <sz val="12"/>
      <color rgb="FF6E6259"/>
      <name val="Verdana"/>
      <family val="2"/>
    </font>
    <font>
      <sz val="11"/>
      <color theme="0"/>
      <name val="Calibri"/>
      <family val="2"/>
      <scheme val="minor"/>
    </font>
    <font>
      <b/>
      <sz val="12"/>
      <color theme="1"/>
      <name val="Calibri"/>
      <family val="2"/>
      <scheme val="minor"/>
    </font>
    <font>
      <b/>
      <sz val="11"/>
      <color rgb="FF000000"/>
      <name val="Verdana"/>
      <family val="2"/>
    </font>
    <font>
      <sz val="12"/>
      <color theme="1"/>
      <name val="Calibri"/>
      <family val="2"/>
      <scheme val="minor"/>
    </font>
    <font>
      <b/>
      <u/>
      <sz val="12"/>
      <color theme="1"/>
      <name val="Calibri"/>
      <family val="2"/>
      <scheme val="minor"/>
    </font>
    <font>
      <b/>
      <sz val="16"/>
      <color rgb="FF762A28"/>
      <name val="Calibri"/>
      <family val="2"/>
      <scheme val="minor"/>
    </font>
    <font>
      <b/>
      <sz val="14"/>
      <color theme="1"/>
      <name val="Calibri"/>
      <family val="2"/>
      <scheme val="minor"/>
    </font>
    <font>
      <sz val="8"/>
      <color rgb="FF000000"/>
      <name val="Tahoma"/>
      <family val="2"/>
    </font>
    <font>
      <b/>
      <sz val="10"/>
      <name val="Calibri"/>
      <family val="2"/>
      <scheme val="minor"/>
    </font>
    <font>
      <b/>
      <sz val="10"/>
      <color rgb="FFFF0000"/>
      <name val="Calibri"/>
      <family val="2"/>
      <scheme val="minor"/>
    </font>
    <font>
      <sz val="10"/>
      <name val="Calibri"/>
      <family val="2"/>
      <scheme val="minor"/>
    </font>
  </fonts>
  <fills count="23">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mediumGray">
        <fgColor theme="2" tint="-9.9948118533890809E-2"/>
        <bgColor indexed="65"/>
      </patternFill>
    </fill>
    <fill>
      <patternFill patternType="solid">
        <fgColor rgb="FF00AEC7"/>
        <bgColor indexed="64"/>
      </patternFill>
    </fill>
    <fill>
      <patternFill patternType="solid">
        <fgColor rgb="FFE1FBFF"/>
        <bgColor indexed="64"/>
      </patternFill>
    </fill>
    <fill>
      <patternFill patternType="mediumGray">
        <fgColor rgb="FFDDD9C3"/>
        <bgColor rgb="FFFFFFFF"/>
      </patternFill>
    </fill>
    <fill>
      <patternFill patternType="solid">
        <fgColor rgb="FFFFFFFF"/>
        <bgColor rgb="FF000000"/>
      </patternFill>
    </fill>
    <fill>
      <patternFill patternType="mediumGray">
        <fgColor rgb="FFDBD6D3"/>
        <bgColor indexed="9"/>
      </patternFill>
    </fill>
    <fill>
      <patternFill patternType="mediumGray">
        <fgColor rgb="FFDBD6D3"/>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s>
  <borders count="96">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59996337778862885"/>
      </left>
      <right style="thin">
        <color theme="4" tint="0.59996337778862885"/>
      </right>
      <top style="thin">
        <color theme="4" tint="0.59996337778862885"/>
      </top>
      <bottom/>
      <diagonal/>
    </border>
    <border>
      <left/>
      <right/>
      <top style="thin">
        <color rgb="FF000000"/>
      </top>
      <bottom/>
      <diagonal/>
    </border>
    <border>
      <left style="thin">
        <color theme="4" tint="0.59996337778862885"/>
      </left>
      <right style="thin">
        <color theme="4" tint="0.59996337778862885"/>
      </right>
      <top style="thin">
        <color rgb="FF000000"/>
      </top>
      <bottom style="thin">
        <color theme="4" tint="0.59996337778862885"/>
      </bottom>
      <diagonal/>
    </border>
    <border>
      <left style="thin">
        <color theme="4" tint="0.59996337778862885"/>
      </left>
      <right style="thin">
        <color theme="4" tint="0.59996337778862885"/>
      </right>
      <top style="thin">
        <color rgb="FF000000"/>
      </top>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bottom/>
      <diagonal/>
    </border>
    <border>
      <left style="thin">
        <color theme="4" tint="0.59996337778862885"/>
      </left>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right/>
      <top style="thin">
        <color theme="4" tint="0.59996337778862885"/>
      </top>
      <bottom/>
      <diagonal/>
    </border>
    <border>
      <left/>
      <right/>
      <top/>
      <bottom style="thin">
        <color theme="4" tint="0.59996337778862885"/>
      </bottom>
      <diagonal/>
    </border>
    <border>
      <left style="thin">
        <color theme="4" tint="0.59996337778862885"/>
      </left>
      <right/>
      <top/>
      <bottom/>
      <diagonal/>
    </border>
    <border>
      <left/>
      <right style="thin">
        <color theme="4" tint="0.59996337778862885"/>
      </right>
      <top/>
      <bottom/>
      <diagonal/>
    </border>
    <border>
      <left style="thin">
        <color theme="4" tint="0.59996337778862885"/>
      </left>
      <right style="thin">
        <color theme="4" tint="0.59996337778862885"/>
      </right>
      <top style="thin">
        <color indexed="64"/>
      </top>
      <bottom style="double">
        <color indexed="64"/>
      </bottom>
      <diagonal/>
    </border>
    <border>
      <left style="thin">
        <color theme="4" tint="0.59996337778862885"/>
      </left>
      <right style="thin">
        <color theme="4" tint="0.59996337778862885"/>
      </right>
      <top style="thin">
        <color auto="1"/>
      </top>
      <bottom/>
      <diagonal/>
    </border>
    <border>
      <left style="thin">
        <color rgb="FFB8CCE4"/>
      </left>
      <right style="thin">
        <color theme="4" tint="0.59996337778862885"/>
      </right>
      <top style="thin">
        <color rgb="FFB8CCE4"/>
      </top>
      <bottom style="thin">
        <color theme="4" tint="0.59996337778862885"/>
      </bottom>
      <diagonal/>
    </border>
    <border>
      <left style="thin">
        <color theme="4" tint="0.59996337778862885"/>
      </left>
      <right style="thin">
        <color theme="4" tint="0.59996337778862885"/>
      </right>
      <top style="thin">
        <color rgb="FFB8CCE4"/>
      </top>
      <bottom style="thin">
        <color theme="4" tint="0.59996337778862885"/>
      </bottom>
      <diagonal/>
    </border>
    <border>
      <left style="thin">
        <color rgb="FFB8CCE4"/>
      </left>
      <right style="thin">
        <color theme="4" tint="0.59996337778862885"/>
      </right>
      <top style="thin">
        <color rgb="FFB8CCE4"/>
      </top>
      <bottom/>
      <diagonal/>
    </border>
    <border>
      <left style="thin">
        <color theme="4" tint="0.59996337778862885"/>
      </left>
      <right style="thin">
        <color theme="4" tint="0.59996337778862885"/>
      </right>
      <top style="thin">
        <color rgb="FFB8CCE4"/>
      </top>
      <bottom/>
      <diagonal/>
    </border>
    <border>
      <left style="thin">
        <color rgb="FFB8CCE4"/>
      </left>
      <right style="thin">
        <color theme="4" tint="0.59996337778862885"/>
      </right>
      <top/>
      <bottom style="thin">
        <color theme="4" tint="0.59996337778862885"/>
      </bottom>
      <diagonal/>
    </border>
    <border>
      <left style="thin">
        <color rgb="FFB8CCE4"/>
      </left>
      <right style="thin">
        <color theme="4" tint="0.59996337778862885"/>
      </right>
      <top/>
      <bottom/>
      <diagonal/>
    </border>
    <border>
      <left style="thin">
        <color rgb="FFB8CCE4"/>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indexed="64"/>
      </top>
      <bottom style="thin">
        <color theme="4" tint="0.59996337778862885"/>
      </bottom>
      <diagonal/>
    </border>
    <border>
      <left style="thin">
        <color theme="4" tint="0.59996337778862885"/>
      </left>
      <right style="thin">
        <color theme="4" tint="0.59996337778862885"/>
      </right>
      <top style="thin">
        <color rgb="FF000000"/>
      </top>
      <bottom style="thin">
        <color rgb="FF000000"/>
      </bottom>
      <diagonal/>
    </border>
    <border>
      <left/>
      <right/>
      <top style="thin">
        <color rgb="FF000000"/>
      </top>
      <bottom style="thin">
        <color rgb="FF000000"/>
      </bottom>
      <diagonal/>
    </border>
    <border>
      <left style="thin">
        <color theme="4" tint="0.59996337778862885"/>
      </left>
      <right style="thin">
        <color theme="4" tint="0.59996337778862885"/>
      </right>
      <top style="thin">
        <color rgb="FF000000"/>
      </top>
      <bottom style="thin">
        <color indexed="64"/>
      </bottom>
      <diagonal/>
    </border>
    <border>
      <left style="thin">
        <color theme="4" tint="0.59996337778862885"/>
      </left>
      <right style="thin">
        <color theme="4" tint="0.59996337778862885"/>
      </right>
      <top style="thin">
        <color indexed="64"/>
      </top>
      <bottom style="thin">
        <color indexed="64"/>
      </bottom>
      <diagonal/>
    </border>
    <border>
      <left style="thin">
        <color rgb="FFB8CCE4"/>
      </left>
      <right style="thin">
        <color theme="4" tint="0.59996337778862885"/>
      </right>
      <top style="thin">
        <color rgb="FF000000"/>
      </top>
      <bottom style="thin">
        <color rgb="FF000000"/>
      </bottom>
      <diagonal/>
    </border>
    <border>
      <left style="thin">
        <color theme="4" tint="0.59996337778862885"/>
      </left>
      <right style="thin">
        <color theme="4" tint="0.59996337778862885"/>
      </right>
      <top/>
      <bottom style="thin">
        <color rgb="FF000000"/>
      </bottom>
      <diagonal/>
    </border>
    <border>
      <left style="thin">
        <color rgb="FFB8CCE4"/>
      </left>
      <right style="thin">
        <color theme="4" tint="0.59996337778862885"/>
      </right>
      <top/>
      <bottom style="thin">
        <color rgb="FF000000"/>
      </bottom>
      <diagonal/>
    </border>
    <border>
      <left style="thin">
        <color rgb="FFB8CCE4"/>
      </left>
      <right style="thin">
        <color theme="4" tint="0.59996337778862885"/>
      </right>
      <top/>
      <bottom style="thin">
        <color rgb="FFB8CCE4"/>
      </bottom>
      <diagonal/>
    </border>
    <border>
      <left style="thin">
        <color theme="4" tint="0.59996337778862885"/>
      </left>
      <right style="thin">
        <color theme="4" tint="0.59996337778862885"/>
      </right>
      <top/>
      <bottom style="thin">
        <color rgb="FFB8CCE4"/>
      </bottom>
      <diagonal/>
    </border>
    <border>
      <left style="thin">
        <color rgb="FFB8CCE4"/>
      </left>
      <right style="thin">
        <color theme="4" tint="0.59996337778862885"/>
      </right>
      <top style="thin">
        <color rgb="FF000000"/>
      </top>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4" tint="0.59996337778862885"/>
      </right>
      <top style="thin">
        <color rgb="FFB8CCE4"/>
      </top>
      <bottom style="thin">
        <color theme="4" tint="0.59996337778862885"/>
      </bottom>
      <diagonal/>
    </border>
    <border>
      <left/>
      <right style="thin">
        <color theme="4" tint="0.59996337778862885"/>
      </right>
      <top style="thin">
        <color rgb="FFB8CCE4"/>
      </top>
      <bottom/>
      <diagonal/>
    </border>
    <border>
      <left/>
      <right style="thin">
        <color theme="4" tint="0.59996337778862885"/>
      </right>
      <top style="thin">
        <color rgb="FF000000"/>
      </top>
      <bottom style="thin">
        <color rgb="FF000000"/>
      </bottom>
      <diagonal/>
    </border>
    <border>
      <left/>
      <right style="thin">
        <color theme="4" tint="0.59996337778862885"/>
      </right>
      <top style="thin">
        <color rgb="FFB8CCE4"/>
      </top>
      <bottom style="thin">
        <color rgb="FFB8CCE4"/>
      </bottom>
      <diagonal/>
    </border>
    <border>
      <left/>
      <right style="thin">
        <color theme="4" tint="0.59996337778862885"/>
      </right>
      <top/>
      <bottom style="thin">
        <color rgb="FFB8CCE4"/>
      </bottom>
      <diagonal/>
    </border>
    <border>
      <left/>
      <right/>
      <top/>
      <bottom style="thin">
        <color rgb="FFB8CCE4"/>
      </bottom>
      <diagonal/>
    </border>
    <border>
      <left style="thin">
        <color theme="4" tint="0.59996337778862885"/>
      </left>
      <right style="thin">
        <color rgb="FFB8CCE4"/>
      </right>
      <top style="thin">
        <color rgb="FFB8CCE4"/>
      </top>
      <bottom style="thin">
        <color rgb="FFB8CCE4"/>
      </bottom>
      <diagonal/>
    </border>
    <border>
      <left/>
      <right/>
      <top style="thin">
        <color rgb="FFB8CCE4"/>
      </top>
      <bottom/>
      <diagonal/>
    </border>
    <border>
      <left style="thin">
        <color theme="4" tint="0.59996337778862885"/>
      </left>
      <right style="thin">
        <color rgb="FFB8CCE4"/>
      </right>
      <top/>
      <bottom style="thin">
        <color rgb="FFB8CCE4"/>
      </bottom>
      <diagonal/>
    </border>
    <border>
      <left style="thin">
        <color theme="4" tint="0.59996337778862885"/>
      </left>
      <right style="thin">
        <color rgb="FFB8CCE4"/>
      </right>
      <top style="thin">
        <color rgb="FFB8CCE4"/>
      </top>
      <bottom/>
      <diagonal/>
    </border>
    <border>
      <left style="thin">
        <color theme="4" tint="0.59996337778862885"/>
      </left>
      <right style="thin">
        <color rgb="FFB8CCE4"/>
      </right>
      <top/>
      <bottom/>
      <diagonal/>
    </border>
    <border>
      <left style="thin">
        <color theme="4" tint="0.59996337778862885"/>
      </left>
      <right style="thin">
        <color rgb="FFB8CCE4"/>
      </right>
      <top style="thin">
        <color rgb="FF000000"/>
      </top>
      <bottom style="thin">
        <color rgb="FF000000"/>
      </bottom>
      <diagonal/>
    </border>
    <border>
      <left style="thin">
        <color theme="4" tint="0.59996337778862885"/>
      </left>
      <right style="thin">
        <color rgb="FFB8CCE4"/>
      </right>
      <top style="thin">
        <color rgb="FF000000"/>
      </top>
      <bottom/>
      <diagonal/>
    </border>
    <border>
      <left style="thin">
        <color theme="4" tint="0.59996337778862885"/>
      </left>
      <right style="thin">
        <color rgb="FFB8CCE4"/>
      </right>
      <top style="thin">
        <color rgb="FFB8CCE4"/>
      </top>
      <bottom style="thin">
        <color theme="4" tint="0.59996337778862885"/>
      </bottom>
      <diagonal/>
    </border>
    <border>
      <left style="thin">
        <color theme="4" tint="0.59996337778862885"/>
      </left>
      <right style="thin">
        <color rgb="FFB8CCE4"/>
      </right>
      <top/>
      <bottom style="thin">
        <color theme="4" tint="0.59996337778862885"/>
      </bottom>
      <diagonal/>
    </border>
    <border>
      <left/>
      <right/>
      <top style="thin">
        <color rgb="FFB8CCE4"/>
      </top>
      <bottom style="thin">
        <color rgb="FFB8CCE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rgb="FF000000"/>
      </top>
      <bottom style="double">
        <color indexed="64"/>
      </bottom>
      <diagonal/>
    </border>
    <border>
      <left style="thin">
        <color theme="4" tint="0.59996337778862885"/>
      </left>
      <right style="thin">
        <color rgb="FFB8CCE4"/>
      </right>
      <top style="thin">
        <color rgb="FF000000"/>
      </top>
      <bottom style="thin">
        <color theme="4" tint="0.59996337778862885"/>
      </bottom>
      <diagonal/>
    </border>
    <border>
      <left style="thin">
        <color theme="4" tint="0.59996337778862885"/>
      </left>
      <right style="thin">
        <color rgb="FFB8CCE4"/>
      </right>
      <top style="thin">
        <color indexed="64"/>
      </top>
      <bottom style="thin">
        <color theme="4" tint="0.59996337778862885"/>
      </bottom>
      <diagonal/>
    </border>
    <border>
      <left style="thin">
        <color theme="4" tint="0.59996337778862885"/>
      </left>
      <right style="thin">
        <color rgb="FFB8CCE4"/>
      </right>
      <top style="thin">
        <color indexed="64"/>
      </top>
      <bottom style="thin">
        <color indexed="64"/>
      </bottom>
      <diagonal/>
    </border>
    <border>
      <left style="thin">
        <color theme="4" tint="0.59996337778862885"/>
      </left>
      <right style="thin">
        <color rgb="FFB8CCE4"/>
      </right>
      <top style="thin">
        <color indexed="64"/>
      </top>
      <bottom style="double">
        <color indexed="64"/>
      </bottom>
      <diagonal/>
    </border>
    <border>
      <left style="thin">
        <color theme="4" tint="0.59996337778862885"/>
      </left>
      <right/>
      <top style="thin">
        <color indexed="64"/>
      </top>
      <bottom style="thin">
        <color theme="4" tint="0.59996337778862885"/>
      </bottom>
      <diagonal/>
    </border>
    <border>
      <left/>
      <right style="thin">
        <color theme="4" tint="0.59996337778862885"/>
      </right>
      <top style="thin">
        <color indexed="64"/>
      </top>
      <bottom style="thin">
        <color theme="4" tint="0.59996337778862885"/>
      </bottom>
      <diagonal/>
    </border>
    <border>
      <left style="thin">
        <color theme="4" tint="0.59996337778862885"/>
      </left>
      <right/>
      <top style="thin">
        <color indexed="64"/>
      </top>
      <bottom style="thin">
        <color indexed="64"/>
      </bottom>
      <diagonal/>
    </border>
    <border>
      <left/>
      <right style="thin">
        <color theme="4" tint="0.59996337778862885"/>
      </right>
      <top style="thin">
        <color indexed="64"/>
      </top>
      <bottom style="thin">
        <color indexed="64"/>
      </bottom>
      <diagonal/>
    </border>
    <border>
      <left style="thin">
        <color theme="4" tint="0.59996337778862885"/>
      </left>
      <right/>
      <top style="thin">
        <color indexed="64"/>
      </top>
      <bottom style="double">
        <color indexed="64"/>
      </bottom>
      <diagonal/>
    </border>
    <border>
      <left/>
      <right style="thin">
        <color theme="4" tint="0.59996337778862885"/>
      </right>
      <top style="thin">
        <color indexed="64"/>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rgb="FFB8CCE4"/>
      </left>
      <right style="thin">
        <color theme="4" tint="0.59996337778862885"/>
      </right>
      <top style="double">
        <color rgb="FF000000"/>
      </top>
      <bottom style="double">
        <color rgb="FF000000"/>
      </bottom>
      <diagonal/>
    </border>
    <border>
      <left style="thin">
        <color theme="4" tint="0.59996337778862885"/>
      </left>
      <right style="thin">
        <color theme="4" tint="0.59996337778862885"/>
      </right>
      <top style="double">
        <color rgb="FF000000"/>
      </top>
      <bottom style="double">
        <color rgb="FF000000"/>
      </bottom>
      <diagonal/>
    </border>
    <border>
      <left/>
      <right/>
      <top style="double">
        <color rgb="FF000000"/>
      </top>
      <bottom style="double">
        <color rgb="FF000000"/>
      </bottom>
      <diagonal/>
    </border>
    <border>
      <left style="thin">
        <color theme="4" tint="0.59996337778862885"/>
      </left>
      <right style="thin">
        <color rgb="FFB8CCE4"/>
      </right>
      <top style="double">
        <color rgb="FF000000"/>
      </top>
      <bottom style="double">
        <color rgb="FF000000"/>
      </bottom>
      <diagonal/>
    </border>
    <border>
      <left/>
      <right/>
      <top/>
      <bottom style="thin">
        <color rgb="FF000000"/>
      </bottom>
      <diagonal/>
    </border>
    <border>
      <left style="thin">
        <color theme="4" tint="0.59996337778862885"/>
      </left>
      <right style="thin">
        <color theme="4" tint="0.59996337778862885"/>
      </right>
      <top style="thin">
        <color theme="4" tint="0.59996337778862885"/>
      </top>
      <bottom style="thin">
        <color rgb="FF000000"/>
      </bottom>
      <diagonal/>
    </border>
    <border>
      <left style="thin">
        <color theme="4" tint="0.59996337778862885"/>
      </left>
      <right style="thin">
        <color theme="4" tint="0.59996337778862885"/>
      </right>
      <top style="thin">
        <color rgb="FFB8CCE4"/>
      </top>
      <bottom style="thin">
        <color rgb="FF000000"/>
      </bottom>
      <diagonal/>
    </border>
    <border>
      <left style="thin">
        <color theme="4" tint="0.59996337778862885"/>
      </left>
      <right style="thin">
        <color rgb="FFB8CCE4"/>
      </right>
      <top style="thin">
        <color rgb="FFB8CCE4"/>
      </top>
      <bottom style="thin">
        <color rgb="FF000000"/>
      </bottom>
      <diagonal/>
    </border>
  </borders>
  <cellStyleXfs count="10">
    <xf numFmtId="0" fontId="0" fillId="0" borderId="0"/>
    <xf numFmtId="9" fontId="3" fillId="0" borderId="0" applyFont="0" applyFill="0" applyBorder="0" applyAlignment="0" applyProtection="0"/>
    <xf numFmtId="0" fontId="6" fillId="0" borderId="0"/>
    <xf numFmtId="0" fontId="12" fillId="0" borderId="2">
      <alignment horizontal="left" wrapText="1"/>
    </xf>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4" fontId="3" fillId="0" borderId="0" applyFont="0" applyFill="0" applyBorder="0" applyAlignment="0" applyProtection="0"/>
    <xf numFmtId="0" fontId="6" fillId="0" borderId="0"/>
    <xf numFmtId="43" fontId="3" fillId="0" borderId="0" applyFont="0" applyFill="0" applyBorder="0" applyAlignment="0" applyProtection="0"/>
  </cellStyleXfs>
  <cellXfs count="635">
    <xf numFmtId="0" fontId="0" fillId="0" borderId="0" xfId="0"/>
    <xf numFmtId="0" fontId="0" fillId="2" borderId="0" xfId="0" applyFill="1"/>
    <xf numFmtId="0" fontId="0" fillId="2" borderId="0" xfId="0" applyFill="1" applyAlignment="1">
      <alignment horizontal="center"/>
    </xf>
    <xf numFmtId="0" fontId="0" fillId="8" borderId="0" xfId="0" applyFill="1" applyProtection="1">
      <protection locked="0"/>
    </xf>
    <xf numFmtId="0" fontId="7" fillId="9" borderId="0" xfId="0" applyFont="1" applyFill="1" applyProtection="1"/>
    <xf numFmtId="0" fontId="7" fillId="2" borderId="0" xfId="0" applyNumberFormat="1" applyFont="1" applyFill="1" applyProtection="1"/>
    <xf numFmtId="0" fontId="7" fillId="2" borderId="0" xfId="0" applyFont="1" applyFill="1" applyProtection="1"/>
    <xf numFmtId="10" fontId="7" fillId="2" borderId="0" xfId="6" applyNumberFormat="1" applyFont="1" applyFill="1" applyProtection="1"/>
    <xf numFmtId="0" fontId="0" fillId="2" borderId="0" xfId="0" applyFill="1" applyAlignment="1">
      <alignment wrapText="1"/>
    </xf>
    <xf numFmtId="0" fontId="0" fillId="8" borderId="0" xfId="0" applyFill="1" applyProtection="1"/>
    <xf numFmtId="0" fontId="0" fillId="10" borderId="2" xfId="0" applyFill="1" applyBorder="1" applyAlignment="1" applyProtection="1">
      <alignment horizontal="center"/>
    </xf>
    <xf numFmtId="0" fontId="0" fillId="2" borderId="0" xfId="0" applyFill="1" applyProtection="1"/>
    <xf numFmtId="0" fontId="5" fillId="9" borderId="47" xfId="2" applyFont="1" applyFill="1" applyBorder="1" applyAlignment="1" applyProtection="1">
      <alignment horizontal="centerContinuous"/>
    </xf>
    <xf numFmtId="0" fontId="5" fillId="9" borderId="48" xfId="2" applyFont="1" applyFill="1" applyBorder="1" applyAlignment="1" applyProtection="1">
      <alignment horizontal="centerContinuous"/>
    </xf>
    <xf numFmtId="0" fontId="7" fillId="9" borderId="48" xfId="2" applyFont="1" applyFill="1" applyBorder="1" applyAlignment="1" applyProtection="1">
      <alignment horizontal="centerContinuous"/>
    </xf>
    <xf numFmtId="0" fontId="0" fillId="9" borderId="48" xfId="0" applyFill="1" applyBorder="1" applyAlignment="1" applyProtection="1">
      <alignment horizontal="centerContinuous"/>
    </xf>
    <xf numFmtId="0" fontId="0" fillId="9" borderId="49" xfId="0" applyFill="1" applyBorder="1" applyAlignment="1" applyProtection="1">
      <alignment horizontal="centerContinuous"/>
    </xf>
    <xf numFmtId="0" fontId="1" fillId="9" borderId="47" xfId="0" applyFont="1" applyFill="1" applyBorder="1" applyAlignment="1" applyProtection="1">
      <alignment horizontal="centerContinuous"/>
    </xf>
    <xf numFmtId="0" fontId="1" fillId="9" borderId="48" xfId="0" applyFont="1" applyFill="1" applyBorder="1" applyAlignment="1" applyProtection="1">
      <alignment horizontal="centerContinuous"/>
    </xf>
    <xf numFmtId="0" fontId="0" fillId="8" borderId="50" xfId="0" applyFill="1" applyBorder="1" applyProtection="1"/>
    <xf numFmtId="0" fontId="0" fillId="8" borderId="0" xfId="0" applyFill="1" applyBorder="1" applyProtection="1"/>
    <xf numFmtId="0" fontId="5" fillId="8" borderId="0" xfId="2" applyFont="1" applyFill="1" applyBorder="1" applyAlignment="1" applyProtection="1">
      <alignment horizontal="centerContinuous"/>
    </xf>
    <xf numFmtId="0" fontId="6" fillId="8" borderId="0" xfId="2" applyFont="1" applyFill="1" applyBorder="1" applyAlignment="1" applyProtection="1"/>
    <xf numFmtId="0" fontId="0" fillId="8" borderId="51" xfId="0" applyFill="1" applyBorder="1" applyProtection="1"/>
    <xf numFmtId="0" fontId="5" fillId="9" borderId="2" xfId="2" applyFont="1" applyFill="1" applyBorder="1" applyAlignment="1" applyProtection="1">
      <alignment horizontal="center"/>
    </xf>
    <xf numFmtId="0" fontId="0" fillId="8" borderId="50" xfId="0" applyFill="1" applyBorder="1" applyAlignment="1" applyProtection="1"/>
    <xf numFmtId="0" fontId="0" fillId="8" borderId="0" xfId="0" applyFill="1" applyBorder="1" applyAlignment="1" applyProtection="1"/>
    <xf numFmtId="0" fontId="0" fillId="8" borderId="2" xfId="0" applyFill="1" applyBorder="1" applyAlignment="1" applyProtection="1">
      <alignment horizontal="center" vertical="center"/>
    </xf>
    <xf numFmtId="0" fontId="0" fillId="8" borderId="0" xfId="0" applyFill="1" applyBorder="1" applyAlignment="1" applyProtection="1">
      <alignment horizontal="center" vertical="center"/>
    </xf>
    <xf numFmtId="0" fontId="5" fillId="8" borderId="0" xfId="2" applyFont="1" applyFill="1" applyBorder="1" applyAlignment="1" applyProtection="1">
      <alignment horizontal="center"/>
    </xf>
    <xf numFmtId="0" fontId="5" fillId="8" borderId="0" xfId="2" applyFont="1" applyFill="1" applyBorder="1" applyAlignment="1" applyProtection="1">
      <alignment horizontal="left" indent="1"/>
    </xf>
    <xf numFmtId="0" fontId="7" fillId="8" borderId="2" xfId="2" applyFont="1" applyFill="1" applyBorder="1" applyAlignment="1" applyProtection="1">
      <alignment horizontal="left" indent="1"/>
    </xf>
    <xf numFmtId="0" fontId="0" fillId="8" borderId="52" xfId="0" applyFill="1" applyBorder="1" applyProtection="1"/>
    <xf numFmtId="0" fontId="5" fillId="8" borderId="53" xfId="2" applyFont="1" applyFill="1" applyBorder="1" applyAlignment="1" applyProtection="1">
      <alignment horizontal="centerContinuous"/>
    </xf>
    <xf numFmtId="0" fontId="0" fillId="8" borderId="85" xfId="0" applyFill="1" applyBorder="1" applyProtection="1"/>
    <xf numFmtId="0" fontId="0" fillId="8" borderId="53" xfId="0" applyFill="1" applyBorder="1" applyAlignment="1" applyProtection="1">
      <alignment horizontal="centerContinuous"/>
    </xf>
    <xf numFmtId="0" fontId="0" fillId="8" borderId="54" xfId="0" applyFill="1" applyBorder="1" applyAlignment="1" applyProtection="1">
      <alignment horizontal="centerContinuous"/>
    </xf>
    <xf numFmtId="0" fontId="0" fillId="8" borderId="53" xfId="0" applyFill="1" applyBorder="1" applyProtection="1"/>
    <xf numFmtId="0" fontId="0" fillId="8" borderId="54" xfId="0" applyFill="1" applyBorder="1" applyProtection="1"/>
    <xf numFmtId="0" fontId="0" fillId="8" borderId="0" xfId="0" applyFill="1" applyBorder="1" applyAlignment="1" applyProtection="1">
      <alignment horizontal="centerContinuous"/>
    </xf>
    <xf numFmtId="0" fontId="24" fillId="21" borderId="86" xfId="0" applyFont="1" applyFill="1" applyBorder="1" applyAlignment="1" applyProtection="1">
      <alignment horizontal="center" vertical="center"/>
    </xf>
    <xf numFmtId="0" fontId="25" fillId="8" borderId="0" xfId="0" applyFont="1" applyFill="1" applyAlignment="1" applyProtection="1">
      <alignment horizontal="left" vertical="center" indent="1"/>
    </xf>
    <xf numFmtId="0" fontId="0" fillId="9" borderId="5" xfId="0" applyFill="1" applyBorder="1" applyAlignment="1" applyProtection="1">
      <alignment horizontal="centerContinuous"/>
    </xf>
    <xf numFmtId="0" fontId="0" fillId="9" borderId="6" xfId="0" applyFill="1" applyBorder="1" applyAlignment="1" applyProtection="1">
      <alignment horizontal="centerContinuous"/>
    </xf>
    <xf numFmtId="0" fontId="0" fillId="9" borderId="7" xfId="0" applyFill="1" applyBorder="1" applyAlignment="1" applyProtection="1">
      <alignment horizontal="centerContinuous"/>
    </xf>
    <xf numFmtId="0" fontId="0" fillId="9" borderId="2" xfId="0" applyFill="1" applyBorder="1" applyAlignment="1" applyProtection="1">
      <alignment horizontal="centerContinuous"/>
    </xf>
    <xf numFmtId="0" fontId="0" fillId="8" borderId="48" xfId="0" applyFill="1" applyBorder="1" applyProtection="1"/>
    <xf numFmtId="0" fontId="23" fillId="8" borderId="0" xfId="0" applyFont="1" applyFill="1" applyProtection="1"/>
    <xf numFmtId="0" fontId="22" fillId="8" borderId="0" xfId="0" applyFont="1" applyFill="1" applyProtection="1"/>
    <xf numFmtId="0" fontId="22" fillId="8" borderId="5" xfId="0" applyFont="1" applyFill="1" applyBorder="1" applyProtection="1"/>
    <xf numFmtId="0" fontId="22" fillId="8" borderId="7" xfId="0" applyFont="1" applyFill="1" applyBorder="1" applyProtection="1"/>
    <xf numFmtId="0" fontId="22" fillId="8" borderId="6" xfId="0" applyFont="1" applyFill="1" applyBorder="1" applyProtection="1"/>
    <xf numFmtId="0" fontId="22" fillId="8" borderId="0" xfId="0" applyFont="1" applyFill="1" applyAlignment="1" applyProtection="1">
      <alignment horizontal="left" indent="2"/>
    </xf>
    <xf numFmtId="0" fontId="1" fillId="2" borderId="0" xfId="0" applyFont="1" applyFill="1" applyProtection="1"/>
    <xf numFmtId="0" fontId="0" fillId="3" borderId="0" xfId="0" applyFill="1" applyProtection="1"/>
    <xf numFmtId="0" fontId="9" fillId="2" borderId="0" xfId="0" applyFont="1" applyFill="1" applyProtection="1"/>
    <xf numFmtId="0" fontId="0" fillId="6" borderId="0" xfId="0" applyFill="1" applyProtection="1"/>
    <xf numFmtId="0" fontId="0" fillId="5" borderId="0" xfId="0" applyFill="1" applyProtection="1"/>
    <xf numFmtId="0" fontId="0" fillId="10" borderId="2" xfId="0" applyFill="1" applyBorder="1" applyProtection="1"/>
    <xf numFmtId="0" fontId="0" fillId="2" borderId="0" xfId="0" applyFill="1" applyAlignment="1" applyProtection="1">
      <alignment horizontal="center"/>
    </xf>
    <xf numFmtId="0" fontId="0" fillId="3" borderId="0" xfId="0" applyNumberFormat="1" applyFill="1" applyProtection="1"/>
    <xf numFmtId="0" fontId="1" fillId="3" borderId="2" xfId="0" applyFont="1" applyFill="1" applyBorder="1" applyProtection="1"/>
    <xf numFmtId="0" fontId="1" fillId="3" borderId="1" xfId="0" applyFont="1" applyFill="1" applyBorder="1" applyProtection="1"/>
    <xf numFmtId="0" fontId="1" fillId="3" borderId="3" xfId="0" applyFont="1" applyFill="1" applyBorder="1" applyProtection="1"/>
    <xf numFmtId="49" fontId="0" fillId="3" borderId="0" xfId="0" applyNumberFormat="1" applyFill="1" applyProtection="1"/>
    <xf numFmtId="0" fontId="1" fillId="4" borderId="2" xfId="0" applyFont="1" applyFill="1" applyBorder="1" applyProtection="1"/>
    <xf numFmtId="0" fontId="0" fillId="2" borderId="2" xfId="0" applyFill="1" applyBorder="1" applyProtection="1"/>
    <xf numFmtId="0" fontId="0" fillId="7" borderId="0" xfId="0" applyFill="1" applyProtection="1"/>
    <xf numFmtId="0" fontId="0" fillId="7" borderId="0" xfId="0" applyFill="1" applyAlignment="1" applyProtection="1">
      <alignment horizontal="center"/>
    </xf>
    <xf numFmtId="37" fontId="0" fillId="7" borderId="0" xfId="0" applyNumberFormat="1" applyFill="1" applyProtection="1"/>
    <xf numFmtId="0" fontId="14" fillId="2" borderId="0" xfId="0" applyFont="1" applyFill="1" applyAlignment="1" applyProtection="1">
      <alignment horizontal="left"/>
    </xf>
    <xf numFmtId="0" fontId="17" fillId="2" borderId="0" xfId="0" applyFont="1" applyFill="1" applyAlignment="1" applyProtection="1">
      <alignment horizontal="left"/>
    </xf>
    <xf numFmtId="0" fontId="18" fillId="2" borderId="0" xfId="0" applyFont="1" applyFill="1" applyAlignment="1" applyProtection="1">
      <alignment horizontal="left"/>
    </xf>
    <xf numFmtId="0" fontId="11" fillId="12" borderId="44" xfId="0" applyNumberFormat="1" applyFont="1" applyFill="1" applyBorder="1" applyAlignment="1" applyProtection="1">
      <alignment horizontal="centerContinuous"/>
    </xf>
    <xf numFmtId="0" fontId="11" fillId="12" borderId="45" xfId="0" applyNumberFormat="1" applyFont="1" applyFill="1" applyBorder="1" applyAlignment="1" applyProtection="1">
      <alignment horizontal="centerContinuous"/>
    </xf>
    <xf numFmtId="0" fontId="11" fillId="12" borderId="46" xfId="0" applyNumberFormat="1" applyFont="1" applyFill="1" applyBorder="1" applyAlignment="1" applyProtection="1">
      <alignment horizontal="centerContinuous"/>
    </xf>
    <xf numFmtId="0" fontId="0" fillId="2" borderId="0" xfId="0" applyFill="1" applyAlignment="1" applyProtection="1">
      <alignment horizontal="right"/>
    </xf>
    <xf numFmtId="0" fontId="13" fillId="13" borderId="4" xfId="0" applyNumberFormat="1" applyFont="1" applyFill="1" applyBorder="1" applyAlignment="1" applyProtection="1">
      <alignment horizontal="center"/>
    </xf>
    <xf numFmtId="0" fontId="13" fillId="13" borderId="4" xfId="0" applyNumberFormat="1" applyFont="1" applyFill="1" applyBorder="1" applyAlignment="1" applyProtection="1"/>
    <xf numFmtId="0" fontId="13" fillId="13" borderId="4" xfId="0" applyNumberFormat="1" applyFont="1" applyFill="1" applyBorder="1" applyAlignment="1" applyProtection="1">
      <alignment horizontal="centerContinuous"/>
    </xf>
    <xf numFmtId="0" fontId="13" fillId="13" borderId="4" xfId="0" applyNumberFormat="1" applyFont="1" applyFill="1" applyBorder="1" applyAlignment="1" applyProtection="1">
      <alignment horizontal="centerContinuous" wrapText="1"/>
    </xf>
    <xf numFmtId="0" fontId="1" fillId="4" borderId="2" xfId="0" applyFont="1" applyFill="1" applyBorder="1" applyAlignment="1" applyProtection="1">
      <alignment wrapText="1"/>
    </xf>
    <xf numFmtId="0" fontId="0" fillId="2" borderId="2" xfId="0" applyFill="1" applyBorder="1" applyAlignment="1" applyProtection="1">
      <alignment wrapText="1"/>
    </xf>
    <xf numFmtId="0" fontId="0" fillId="2" borderId="0" xfId="0" applyFill="1" applyAlignment="1" applyProtection="1">
      <alignment wrapText="1"/>
    </xf>
    <xf numFmtId="3" fontId="0" fillId="2" borderId="0" xfId="0" applyNumberFormat="1" applyFill="1" applyAlignment="1" applyProtection="1">
      <alignment wrapText="1"/>
    </xf>
    <xf numFmtId="0" fontId="0" fillId="2" borderId="0" xfId="0" applyFill="1" applyAlignment="1" applyProtection="1">
      <alignment horizontal="center" wrapText="1"/>
    </xf>
    <xf numFmtId="0" fontId="15" fillId="2" borderId="0" xfId="0" applyFont="1" applyFill="1" applyAlignment="1" applyProtection="1">
      <alignment wrapText="1"/>
    </xf>
    <xf numFmtId="0" fontId="13" fillId="13" borderId="4" xfId="0" applyNumberFormat="1" applyFont="1" applyFill="1" applyBorder="1" applyAlignment="1" applyProtection="1">
      <alignment horizontal="center" wrapText="1"/>
    </xf>
    <xf numFmtId="49" fontId="0" fillId="3" borderId="0" xfId="0" applyNumberFormat="1" applyFill="1" applyAlignment="1" applyProtection="1"/>
    <xf numFmtId="0" fontId="1" fillId="3" borderId="0" xfId="0" applyNumberFormat="1" applyFont="1" applyFill="1" applyAlignment="1" applyProtection="1">
      <alignment horizontal="left"/>
    </xf>
    <xf numFmtId="0" fontId="0" fillId="2" borderId="0" xfId="0" applyFont="1" applyFill="1" applyAlignment="1" applyProtection="1">
      <alignment horizontal="left" indent="1"/>
    </xf>
    <xf numFmtId="37" fontId="0" fillId="0" borderId="4" xfId="0" applyNumberFormat="1" applyFill="1" applyBorder="1" applyProtection="1"/>
    <xf numFmtId="37" fontId="0" fillId="11" borderId="4" xfId="0" applyNumberFormat="1" applyFill="1" applyBorder="1" applyProtection="1"/>
    <xf numFmtId="37" fontId="0" fillId="11" borderId="15" xfId="0" applyNumberFormat="1" applyFill="1" applyBorder="1" applyProtection="1"/>
    <xf numFmtId="37" fontId="0" fillId="11" borderId="16" xfId="0" applyNumberFormat="1" applyFill="1" applyBorder="1" applyProtection="1"/>
    <xf numFmtId="10" fontId="0" fillId="18" borderId="44" xfId="1" applyNumberFormat="1" applyFont="1" applyFill="1" applyBorder="1" applyAlignment="1" applyProtection="1"/>
    <xf numFmtId="39" fontId="0" fillId="18" borderId="46" xfId="0" applyNumberFormat="1" applyFill="1" applyBorder="1" applyAlignment="1" applyProtection="1">
      <alignment horizontal="center"/>
    </xf>
    <xf numFmtId="0" fontId="1" fillId="3" borderId="5" xfId="0" applyFont="1" applyFill="1" applyBorder="1" applyProtection="1"/>
    <xf numFmtId="0" fontId="1" fillId="3" borderId="6" xfId="0" applyFont="1" applyFill="1" applyBorder="1" applyProtection="1"/>
    <xf numFmtId="0" fontId="1" fillId="3" borderId="7" xfId="0" applyFont="1" applyFill="1" applyBorder="1" applyProtection="1"/>
    <xf numFmtId="164" fontId="0" fillId="0" borderId="4" xfId="1" applyNumberFormat="1" applyFont="1" applyFill="1" applyBorder="1" applyProtection="1"/>
    <xf numFmtId="10" fontId="0" fillId="2" borderId="0" xfId="1" applyNumberFormat="1" applyFont="1" applyFill="1" applyProtection="1"/>
    <xf numFmtId="44" fontId="0" fillId="0" borderId="4" xfId="7" applyFont="1" applyFill="1" applyBorder="1" applyProtection="1"/>
    <xf numFmtId="44" fontId="0" fillId="2" borderId="0" xfId="0" applyNumberFormat="1" applyFill="1" applyProtection="1"/>
    <xf numFmtId="0" fontId="0" fillId="2" borderId="0" xfId="0" applyFill="1" applyAlignment="1" applyProtection="1">
      <alignment horizontal="left" indent="1"/>
    </xf>
    <xf numFmtId="0" fontId="4" fillId="2" borderId="0" xfId="0" applyFont="1" applyFill="1" applyAlignment="1" applyProtection="1">
      <alignment horizontal="left"/>
    </xf>
    <xf numFmtId="0" fontId="1" fillId="2" borderId="0" xfId="0" applyFont="1" applyFill="1" applyAlignment="1" applyProtection="1">
      <alignment horizontal="left"/>
    </xf>
    <xf numFmtId="0" fontId="1" fillId="2" borderId="0" xfId="0" applyFont="1" applyFill="1" applyAlignment="1" applyProtection="1"/>
    <xf numFmtId="43" fontId="0" fillId="2" borderId="0" xfId="9" applyFont="1" applyFill="1" applyProtection="1"/>
    <xf numFmtId="0" fontId="1" fillId="2" borderId="8" xfId="0" applyFont="1" applyFill="1" applyBorder="1" applyAlignment="1" applyProtection="1">
      <alignment horizontal="left"/>
    </xf>
    <xf numFmtId="10" fontId="0" fillId="18" borderId="15" xfId="1" applyNumberFormat="1" applyFont="1" applyFill="1" applyBorder="1" applyAlignment="1" applyProtection="1"/>
    <xf numFmtId="39" fontId="0" fillId="18" borderId="16" xfId="0" applyNumberFormat="1" applyFill="1" applyBorder="1" applyAlignment="1" applyProtection="1">
      <alignment horizontal="center"/>
    </xf>
    <xf numFmtId="37" fontId="1" fillId="0" borderId="11" xfId="0" applyNumberFormat="1" applyFont="1" applyFill="1" applyBorder="1" applyProtection="1"/>
    <xf numFmtId="164" fontId="1" fillId="0" borderId="11" xfId="1" applyNumberFormat="1" applyFont="1" applyFill="1" applyBorder="1" applyProtection="1"/>
    <xf numFmtId="37" fontId="1" fillId="11" borderId="11" xfId="0" applyNumberFormat="1" applyFont="1" applyFill="1" applyBorder="1" applyProtection="1"/>
    <xf numFmtId="10" fontId="1" fillId="18" borderId="79" xfId="1" applyNumberFormat="1" applyFont="1" applyFill="1" applyBorder="1" applyAlignment="1" applyProtection="1"/>
    <xf numFmtId="39" fontId="1" fillId="18" borderId="80" xfId="0" applyNumberFormat="1" applyFont="1" applyFill="1" applyBorder="1" applyAlignment="1" applyProtection="1">
      <alignment horizontal="center"/>
    </xf>
    <xf numFmtId="0" fontId="15" fillId="2" borderId="0" xfId="0" applyFont="1" applyFill="1" applyAlignment="1" applyProtection="1">
      <alignment horizontal="left"/>
    </xf>
    <xf numFmtId="0" fontId="0" fillId="2" borderId="22" xfId="0" applyFill="1" applyBorder="1" applyProtection="1"/>
    <xf numFmtId="0" fontId="0" fillId="2" borderId="17" xfId="0" applyFill="1" applyBorder="1" applyProtection="1"/>
    <xf numFmtId="0" fontId="0" fillId="2" borderId="20" xfId="0" applyFill="1" applyBorder="1" applyProtection="1"/>
    <xf numFmtId="0" fontId="0" fillId="2" borderId="18" xfId="0" applyFill="1" applyBorder="1" applyProtection="1"/>
    <xf numFmtId="0" fontId="0" fillId="3" borderId="0" xfId="0" applyNumberFormat="1" applyFont="1" applyFill="1" applyAlignment="1" applyProtection="1">
      <alignment horizontal="left" indent="1"/>
    </xf>
    <xf numFmtId="37" fontId="1" fillId="0" borderId="37" xfId="0" applyNumberFormat="1" applyFont="1" applyFill="1" applyBorder="1" applyProtection="1"/>
    <xf numFmtId="164" fontId="1" fillId="0" borderId="37" xfId="1" applyNumberFormat="1" applyFont="1" applyFill="1" applyBorder="1" applyProtection="1"/>
    <xf numFmtId="37" fontId="1" fillId="11" borderId="37" xfId="0" applyNumberFormat="1" applyFont="1" applyFill="1" applyBorder="1" applyProtection="1"/>
    <xf numFmtId="37" fontId="1" fillId="0" borderId="23" xfId="0" applyNumberFormat="1" applyFont="1" applyFill="1" applyBorder="1" applyProtection="1"/>
    <xf numFmtId="164" fontId="1" fillId="0" borderId="23" xfId="1" applyNumberFormat="1" applyFont="1" applyFill="1" applyBorder="1" applyProtection="1"/>
    <xf numFmtId="37" fontId="1" fillId="11" borderId="23" xfId="0" applyNumberFormat="1" applyFont="1" applyFill="1" applyBorder="1" applyProtection="1"/>
    <xf numFmtId="0" fontId="0" fillId="2" borderId="15" xfId="0" applyFill="1" applyBorder="1" applyProtection="1"/>
    <xf numFmtId="0" fontId="0" fillId="2" borderId="19" xfId="0" applyFill="1" applyBorder="1" applyProtection="1"/>
    <xf numFmtId="0" fontId="0" fillId="2" borderId="16" xfId="0" applyFill="1" applyBorder="1" applyProtection="1"/>
    <xf numFmtId="164" fontId="1" fillId="0" borderId="4" xfId="1" applyNumberFormat="1" applyFont="1" applyFill="1" applyBorder="1" applyProtection="1"/>
    <xf numFmtId="0" fontId="1" fillId="2" borderId="0" xfId="0" applyFont="1" applyFill="1" applyAlignment="1" applyProtection="1">
      <alignment horizontal="center"/>
    </xf>
    <xf numFmtId="0" fontId="0" fillId="16" borderId="0" xfId="0" applyFill="1" applyProtection="1"/>
    <xf numFmtId="0" fontId="9" fillId="16" borderId="0" xfId="0" applyFont="1" applyFill="1" applyProtection="1"/>
    <xf numFmtId="0" fontId="0" fillId="3" borderId="0" xfId="0" applyNumberFormat="1" applyFill="1" applyAlignment="1" applyProtection="1">
      <alignment horizontal="left" indent="1"/>
    </xf>
    <xf numFmtId="37" fontId="0" fillId="2" borderId="0" xfId="0" applyNumberFormat="1" applyFill="1" applyProtection="1"/>
    <xf numFmtId="37" fontId="0" fillId="17" borderId="4" xfId="0" applyNumberFormat="1" applyFill="1" applyBorder="1" applyProtection="1">
      <protection locked="0"/>
    </xf>
    <xf numFmtId="164" fontId="0" fillId="17" borderId="4" xfId="1" applyNumberFormat="1" applyFont="1" applyFill="1" applyBorder="1" applyProtection="1">
      <protection locked="0"/>
    </xf>
    <xf numFmtId="0" fontId="0" fillId="2" borderId="0" xfId="0" applyFill="1" applyProtection="1">
      <protection locked="0"/>
    </xf>
    <xf numFmtId="37" fontId="0" fillId="17" borderId="13" xfId="0" applyNumberFormat="1" applyFill="1" applyBorder="1" applyProtection="1">
      <protection locked="0"/>
    </xf>
    <xf numFmtId="164" fontId="0" fillId="17" borderId="13" xfId="1" applyNumberFormat="1" applyFont="1" applyFill="1" applyBorder="1" applyProtection="1">
      <protection locked="0"/>
    </xf>
    <xf numFmtId="37" fontId="0" fillId="0" borderId="4" xfId="0" applyNumberFormat="1" applyFill="1" applyBorder="1" applyProtection="1">
      <protection locked="0"/>
    </xf>
    <xf numFmtId="164" fontId="0" fillId="0" borderId="4" xfId="1" applyNumberFormat="1" applyFont="1" applyFill="1" applyBorder="1" applyProtection="1">
      <protection locked="0"/>
    </xf>
    <xf numFmtId="37" fontId="0" fillId="11" borderId="4" xfId="0" applyNumberFormat="1" applyFill="1" applyBorder="1" applyProtection="1">
      <protection locked="0"/>
    </xf>
    <xf numFmtId="164" fontId="0" fillId="13" borderId="4" xfId="1" applyNumberFormat="1" applyFont="1" applyFill="1" applyBorder="1" applyProtection="1">
      <protection locked="0"/>
    </xf>
    <xf numFmtId="10" fontId="0" fillId="11" borderId="4" xfId="1" applyNumberFormat="1" applyFont="1" applyFill="1" applyBorder="1" applyProtection="1">
      <protection locked="0"/>
    </xf>
    <xf numFmtId="44" fontId="0" fillId="0" borderId="4" xfId="7" applyFont="1" applyFill="1" applyBorder="1" applyProtection="1">
      <protection locked="0"/>
    </xf>
    <xf numFmtId="44" fontId="0" fillId="11" borderId="4" xfId="7" applyNumberFormat="1" applyFont="1" applyFill="1" applyBorder="1" applyProtection="1">
      <protection locked="0"/>
    </xf>
    <xf numFmtId="44" fontId="0" fillId="11" borderId="4" xfId="7" applyFont="1" applyFill="1" applyBorder="1" applyProtection="1">
      <protection locked="0"/>
    </xf>
    <xf numFmtId="0" fontId="0" fillId="13" borderId="21" xfId="0" applyFill="1" applyBorder="1" applyProtection="1">
      <protection locked="0"/>
    </xf>
    <xf numFmtId="0" fontId="0" fillId="13" borderId="0" xfId="0" applyFill="1" applyBorder="1" applyProtection="1">
      <protection locked="0"/>
    </xf>
    <xf numFmtId="0" fontId="0" fillId="13" borderId="22" xfId="0" applyFill="1" applyBorder="1" applyProtection="1">
      <protection locked="0"/>
    </xf>
    <xf numFmtId="37" fontId="1" fillId="0" borderId="11" xfId="0" applyNumberFormat="1" applyFont="1" applyFill="1" applyBorder="1" applyProtection="1">
      <protection locked="0"/>
    </xf>
    <xf numFmtId="164" fontId="1" fillId="0" borderId="11" xfId="1" applyNumberFormat="1" applyFont="1" applyFill="1" applyBorder="1" applyProtection="1">
      <protection locked="0"/>
    </xf>
    <xf numFmtId="37" fontId="1" fillId="11" borderId="11" xfId="0" applyNumberFormat="1" applyFont="1" applyFill="1" applyBorder="1" applyProtection="1">
      <protection locked="0"/>
    </xf>
    <xf numFmtId="39" fontId="15" fillId="2" borderId="15" xfId="9" applyNumberFormat="1" applyFont="1" applyFill="1" applyBorder="1" applyProtection="1">
      <protection locked="0"/>
    </xf>
    <xf numFmtId="39" fontId="15" fillId="2" borderId="0" xfId="9" applyNumberFormat="1" applyFont="1" applyFill="1" applyBorder="1" applyProtection="1">
      <protection locked="0"/>
    </xf>
    <xf numFmtId="0" fontId="19" fillId="2" borderId="16" xfId="0" applyFont="1" applyFill="1" applyBorder="1" applyProtection="1">
      <protection locked="0"/>
    </xf>
    <xf numFmtId="0" fontId="19" fillId="2" borderId="0" xfId="0" applyFont="1" applyFill="1" applyBorder="1" applyProtection="1">
      <protection locked="0"/>
    </xf>
    <xf numFmtId="0" fontId="0" fillId="2" borderId="22" xfId="0" applyFill="1" applyBorder="1" applyProtection="1">
      <protection locked="0"/>
    </xf>
    <xf numFmtId="0" fontId="0" fillId="2" borderId="17" xfId="0" applyFill="1" applyBorder="1" applyProtection="1">
      <protection locked="0"/>
    </xf>
    <xf numFmtId="0" fontId="0" fillId="2" borderId="20" xfId="0" applyFill="1" applyBorder="1" applyProtection="1">
      <protection locked="0"/>
    </xf>
    <xf numFmtId="0" fontId="0" fillId="2" borderId="18" xfId="0" applyFill="1" applyBorder="1" applyProtection="1">
      <protection locked="0"/>
    </xf>
    <xf numFmtId="0" fontId="19" fillId="2" borderId="22" xfId="0" applyFont="1" applyFill="1" applyBorder="1" applyProtection="1">
      <protection locked="0"/>
    </xf>
    <xf numFmtId="37" fontId="1" fillId="0" borderId="37" xfId="0" applyNumberFormat="1" applyFont="1" applyFill="1" applyBorder="1" applyProtection="1">
      <protection locked="0"/>
    </xf>
    <xf numFmtId="164" fontId="1" fillId="0" borderId="37" xfId="1" applyNumberFormat="1" applyFont="1" applyFill="1" applyBorder="1" applyProtection="1">
      <protection locked="0"/>
    </xf>
    <xf numFmtId="37" fontId="1" fillId="11" borderId="37" xfId="0" applyNumberFormat="1" applyFont="1" applyFill="1" applyBorder="1" applyProtection="1">
      <protection locked="0"/>
    </xf>
    <xf numFmtId="37" fontId="1" fillId="0" borderId="23" xfId="0" applyNumberFormat="1" applyFont="1" applyFill="1" applyBorder="1" applyProtection="1">
      <protection locked="0"/>
    </xf>
    <xf numFmtId="164" fontId="1" fillId="0" borderId="23" xfId="1" applyNumberFormat="1" applyFont="1" applyFill="1" applyBorder="1" applyProtection="1">
      <protection locked="0"/>
    </xf>
    <xf numFmtId="37" fontId="1" fillId="11" borderId="23" xfId="0" applyNumberFormat="1" applyFont="1" applyFill="1" applyBorder="1" applyProtection="1">
      <protection locked="0"/>
    </xf>
    <xf numFmtId="165" fontId="15" fillId="2" borderId="15" xfId="9" applyNumberFormat="1" applyFont="1" applyFill="1" applyBorder="1" applyProtection="1">
      <protection locked="0"/>
    </xf>
    <xf numFmtId="165" fontId="15" fillId="2" borderId="0" xfId="9" applyNumberFormat="1" applyFont="1" applyFill="1" applyBorder="1" applyProtection="1">
      <protection locked="0"/>
    </xf>
    <xf numFmtId="0" fontId="0" fillId="2" borderId="15" xfId="0" applyFill="1" applyBorder="1" applyProtection="1">
      <protection locked="0"/>
    </xf>
    <xf numFmtId="0" fontId="0" fillId="2" borderId="19" xfId="0" applyFill="1" applyBorder="1" applyProtection="1">
      <protection locked="0"/>
    </xf>
    <xf numFmtId="0" fontId="0" fillId="2" borderId="16" xfId="0" applyFill="1" applyBorder="1" applyProtection="1">
      <protection locked="0"/>
    </xf>
    <xf numFmtId="0" fontId="9" fillId="0" borderId="0" xfId="0" applyFont="1" applyFill="1" applyProtection="1"/>
    <xf numFmtId="0" fontId="15" fillId="2" borderId="0" xfId="0" applyFont="1" applyFill="1" applyAlignment="1" applyProtection="1">
      <alignment horizontal="center" wrapText="1"/>
    </xf>
    <xf numFmtId="0" fontId="15" fillId="2" borderId="0" xfId="0" applyFont="1" applyFill="1" applyAlignment="1" applyProtection="1">
      <alignment horizontal="left" indent="1"/>
    </xf>
    <xf numFmtId="37" fontId="0" fillId="0" borderId="32" xfId="0" applyNumberFormat="1" applyFill="1" applyBorder="1" applyProtection="1"/>
    <xf numFmtId="39" fontId="0" fillId="18" borderId="4" xfId="0" applyNumberFormat="1" applyFill="1" applyBorder="1" applyProtection="1"/>
    <xf numFmtId="39" fontId="0" fillId="19" borderId="4" xfId="0" applyNumberFormat="1" applyFill="1" applyBorder="1" applyProtection="1"/>
    <xf numFmtId="39" fontId="0" fillId="11" borderId="4" xfId="0" applyNumberFormat="1" applyFill="1" applyBorder="1" applyProtection="1"/>
    <xf numFmtId="39" fontId="0" fillId="9" borderId="4" xfId="0" applyNumberFormat="1" applyFill="1" applyBorder="1" applyProtection="1"/>
    <xf numFmtId="49" fontId="0" fillId="3" borderId="0" xfId="0" applyNumberFormat="1" applyFill="1" applyAlignment="1" applyProtection="1">
      <alignment horizontal="left"/>
    </xf>
    <xf numFmtId="37" fontId="0" fillId="0" borderId="28" xfId="0" applyNumberFormat="1" applyFill="1" applyBorder="1" applyProtection="1"/>
    <xf numFmtId="39" fontId="0" fillId="11" borderId="9" xfId="0" applyNumberFormat="1" applyFill="1" applyBorder="1" applyProtection="1"/>
    <xf numFmtId="0" fontId="1" fillId="3" borderId="0" xfId="0" applyNumberFormat="1" applyFont="1" applyFill="1" applyAlignment="1" applyProtection="1">
      <alignment horizontal="left" indent="1"/>
    </xf>
    <xf numFmtId="0" fontId="16" fillId="2" borderId="0" xfId="0" applyFont="1" applyFill="1" applyAlignment="1" applyProtection="1">
      <alignment horizontal="left" indent="1"/>
    </xf>
    <xf numFmtId="0" fontId="1" fillId="2" borderId="0" xfId="0" applyFont="1" applyFill="1" applyAlignment="1" applyProtection="1">
      <alignment horizontal="left" indent="1"/>
    </xf>
    <xf numFmtId="37" fontId="1" fillId="0" borderId="34" xfId="0" applyNumberFormat="1" applyFont="1" applyFill="1" applyBorder="1" applyProtection="1"/>
    <xf numFmtId="164" fontId="1" fillId="0" borderId="34" xfId="1" applyNumberFormat="1" applyFont="1" applyFill="1" applyBorder="1" applyProtection="1"/>
    <xf numFmtId="39" fontId="1" fillId="18" borderId="34" xfId="0" applyNumberFormat="1" applyFont="1" applyFill="1" applyBorder="1" applyProtection="1"/>
    <xf numFmtId="39" fontId="1" fillId="19" borderId="34" xfId="0" applyNumberFormat="1" applyFont="1" applyFill="1" applyBorder="1" applyProtection="1"/>
    <xf numFmtId="39" fontId="1" fillId="9" borderId="34" xfId="0" applyNumberFormat="1" applyFont="1" applyFill="1" applyBorder="1" applyProtection="1"/>
    <xf numFmtId="0" fontId="1" fillId="2" borderId="6" xfId="0" applyFont="1" applyFill="1" applyBorder="1" applyAlignment="1" applyProtection="1">
      <alignment horizontal="left"/>
    </xf>
    <xf numFmtId="37" fontId="0" fillId="0" borderId="13" xfId="0" applyNumberFormat="1" applyFill="1" applyBorder="1" applyProtection="1"/>
    <xf numFmtId="164" fontId="0" fillId="0" borderId="13" xfId="1" applyNumberFormat="1" applyFont="1" applyFill="1" applyBorder="1" applyProtection="1"/>
    <xf numFmtId="37" fontId="0" fillId="11" borderId="13" xfId="0" applyNumberFormat="1" applyFill="1" applyBorder="1" applyProtection="1"/>
    <xf numFmtId="39" fontId="0" fillId="18" borderId="13" xfId="0" applyNumberFormat="1" applyFill="1" applyBorder="1" applyProtection="1"/>
    <xf numFmtId="39" fontId="0" fillId="19" borderId="13" xfId="0" applyNumberFormat="1" applyFill="1" applyBorder="1" applyProtection="1"/>
    <xf numFmtId="39" fontId="0" fillId="9" borderId="13" xfId="0" applyNumberFormat="1" applyFill="1" applyBorder="1" applyProtection="1"/>
    <xf numFmtId="0" fontId="0" fillId="2" borderId="21" xfId="0" applyFill="1" applyBorder="1" applyProtection="1"/>
    <xf numFmtId="0" fontId="0" fillId="2" borderId="0" xfId="0" applyFill="1" applyBorder="1" applyProtection="1"/>
    <xf numFmtId="37" fontId="0" fillId="0" borderId="14" xfId="0" applyNumberFormat="1" applyFill="1" applyBorder="1" applyProtection="1"/>
    <xf numFmtId="164" fontId="0" fillId="0" borderId="14" xfId="1" applyNumberFormat="1" applyFont="1" applyFill="1" applyBorder="1" applyProtection="1"/>
    <xf numFmtId="37" fontId="0" fillId="11" borderId="14" xfId="0" applyNumberFormat="1" applyFill="1" applyBorder="1" applyProtection="1"/>
    <xf numFmtId="0" fontId="1" fillId="2" borderId="0" xfId="0" applyFont="1" applyFill="1" applyBorder="1" applyAlignment="1" applyProtection="1">
      <alignment horizontal="left"/>
    </xf>
    <xf numFmtId="39" fontId="0" fillId="0" borderId="4" xfId="1" applyNumberFormat="1" applyFont="1" applyFill="1" applyBorder="1" applyProtection="1"/>
    <xf numFmtId="37" fontId="0" fillId="0" borderId="13" xfId="0" applyNumberFormat="1" applyFill="1" applyBorder="1" applyProtection="1">
      <protection locked="0"/>
    </xf>
    <xf numFmtId="164" fontId="0" fillId="0" borderId="13" xfId="1" applyNumberFormat="1" applyFont="1" applyFill="1" applyBorder="1" applyProtection="1">
      <protection locked="0"/>
    </xf>
    <xf numFmtId="39" fontId="0" fillId="18" borderId="4" xfId="0" applyNumberFormat="1" applyFill="1" applyBorder="1" applyProtection="1">
      <protection locked="0"/>
    </xf>
    <xf numFmtId="39" fontId="0" fillId="19" borderId="4" xfId="0" applyNumberFormat="1" applyFill="1" applyBorder="1" applyProtection="1">
      <protection locked="0"/>
    </xf>
    <xf numFmtId="39" fontId="0" fillId="11" borderId="4" xfId="0" applyNumberFormat="1" applyFill="1" applyBorder="1" applyProtection="1">
      <protection locked="0"/>
    </xf>
    <xf numFmtId="39" fontId="0" fillId="9" borderId="4" xfId="0" applyNumberFormat="1" applyFill="1" applyBorder="1" applyProtection="1">
      <protection locked="0"/>
    </xf>
    <xf numFmtId="37" fontId="0" fillId="0" borderId="14" xfId="0" applyNumberFormat="1" applyFill="1" applyBorder="1" applyProtection="1">
      <protection locked="0"/>
    </xf>
    <xf numFmtId="37" fontId="0" fillId="0" borderId="9" xfId="0" applyNumberFormat="1" applyFill="1" applyBorder="1" applyProtection="1">
      <protection locked="0"/>
    </xf>
    <xf numFmtId="164" fontId="0" fillId="0" borderId="14" xfId="1" applyNumberFormat="1" applyFont="1" applyFill="1" applyBorder="1" applyProtection="1">
      <protection locked="0"/>
    </xf>
    <xf numFmtId="164" fontId="0" fillId="0" borderId="9" xfId="1" applyNumberFormat="1" applyFont="1" applyFill="1" applyBorder="1" applyProtection="1">
      <protection locked="0"/>
    </xf>
    <xf numFmtId="37" fontId="0" fillId="11" borderId="9" xfId="0" applyNumberFormat="1" applyFill="1" applyBorder="1" applyProtection="1">
      <protection locked="0"/>
    </xf>
    <xf numFmtId="39" fontId="0" fillId="18" borderId="9" xfId="0" applyNumberFormat="1" applyFill="1" applyBorder="1" applyProtection="1">
      <protection locked="0"/>
    </xf>
    <xf numFmtId="39" fontId="0" fillId="19" borderId="9" xfId="0" applyNumberFormat="1" applyFill="1" applyBorder="1" applyProtection="1">
      <protection locked="0"/>
    </xf>
    <xf numFmtId="39" fontId="0" fillId="11" borderId="9" xfId="0" applyNumberFormat="1" applyFill="1" applyBorder="1" applyProtection="1">
      <protection locked="0"/>
    </xf>
    <xf numFmtId="39" fontId="0" fillId="9" borderId="9" xfId="0" applyNumberFormat="1" applyFill="1" applyBorder="1" applyProtection="1">
      <protection locked="0"/>
    </xf>
    <xf numFmtId="37" fontId="1" fillId="0" borderId="34" xfId="0" applyNumberFormat="1" applyFont="1" applyFill="1" applyBorder="1" applyProtection="1">
      <protection locked="0"/>
    </xf>
    <xf numFmtId="164" fontId="1" fillId="0" borderId="34" xfId="1" applyNumberFormat="1" applyFont="1" applyFill="1" applyBorder="1" applyProtection="1">
      <protection locked="0"/>
    </xf>
    <xf numFmtId="0" fontId="1" fillId="2" borderId="35" xfId="0" applyFont="1" applyFill="1" applyBorder="1" applyProtection="1">
      <protection locked="0"/>
    </xf>
    <xf numFmtId="37" fontId="1" fillId="11" borderId="34" xfId="0" applyNumberFormat="1" applyFont="1" applyFill="1" applyBorder="1" applyProtection="1">
      <protection locked="0"/>
    </xf>
    <xf numFmtId="39" fontId="1" fillId="18" borderId="34" xfId="0" applyNumberFormat="1" applyFont="1" applyFill="1" applyBorder="1" applyProtection="1">
      <protection locked="0"/>
    </xf>
    <xf numFmtId="39" fontId="1" fillId="19" borderId="34" xfId="0" applyNumberFormat="1" applyFont="1" applyFill="1" applyBorder="1" applyProtection="1">
      <protection locked="0"/>
    </xf>
    <xf numFmtId="39" fontId="1" fillId="11" borderId="34" xfId="0" applyNumberFormat="1" applyFont="1" applyFill="1" applyBorder="1" applyProtection="1">
      <protection locked="0"/>
    </xf>
    <xf numFmtId="39" fontId="1" fillId="9" borderId="34" xfId="0" applyNumberFormat="1" applyFont="1" applyFill="1" applyBorder="1" applyProtection="1">
      <protection locked="0"/>
    </xf>
    <xf numFmtId="37" fontId="0" fillId="11" borderId="14" xfId="0" applyNumberFormat="1" applyFill="1" applyBorder="1" applyProtection="1">
      <protection locked="0"/>
    </xf>
    <xf numFmtId="39" fontId="0" fillId="18" borderId="13" xfId="0" applyNumberFormat="1" applyFill="1" applyBorder="1" applyProtection="1">
      <protection locked="0"/>
    </xf>
    <xf numFmtId="39" fontId="0" fillId="19" borderId="13" xfId="0" applyNumberFormat="1" applyFill="1" applyBorder="1" applyProtection="1">
      <protection locked="0"/>
    </xf>
    <xf numFmtId="39" fontId="0" fillId="11" borderId="13" xfId="0" applyNumberFormat="1" applyFill="1" applyBorder="1" applyProtection="1">
      <protection locked="0"/>
    </xf>
    <xf numFmtId="39" fontId="0" fillId="9" borderId="13" xfId="0" applyNumberFormat="1" applyFill="1" applyBorder="1" applyProtection="1">
      <protection locked="0"/>
    </xf>
    <xf numFmtId="37" fontId="1" fillId="0" borderId="12" xfId="0" applyNumberFormat="1" applyFont="1" applyFill="1" applyBorder="1" applyProtection="1">
      <protection locked="0"/>
    </xf>
    <xf numFmtId="164" fontId="1" fillId="0" borderId="12" xfId="1" applyNumberFormat="1" applyFont="1" applyFill="1" applyBorder="1" applyProtection="1">
      <protection locked="0"/>
    </xf>
    <xf numFmtId="0" fontId="1" fillId="2" borderId="10" xfId="0" applyFont="1" applyFill="1" applyBorder="1" applyProtection="1">
      <protection locked="0"/>
    </xf>
    <xf numFmtId="37" fontId="1" fillId="11" borderId="12" xfId="0" applyNumberFormat="1" applyFont="1" applyFill="1" applyBorder="1" applyProtection="1">
      <protection locked="0"/>
    </xf>
    <xf numFmtId="39" fontId="1" fillId="18" borderId="12" xfId="0" applyNumberFormat="1" applyFont="1" applyFill="1" applyBorder="1" applyProtection="1">
      <protection locked="0"/>
    </xf>
    <xf numFmtId="39" fontId="1" fillId="19" borderId="12" xfId="0" applyNumberFormat="1" applyFont="1" applyFill="1" applyBorder="1" applyProtection="1">
      <protection locked="0"/>
    </xf>
    <xf numFmtId="39" fontId="1" fillId="11" borderId="12" xfId="0" applyNumberFormat="1" applyFont="1" applyFill="1" applyBorder="1" applyProtection="1">
      <protection locked="0"/>
    </xf>
    <xf numFmtId="39" fontId="1" fillId="9" borderId="12" xfId="0" applyNumberFormat="1" applyFont="1" applyFill="1" applyBorder="1" applyProtection="1">
      <protection locked="0"/>
    </xf>
    <xf numFmtId="39" fontId="1" fillId="18" borderId="11" xfId="0" applyNumberFormat="1" applyFont="1" applyFill="1" applyBorder="1" applyProtection="1">
      <protection locked="0"/>
    </xf>
    <xf numFmtId="39" fontId="1" fillId="19" borderId="11" xfId="0" applyNumberFormat="1" applyFont="1" applyFill="1" applyBorder="1" applyProtection="1">
      <protection locked="0"/>
    </xf>
    <xf numFmtId="39" fontId="1" fillId="11" borderId="11" xfId="0" applyNumberFormat="1" applyFont="1" applyFill="1" applyBorder="1" applyProtection="1">
      <protection locked="0"/>
    </xf>
    <xf numFmtId="39" fontId="1" fillId="9" borderId="11" xfId="0" applyNumberFormat="1" applyFont="1" applyFill="1" applyBorder="1" applyProtection="1">
      <protection locked="0"/>
    </xf>
    <xf numFmtId="37" fontId="0" fillId="0" borderId="32" xfId="0" applyNumberFormat="1" applyFill="1" applyBorder="1" applyProtection="1">
      <protection locked="0"/>
    </xf>
    <xf numFmtId="37" fontId="0" fillId="0" borderId="28" xfId="0" applyNumberFormat="1" applyFill="1" applyBorder="1" applyProtection="1">
      <protection locked="0"/>
    </xf>
    <xf numFmtId="37" fontId="0" fillId="0" borderId="42" xfId="0" applyNumberFormat="1" applyFill="1" applyBorder="1" applyProtection="1">
      <protection locked="0"/>
    </xf>
    <xf numFmtId="37" fontId="0" fillId="11" borderId="13" xfId="0" applyNumberFormat="1" applyFill="1" applyBorder="1" applyProtection="1">
      <protection locked="0"/>
    </xf>
    <xf numFmtId="37" fontId="1" fillId="11" borderId="24" xfId="0" applyNumberFormat="1" applyFont="1" applyFill="1" applyBorder="1" applyProtection="1">
      <protection locked="0"/>
    </xf>
    <xf numFmtId="37" fontId="1" fillId="0" borderId="24" xfId="0" applyNumberFormat="1" applyFont="1" applyFill="1" applyBorder="1" applyProtection="1">
      <protection locked="0"/>
    </xf>
    <xf numFmtId="164" fontId="1" fillId="0" borderId="24" xfId="1" applyNumberFormat="1" applyFont="1" applyFill="1" applyBorder="1" applyProtection="1">
      <protection locked="0"/>
    </xf>
    <xf numFmtId="39" fontId="1" fillId="18" borderId="74" xfId="0" applyNumberFormat="1" applyFont="1" applyFill="1" applyBorder="1" applyProtection="1">
      <protection locked="0"/>
    </xf>
    <xf numFmtId="39" fontId="1" fillId="19" borderId="74" xfId="0" applyNumberFormat="1" applyFont="1" applyFill="1" applyBorder="1" applyProtection="1">
      <protection locked="0"/>
    </xf>
    <xf numFmtId="39" fontId="1" fillId="11" borderId="74" xfId="0" applyNumberFormat="1" applyFont="1" applyFill="1" applyBorder="1" applyProtection="1">
      <protection locked="0"/>
    </xf>
    <xf numFmtId="39" fontId="1" fillId="9" borderId="74" xfId="0" applyNumberFormat="1" applyFont="1" applyFill="1" applyBorder="1" applyProtection="1">
      <protection locked="0"/>
    </xf>
    <xf numFmtId="0" fontId="8" fillId="2" borderId="0" xfId="0" applyFont="1" applyFill="1" applyProtection="1"/>
    <xf numFmtId="0" fontId="4" fillId="2" borderId="0" xfId="0" applyFont="1" applyFill="1" applyAlignment="1" applyProtection="1">
      <alignment horizontal="center" wrapText="1"/>
    </xf>
    <xf numFmtId="0" fontId="0" fillId="2" borderId="16" xfId="0" applyFill="1" applyBorder="1" applyAlignment="1" applyProtection="1">
      <alignment horizontal="center"/>
    </xf>
    <xf numFmtId="0" fontId="1" fillId="2" borderId="22" xfId="0" applyFont="1" applyFill="1" applyBorder="1" applyAlignment="1" applyProtection="1">
      <alignment horizontal="right"/>
    </xf>
    <xf numFmtId="0" fontId="16" fillId="2" borderId="0" xfId="0" applyFont="1" applyFill="1" applyAlignment="1" applyProtection="1">
      <alignment horizontal="left"/>
    </xf>
    <xf numFmtId="0" fontId="1" fillId="2" borderId="9" xfId="0" applyFont="1" applyFill="1" applyBorder="1" applyAlignment="1" applyProtection="1">
      <alignment horizontal="center"/>
    </xf>
    <xf numFmtId="0" fontId="0" fillId="2" borderId="0" xfId="0" applyFill="1" applyAlignment="1" applyProtection="1">
      <alignment horizontal="left"/>
    </xf>
    <xf numFmtId="164" fontId="3" fillId="15" borderId="4" xfId="1" applyNumberFormat="1" applyFont="1" applyFill="1" applyBorder="1" applyAlignment="1" applyProtection="1"/>
    <xf numFmtId="37" fontId="1" fillId="14" borderId="25" xfId="0" applyNumberFormat="1" applyFont="1" applyFill="1" applyBorder="1" applyAlignment="1" applyProtection="1">
      <protection locked="0"/>
    </xf>
    <xf numFmtId="37" fontId="1" fillId="14" borderId="57" xfId="0" applyNumberFormat="1" applyFont="1" applyFill="1" applyBorder="1" applyAlignment="1" applyProtection="1">
      <protection locked="0"/>
    </xf>
    <xf numFmtId="164" fontId="1" fillId="14" borderId="26" xfId="1" applyNumberFormat="1" applyFont="1" applyFill="1" applyBorder="1" applyProtection="1">
      <protection locked="0"/>
    </xf>
    <xf numFmtId="37" fontId="1" fillId="14" borderId="26" xfId="0" applyNumberFormat="1" applyFont="1" applyFill="1" applyBorder="1" applyAlignment="1" applyProtection="1">
      <protection locked="0"/>
    </xf>
    <xf numFmtId="37" fontId="1" fillId="14" borderId="26" xfId="0" applyNumberFormat="1" applyFont="1" applyFill="1" applyBorder="1" applyProtection="1">
      <protection locked="0"/>
    </xf>
    <xf numFmtId="37" fontId="1" fillId="14" borderId="70" xfId="0" applyNumberFormat="1" applyFont="1" applyFill="1" applyBorder="1" applyProtection="1">
      <protection locked="0"/>
    </xf>
    <xf numFmtId="37" fontId="0" fillId="15" borderId="25" xfId="0" applyNumberFormat="1" applyFont="1" applyFill="1" applyBorder="1" applyAlignment="1" applyProtection="1">
      <protection locked="0"/>
    </xf>
    <xf numFmtId="37" fontId="0" fillId="15" borderId="57" xfId="0" applyNumberFormat="1" applyFont="1" applyFill="1" applyBorder="1" applyAlignment="1" applyProtection="1">
      <protection locked="0"/>
    </xf>
    <xf numFmtId="164" fontId="3" fillId="15" borderId="26" xfId="1" applyNumberFormat="1" applyFont="1" applyFill="1" applyBorder="1" applyProtection="1">
      <protection locked="0"/>
    </xf>
    <xf numFmtId="37" fontId="0" fillId="15" borderId="26" xfId="0" applyNumberFormat="1" applyFont="1" applyFill="1" applyBorder="1" applyAlignment="1" applyProtection="1">
      <protection locked="0"/>
    </xf>
    <xf numFmtId="37" fontId="0" fillId="15" borderId="26" xfId="0" applyNumberFormat="1" applyFont="1" applyFill="1" applyBorder="1" applyProtection="1">
      <protection locked="0"/>
    </xf>
    <xf numFmtId="37" fontId="0" fillId="15" borderId="70" xfId="0" applyNumberFormat="1" applyFont="1" applyFill="1" applyBorder="1" applyProtection="1">
      <protection locked="0"/>
    </xf>
    <xf numFmtId="37" fontId="1" fillId="14" borderId="27" xfId="0" applyNumberFormat="1" applyFont="1" applyFill="1" applyBorder="1" applyAlignment="1" applyProtection="1">
      <protection locked="0"/>
    </xf>
    <xf numFmtId="37" fontId="1" fillId="14" borderId="58" xfId="0" applyNumberFormat="1" applyFont="1" applyFill="1" applyBorder="1" applyAlignment="1" applyProtection="1">
      <protection locked="0"/>
    </xf>
    <xf numFmtId="164" fontId="1" fillId="14" borderId="28" xfId="1" applyNumberFormat="1" applyFont="1" applyFill="1" applyBorder="1" applyProtection="1">
      <protection locked="0"/>
    </xf>
    <xf numFmtId="37" fontId="1" fillId="14" borderId="28" xfId="0" applyNumberFormat="1" applyFont="1" applyFill="1" applyBorder="1" applyAlignment="1" applyProtection="1">
      <protection locked="0"/>
    </xf>
    <xf numFmtId="37" fontId="1" fillId="14" borderId="28" xfId="0" applyNumberFormat="1" applyFont="1" applyFill="1" applyBorder="1" applyProtection="1">
      <protection locked="0"/>
    </xf>
    <xf numFmtId="37" fontId="1" fillId="14" borderId="66" xfId="0" applyNumberFormat="1" applyFont="1" applyFill="1" applyBorder="1" applyProtection="1">
      <protection locked="0"/>
    </xf>
    <xf numFmtId="37" fontId="1" fillId="15" borderId="38" xfId="0" applyNumberFormat="1" applyFont="1" applyFill="1" applyBorder="1" applyAlignment="1" applyProtection="1">
      <protection locked="0"/>
    </xf>
    <xf numFmtId="37" fontId="1" fillId="15" borderId="59" xfId="0" applyNumberFormat="1" applyFont="1" applyFill="1" applyBorder="1" applyAlignment="1" applyProtection="1">
      <protection locked="0"/>
    </xf>
    <xf numFmtId="164" fontId="1" fillId="15" borderId="34" xfId="1" applyNumberFormat="1" applyFont="1" applyFill="1" applyBorder="1" applyProtection="1">
      <protection locked="0"/>
    </xf>
    <xf numFmtId="37" fontId="1" fillId="15" borderId="34" xfId="0" applyNumberFormat="1" applyFont="1" applyFill="1" applyBorder="1" applyAlignment="1" applyProtection="1">
      <protection locked="0"/>
    </xf>
    <xf numFmtId="37" fontId="1" fillId="15" borderId="34" xfId="0" applyNumberFormat="1" applyFont="1" applyFill="1" applyBorder="1" applyProtection="1">
      <protection locked="0"/>
    </xf>
    <xf numFmtId="37" fontId="1" fillId="15" borderId="68" xfId="0" applyNumberFormat="1" applyFont="1" applyFill="1" applyBorder="1" applyProtection="1">
      <protection locked="0"/>
    </xf>
    <xf numFmtId="37" fontId="1" fillId="15" borderId="29" xfId="0" applyNumberFormat="1" applyFont="1" applyFill="1" applyBorder="1" applyAlignment="1" applyProtection="1">
      <protection locked="0"/>
    </xf>
    <xf numFmtId="37" fontId="1" fillId="15" borderId="18" xfId="0" applyNumberFormat="1" applyFont="1" applyFill="1" applyBorder="1" applyAlignment="1" applyProtection="1">
      <protection locked="0"/>
    </xf>
    <xf numFmtId="164" fontId="1" fillId="15" borderId="13" xfId="1" applyNumberFormat="1" applyFont="1" applyFill="1" applyBorder="1" applyProtection="1">
      <protection locked="0"/>
    </xf>
    <xf numFmtId="37" fontId="1" fillId="15" borderId="13" xfId="0" applyNumberFormat="1" applyFont="1" applyFill="1" applyBorder="1" applyAlignment="1" applyProtection="1">
      <protection locked="0"/>
    </xf>
    <xf numFmtId="37" fontId="1" fillId="15" borderId="13" xfId="0" applyNumberFormat="1" applyFont="1" applyFill="1" applyBorder="1" applyProtection="1">
      <protection locked="0"/>
    </xf>
    <xf numFmtId="37" fontId="1" fillId="15" borderId="71" xfId="0" applyNumberFormat="1" applyFont="1" applyFill="1" applyBorder="1" applyProtection="1">
      <protection locked="0"/>
    </xf>
    <xf numFmtId="37" fontId="0" fillId="15" borderId="29" xfId="0" applyNumberFormat="1" applyFont="1" applyFill="1" applyBorder="1" applyAlignment="1" applyProtection="1">
      <protection locked="0"/>
    </xf>
    <xf numFmtId="37" fontId="0" fillId="15" borderId="18" xfId="0" applyNumberFormat="1" applyFont="1" applyFill="1" applyBorder="1" applyAlignment="1" applyProtection="1">
      <protection locked="0"/>
    </xf>
    <xf numFmtId="164" fontId="3" fillId="15" borderId="13" xfId="1" applyNumberFormat="1" applyFont="1" applyFill="1" applyBorder="1" applyProtection="1">
      <protection locked="0"/>
    </xf>
    <xf numFmtId="37" fontId="0" fillId="15" borderId="13" xfId="0" applyNumberFormat="1" applyFont="1" applyFill="1" applyBorder="1" applyAlignment="1" applyProtection="1">
      <protection locked="0"/>
    </xf>
    <xf numFmtId="37" fontId="0" fillId="15" borderId="13" xfId="0" applyNumberFormat="1" applyFont="1" applyFill="1" applyBorder="1" applyProtection="1">
      <protection locked="0"/>
    </xf>
    <xf numFmtId="37" fontId="0" fillId="15" borderId="71" xfId="0" applyNumberFormat="1" applyFont="1" applyFill="1" applyBorder="1" applyProtection="1">
      <protection locked="0"/>
    </xf>
    <xf numFmtId="37" fontId="0" fillId="15" borderId="27" xfId="0" applyNumberFormat="1" applyFont="1" applyFill="1" applyBorder="1" applyAlignment="1" applyProtection="1">
      <protection locked="0"/>
    </xf>
    <xf numFmtId="37" fontId="0" fillId="15" borderId="58" xfId="0" applyNumberFormat="1" applyFont="1" applyFill="1" applyBorder="1" applyAlignment="1" applyProtection="1">
      <protection locked="0"/>
    </xf>
    <xf numFmtId="164" fontId="3" fillId="15" borderId="28" xfId="1" applyNumberFormat="1" applyFont="1" applyFill="1" applyBorder="1" applyProtection="1">
      <protection locked="0"/>
    </xf>
    <xf numFmtId="37" fontId="0" fillId="15" borderId="28" xfId="0" applyNumberFormat="1" applyFont="1" applyFill="1" applyBorder="1" applyAlignment="1" applyProtection="1">
      <protection locked="0"/>
    </xf>
    <xf numFmtId="37" fontId="0" fillId="15" borderId="28" xfId="0" applyNumberFormat="1" applyFont="1" applyFill="1" applyBorder="1" applyProtection="1">
      <protection locked="0"/>
    </xf>
    <xf numFmtId="37" fontId="0" fillId="15" borderId="66" xfId="0" applyNumberFormat="1" applyFont="1" applyFill="1" applyBorder="1" applyProtection="1">
      <protection locked="0"/>
    </xf>
    <xf numFmtId="164" fontId="1" fillId="14" borderId="26" xfId="1" applyNumberFormat="1" applyFont="1" applyFill="1" applyBorder="1" applyAlignment="1" applyProtection="1">
      <alignment horizontal="right"/>
      <protection locked="0"/>
    </xf>
    <xf numFmtId="164" fontId="3" fillId="15" borderId="26" xfId="1" applyNumberFormat="1" applyFont="1" applyFill="1" applyBorder="1" applyAlignment="1" applyProtection="1">
      <alignment horizontal="right"/>
      <protection locked="0"/>
    </xf>
    <xf numFmtId="164" fontId="1" fillId="14" borderId="28" xfId="1" applyNumberFormat="1" applyFont="1" applyFill="1" applyBorder="1" applyAlignment="1" applyProtection="1">
      <alignment horizontal="right"/>
      <protection locked="0"/>
    </xf>
    <xf numFmtId="164" fontId="1" fillId="15" borderId="34" xfId="1" applyNumberFormat="1" applyFont="1" applyFill="1" applyBorder="1" applyAlignment="1" applyProtection="1">
      <alignment horizontal="right"/>
      <protection locked="0"/>
    </xf>
    <xf numFmtId="164" fontId="1" fillId="15" borderId="13" xfId="1" applyNumberFormat="1" applyFont="1" applyFill="1" applyBorder="1" applyAlignment="1" applyProtection="1">
      <alignment horizontal="right"/>
      <protection locked="0"/>
    </xf>
    <xf numFmtId="37" fontId="0" fillId="15" borderId="30" xfId="0" applyNumberFormat="1" applyFont="1" applyFill="1" applyBorder="1" applyAlignment="1" applyProtection="1">
      <protection locked="0"/>
    </xf>
    <xf numFmtId="37" fontId="0" fillId="15" borderId="22" xfId="0" applyNumberFormat="1" applyFont="1" applyFill="1" applyBorder="1" applyAlignment="1" applyProtection="1">
      <protection locked="0"/>
    </xf>
    <xf numFmtId="164" fontId="3" fillId="15" borderId="14" xfId="1" applyNumberFormat="1" applyFont="1" applyFill="1" applyBorder="1" applyAlignment="1" applyProtection="1">
      <alignment horizontal="right"/>
      <protection locked="0"/>
    </xf>
    <xf numFmtId="37" fontId="0" fillId="15" borderId="14" xfId="0" applyNumberFormat="1" applyFont="1" applyFill="1" applyBorder="1" applyAlignment="1" applyProtection="1">
      <protection locked="0"/>
    </xf>
    <xf numFmtId="37" fontId="0" fillId="15" borderId="14" xfId="0" applyNumberFormat="1" applyFont="1" applyFill="1" applyBorder="1" applyProtection="1">
      <protection locked="0"/>
    </xf>
    <xf numFmtId="37" fontId="0" fillId="15" borderId="67" xfId="0" applyNumberFormat="1" applyFont="1" applyFill="1" applyBorder="1" applyProtection="1">
      <protection locked="0"/>
    </xf>
    <xf numFmtId="37" fontId="0" fillId="15" borderId="31" xfId="0" applyNumberFormat="1" applyFont="1" applyFill="1" applyBorder="1" applyAlignment="1" applyProtection="1">
      <protection locked="0"/>
    </xf>
    <xf numFmtId="37" fontId="0" fillId="15" borderId="60" xfId="0" applyNumberFormat="1" applyFont="1" applyFill="1" applyBorder="1" applyAlignment="1" applyProtection="1">
      <protection locked="0"/>
    </xf>
    <xf numFmtId="164" fontId="3" fillId="15" borderId="32" xfId="1" applyNumberFormat="1" applyFont="1" applyFill="1" applyBorder="1" applyAlignment="1" applyProtection="1">
      <alignment horizontal="right"/>
      <protection locked="0"/>
    </xf>
    <xf numFmtId="37" fontId="0" fillId="15" borderId="32" xfId="0" applyNumberFormat="1" applyFont="1" applyFill="1" applyBorder="1" applyAlignment="1" applyProtection="1">
      <protection locked="0"/>
    </xf>
    <xf numFmtId="37" fontId="0" fillId="15" borderId="32" xfId="0" applyNumberFormat="1" applyFont="1" applyFill="1" applyBorder="1" applyProtection="1">
      <protection locked="0"/>
    </xf>
    <xf numFmtId="37" fontId="0" fillId="15" borderId="63" xfId="0" applyNumberFormat="1" applyFont="1" applyFill="1" applyBorder="1" applyProtection="1">
      <protection locked="0"/>
    </xf>
    <xf numFmtId="44" fontId="1" fillId="14" borderId="25" xfId="0" applyNumberFormat="1" applyFont="1" applyFill="1" applyBorder="1" applyAlignment="1" applyProtection="1">
      <protection locked="0"/>
    </xf>
    <xf numFmtId="44" fontId="1" fillId="14" borderId="57" xfId="0" applyNumberFormat="1" applyFont="1" applyFill="1" applyBorder="1" applyAlignment="1" applyProtection="1">
      <protection locked="0"/>
    </xf>
    <xf numFmtId="164" fontId="1" fillId="14" borderId="26" xfId="1" applyNumberFormat="1" applyFont="1" applyFill="1" applyBorder="1" applyAlignment="1" applyProtection="1">
      <protection locked="0"/>
    </xf>
    <xf numFmtId="44" fontId="1" fillId="14" borderId="26" xfId="0" applyNumberFormat="1" applyFont="1" applyFill="1" applyBorder="1" applyProtection="1">
      <protection locked="0"/>
    </xf>
    <xf numFmtId="44" fontId="1" fillId="14" borderId="70" xfId="0" applyNumberFormat="1" applyFont="1" applyFill="1" applyBorder="1" applyProtection="1">
      <protection locked="0"/>
    </xf>
    <xf numFmtId="44" fontId="0" fillId="15" borderId="25" xfId="0" applyNumberFormat="1" applyFont="1" applyFill="1" applyBorder="1" applyAlignment="1" applyProtection="1">
      <protection locked="0"/>
    </xf>
    <xf numFmtId="44" fontId="0" fillId="15" borderId="57" xfId="0" applyNumberFormat="1" applyFont="1" applyFill="1" applyBorder="1" applyAlignment="1" applyProtection="1">
      <protection locked="0"/>
    </xf>
    <xf numFmtId="164" fontId="3" fillId="15" borderId="26" xfId="1" applyNumberFormat="1" applyFont="1" applyFill="1" applyBorder="1" applyAlignment="1" applyProtection="1">
      <protection locked="0"/>
    </xf>
    <xf numFmtId="44" fontId="0" fillId="15" borderId="26" xfId="0" applyNumberFormat="1" applyFont="1" applyFill="1" applyBorder="1" applyProtection="1">
      <protection locked="0"/>
    </xf>
    <xf numFmtId="44" fontId="0" fillId="15" borderId="70" xfId="0" applyNumberFormat="1" applyFont="1" applyFill="1" applyBorder="1" applyProtection="1">
      <protection locked="0"/>
    </xf>
    <xf numFmtId="44" fontId="1" fillId="14" borderId="27" xfId="0" applyNumberFormat="1" applyFont="1" applyFill="1" applyBorder="1" applyAlignment="1" applyProtection="1">
      <protection locked="0"/>
    </xf>
    <xf numFmtId="44" fontId="1" fillId="14" borderId="58" xfId="0" applyNumberFormat="1" applyFont="1" applyFill="1" applyBorder="1" applyAlignment="1" applyProtection="1">
      <protection locked="0"/>
    </xf>
    <xf numFmtId="164" fontId="1" fillId="14" borderId="28" xfId="1" applyNumberFormat="1" applyFont="1" applyFill="1" applyBorder="1" applyAlignment="1" applyProtection="1">
      <protection locked="0"/>
    </xf>
    <xf numFmtId="44" fontId="1" fillId="14" borderId="28" xfId="0" applyNumberFormat="1" applyFont="1" applyFill="1" applyBorder="1" applyProtection="1">
      <protection locked="0"/>
    </xf>
    <xf numFmtId="44" fontId="1" fillId="14" borderId="66" xfId="0" applyNumberFormat="1" applyFont="1" applyFill="1" applyBorder="1" applyProtection="1">
      <protection locked="0"/>
    </xf>
    <xf numFmtId="44" fontId="1" fillId="15" borderId="38" xfId="0" applyNumberFormat="1" applyFont="1" applyFill="1" applyBorder="1" applyAlignment="1" applyProtection="1">
      <protection locked="0"/>
    </xf>
    <xf numFmtId="44" fontId="1" fillId="15" borderId="59" xfId="0" applyNumberFormat="1" applyFont="1" applyFill="1" applyBorder="1" applyAlignment="1" applyProtection="1">
      <protection locked="0"/>
    </xf>
    <xf numFmtId="164" fontId="1" fillId="15" borderId="34" xfId="1" applyNumberFormat="1" applyFont="1" applyFill="1" applyBorder="1" applyAlignment="1" applyProtection="1">
      <protection locked="0"/>
    </xf>
    <xf numFmtId="44" fontId="1" fillId="15" borderId="34" xfId="0" applyNumberFormat="1" applyFont="1" applyFill="1" applyBorder="1" applyProtection="1">
      <protection locked="0"/>
    </xf>
    <xf numFmtId="44" fontId="1" fillId="15" borderId="68" xfId="0" applyNumberFormat="1" applyFont="1" applyFill="1" applyBorder="1" applyProtection="1">
      <protection locked="0"/>
    </xf>
    <xf numFmtId="44" fontId="1" fillId="15" borderId="29" xfId="0" applyNumberFormat="1" applyFont="1" applyFill="1" applyBorder="1" applyAlignment="1" applyProtection="1">
      <protection locked="0"/>
    </xf>
    <xf numFmtId="44" fontId="1" fillId="15" borderId="18" xfId="0" applyNumberFormat="1" applyFont="1" applyFill="1" applyBorder="1" applyAlignment="1" applyProtection="1">
      <protection locked="0"/>
    </xf>
    <xf numFmtId="164" fontId="1" fillId="15" borderId="13" xfId="1" applyNumberFormat="1" applyFont="1" applyFill="1" applyBorder="1" applyAlignment="1" applyProtection="1">
      <protection locked="0"/>
    </xf>
    <xf numFmtId="44" fontId="1" fillId="15" borderId="13" xfId="0" applyNumberFormat="1" applyFont="1" applyFill="1" applyBorder="1" applyProtection="1">
      <protection locked="0"/>
    </xf>
    <xf numFmtId="44" fontId="1" fillId="15" borderId="71" xfId="0" applyNumberFormat="1" applyFont="1" applyFill="1" applyBorder="1" applyProtection="1">
      <protection locked="0"/>
    </xf>
    <xf numFmtId="44" fontId="0" fillId="15" borderId="41" xfId="0" applyNumberFormat="1" applyFont="1" applyFill="1" applyBorder="1" applyAlignment="1" applyProtection="1">
      <protection locked="0"/>
    </xf>
    <xf numFmtId="44" fontId="0" fillId="15" borderId="61" xfId="0" applyNumberFormat="1" applyFont="1" applyFill="1" applyBorder="1" applyAlignment="1" applyProtection="1">
      <protection locked="0"/>
    </xf>
    <xf numFmtId="164" fontId="3" fillId="15" borderId="42" xfId="1" applyNumberFormat="1" applyFont="1" applyFill="1" applyBorder="1" applyAlignment="1" applyProtection="1">
      <protection locked="0"/>
    </xf>
    <xf numFmtId="44" fontId="0" fillId="15" borderId="42" xfId="0" applyNumberFormat="1" applyFont="1" applyFill="1" applyBorder="1" applyProtection="1">
      <protection locked="0"/>
    </xf>
    <xf numFmtId="44" fontId="0" fillId="15" borderId="65" xfId="0" applyNumberFormat="1" applyFont="1" applyFill="1" applyBorder="1" applyProtection="1">
      <protection locked="0"/>
    </xf>
    <xf numFmtId="44" fontId="1" fillId="15" borderId="40" xfId="0" applyNumberFormat="1" applyFont="1" applyFill="1" applyBorder="1" applyAlignment="1" applyProtection="1">
      <protection locked="0"/>
    </xf>
    <xf numFmtId="164" fontId="1" fillId="15" borderId="39" xfId="1" applyNumberFormat="1" applyFont="1" applyFill="1" applyBorder="1" applyAlignment="1" applyProtection="1">
      <protection locked="0"/>
    </xf>
    <xf numFmtId="44" fontId="1" fillId="15" borderId="39" xfId="0" applyNumberFormat="1" applyFont="1" applyFill="1" applyBorder="1" applyProtection="1">
      <protection locked="0"/>
    </xf>
    <xf numFmtId="0" fontId="0" fillId="7" borderId="0" xfId="0" applyFill="1" applyAlignment="1" applyProtection="1"/>
    <xf numFmtId="37" fontId="0" fillId="20" borderId="0" xfId="0" applyNumberFormat="1" applyFill="1" applyProtection="1"/>
    <xf numFmtId="0" fontId="0" fillId="2" borderId="0" xfId="0" applyFill="1" applyAlignment="1" applyProtection="1">
      <alignment horizontal="right" wrapText="1"/>
    </xf>
    <xf numFmtId="37" fontId="1" fillId="0" borderId="13" xfId="0" applyNumberFormat="1" applyFont="1" applyFill="1" applyBorder="1" applyProtection="1"/>
    <xf numFmtId="164" fontId="1" fillId="0" borderId="13" xfId="1" applyNumberFormat="1" applyFont="1" applyFill="1" applyBorder="1" applyProtection="1"/>
    <xf numFmtId="37" fontId="1" fillId="11" borderId="13" xfId="0" applyNumberFormat="1" applyFont="1" applyFill="1" applyBorder="1" applyProtection="1"/>
    <xf numFmtId="37" fontId="0" fillId="2" borderId="0" xfId="0" applyNumberFormat="1" applyFill="1" applyAlignment="1" applyProtection="1">
      <alignment horizontal="right"/>
    </xf>
    <xf numFmtId="0" fontId="0" fillId="2" borderId="0" xfId="0" applyFill="1" applyAlignment="1" applyProtection="1"/>
    <xf numFmtId="0" fontId="0" fillId="2" borderId="0" xfId="0" applyFont="1" applyFill="1" applyAlignment="1" applyProtection="1">
      <alignment horizontal="left"/>
    </xf>
    <xf numFmtId="39" fontId="1" fillId="0" borderId="36" xfId="0" applyNumberFormat="1" applyFont="1" applyFill="1" applyBorder="1" applyProtection="1"/>
    <xf numFmtId="164" fontId="1" fillId="0" borderId="36" xfId="1" applyNumberFormat="1" applyFont="1" applyFill="1" applyBorder="1" applyProtection="1"/>
    <xf numFmtId="39" fontId="1" fillId="11" borderId="37" xfId="0" applyNumberFormat="1" applyFont="1" applyFill="1" applyBorder="1" applyProtection="1"/>
    <xf numFmtId="39" fontId="0" fillId="18" borderId="73" xfId="0" applyNumberFormat="1" applyFill="1" applyBorder="1" applyProtection="1">
      <protection locked="0"/>
    </xf>
    <xf numFmtId="39" fontId="0" fillId="19" borderId="73" xfId="0" applyNumberFormat="1" applyFill="1" applyBorder="1" applyProtection="1">
      <protection locked="0"/>
    </xf>
    <xf numFmtId="39" fontId="0" fillId="11" borderId="73" xfId="0" applyNumberFormat="1" applyFill="1" applyBorder="1" applyProtection="1">
      <protection locked="0"/>
    </xf>
    <xf numFmtId="39" fontId="0" fillId="9" borderId="73" xfId="0" applyNumberFormat="1" applyFill="1" applyBorder="1" applyProtection="1">
      <protection locked="0"/>
    </xf>
    <xf numFmtId="37" fontId="1" fillId="0" borderId="33" xfId="0" applyNumberFormat="1" applyFont="1" applyFill="1" applyBorder="1" applyProtection="1">
      <protection locked="0"/>
    </xf>
    <xf numFmtId="164" fontId="1" fillId="0" borderId="33" xfId="1" applyNumberFormat="1" applyFont="1" applyFill="1" applyBorder="1" applyProtection="1">
      <protection locked="0"/>
    </xf>
    <xf numFmtId="37" fontId="1" fillId="11" borderId="33" xfId="0" applyNumberFormat="1" applyFont="1" applyFill="1" applyBorder="1" applyProtection="1">
      <protection locked="0"/>
    </xf>
    <xf numFmtId="39" fontId="0" fillId="18" borderId="23" xfId="0" applyNumberFormat="1" applyFill="1" applyBorder="1" applyProtection="1">
      <protection locked="0"/>
    </xf>
    <xf numFmtId="39" fontId="0" fillId="19" borderId="23" xfId="0" applyNumberFormat="1" applyFill="1" applyBorder="1" applyProtection="1">
      <protection locked="0"/>
    </xf>
    <xf numFmtId="39" fontId="0" fillId="11" borderId="23" xfId="0" applyNumberFormat="1" applyFill="1" applyBorder="1" applyProtection="1">
      <protection locked="0"/>
    </xf>
    <xf numFmtId="39" fontId="0" fillId="9" borderId="23" xfId="0" applyNumberFormat="1" applyFill="1" applyBorder="1" applyProtection="1">
      <protection locked="0"/>
    </xf>
    <xf numFmtId="164" fontId="0" fillId="2" borderId="0" xfId="1" applyNumberFormat="1" applyFont="1" applyFill="1" applyProtection="1"/>
    <xf numFmtId="39" fontId="0" fillId="11" borderId="4" xfId="0" applyNumberFormat="1" applyFill="1" applyBorder="1" applyAlignment="1" applyProtection="1">
      <alignment horizontal="right"/>
    </xf>
    <xf numFmtId="37" fontId="0" fillId="11" borderId="4" xfId="0" applyNumberFormat="1" applyFill="1" applyBorder="1" applyAlignment="1" applyProtection="1">
      <alignment horizontal="right"/>
    </xf>
    <xf numFmtId="10" fontId="0" fillId="2" borderId="0" xfId="0" applyNumberFormat="1" applyFill="1" applyProtection="1"/>
    <xf numFmtId="39" fontId="1" fillId="18" borderId="37" xfId="0" applyNumberFormat="1" applyFont="1" applyFill="1" applyBorder="1" applyProtection="1"/>
    <xf numFmtId="39" fontId="1" fillId="19" borderId="37" xfId="0" applyNumberFormat="1" applyFont="1" applyFill="1" applyBorder="1" applyProtection="1"/>
    <xf numFmtId="39" fontId="1" fillId="9" borderId="37" xfId="0" applyNumberFormat="1" applyFont="1" applyFill="1" applyBorder="1" applyProtection="1"/>
    <xf numFmtId="39" fontId="1" fillId="11" borderId="37" xfId="0" applyNumberFormat="1" applyFont="1" applyFill="1" applyBorder="1" applyAlignment="1" applyProtection="1">
      <alignment horizontal="right"/>
    </xf>
    <xf numFmtId="39" fontId="0" fillId="11" borderId="13" xfId="0" applyNumberFormat="1" applyFill="1" applyBorder="1" applyAlignment="1" applyProtection="1">
      <alignment horizontal="right"/>
    </xf>
    <xf numFmtId="37" fontId="0" fillId="2" borderId="21" xfId="0" applyNumberFormat="1" applyFill="1" applyBorder="1" applyProtection="1"/>
    <xf numFmtId="37" fontId="0" fillId="2" borderId="0" xfId="0" applyNumberFormat="1" applyFill="1" applyBorder="1" applyProtection="1"/>
    <xf numFmtId="37" fontId="0" fillId="15" borderId="4" xfId="0" applyNumberFormat="1" applyFont="1" applyFill="1" applyBorder="1" applyAlignment="1" applyProtection="1"/>
    <xf numFmtId="49" fontId="0" fillId="3" borderId="0" xfId="0" applyNumberFormat="1" applyFont="1" applyFill="1" applyAlignment="1" applyProtection="1">
      <alignment horizontal="left"/>
    </xf>
    <xf numFmtId="39" fontId="0" fillId="18" borderId="26" xfId="0" applyNumberFormat="1" applyFill="1" applyBorder="1" applyProtection="1"/>
    <xf numFmtId="39" fontId="0" fillId="19" borderId="26" xfId="0" applyNumberFormat="1" applyFill="1" applyBorder="1" applyProtection="1"/>
    <xf numFmtId="39" fontId="0" fillId="9" borderId="26" xfId="0" applyNumberFormat="1" applyFill="1" applyBorder="1" applyProtection="1"/>
    <xf numFmtId="39" fontId="0" fillId="11" borderId="26" xfId="0" applyNumberFormat="1" applyFill="1" applyBorder="1" applyAlignment="1" applyProtection="1">
      <alignment horizontal="right"/>
    </xf>
    <xf numFmtId="37" fontId="0" fillId="11" borderId="70" xfId="0" applyNumberFormat="1" applyFill="1" applyBorder="1" applyAlignment="1" applyProtection="1">
      <alignment horizontal="right"/>
    </xf>
    <xf numFmtId="39" fontId="0" fillId="18" borderId="28" xfId="0" applyNumberFormat="1" applyFill="1" applyBorder="1" applyProtection="1"/>
    <xf numFmtId="39" fontId="0" fillId="19" borderId="28" xfId="0" applyNumberFormat="1" applyFill="1" applyBorder="1" applyProtection="1"/>
    <xf numFmtId="39" fontId="0" fillId="9" borderId="28" xfId="0" applyNumberFormat="1" applyFill="1" applyBorder="1" applyProtection="1"/>
    <xf numFmtId="39" fontId="0" fillId="11" borderId="28" xfId="0" applyNumberFormat="1" applyFill="1" applyBorder="1" applyAlignment="1" applyProtection="1">
      <alignment horizontal="right"/>
    </xf>
    <xf numFmtId="37" fontId="0" fillId="11" borderId="66" xfId="0" applyNumberFormat="1" applyFill="1" applyBorder="1" applyAlignment="1" applyProtection="1">
      <alignment horizontal="right"/>
    </xf>
    <xf numFmtId="39" fontId="1" fillId="11" borderId="34" xfId="0" applyNumberFormat="1" applyFont="1" applyFill="1" applyBorder="1" applyAlignment="1" applyProtection="1">
      <alignment horizontal="right"/>
    </xf>
    <xf numFmtId="37" fontId="1" fillId="11" borderId="68" xfId="0" applyNumberFormat="1" applyFont="1" applyFill="1" applyBorder="1" applyAlignment="1" applyProtection="1">
      <alignment horizontal="right"/>
    </xf>
    <xf numFmtId="37" fontId="0" fillId="11" borderId="71" xfId="0" applyNumberFormat="1" applyFill="1" applyBorder="1" applyAlignment="1" applyProtection="1">
      <alignment horizontal="right"/>
    </xf>
    <xf numFmtId="10" fontId="0" fillId="2" borderId="22" xfId="1" applyNumberFormat="1" applyFont="1" applyFill="1" applyBorder="1" applyProtection="1"/>
    <xf numFmtId="10" fontId="0" fillId="2" borderId="21" xfId="1" applyNumberFormat="1" applyFont="1" applyFill="1" applyBorder="1" applyProtection="1"/>
    <xf numFmtId="10" fontId="0" fillId="2" borderId="0" xfId="1" applyNumberFormat="1" applyFont="1" applyFill="1" applyBorder="1" applyProtection="1"/>
    <xf numFmtId="37" fontId="0" fillId="2" borderId="15" xfId="0" applyNumberFormat="1" applyFill="1" applyBorder="1" applyProtection="1"/>
    <xf numFmtId="37" fontId="0" fillId="2" borderId="19" xfId="0" applyNumberFormat="1" applyFill="1" applyBorder="1" applyProtection="1"/>
    <xf numFmtId="39" fontId="1" fillId="18" borderId="33" xfId="0" applyNumberFormat="1" applyFont="1" applyFill="1" applyBorder="1" applyProtection="1"/>
    <xf numFmtId="39" fontId="1" fillId="19" borderId="33" xfId="0" applyNumberFormat="1" applyFont="1" applyFill="1" applyBorder="1" applyProtection="1"/>
    <xf numFmtId="39" fontId="1" fillId="9" borderId="33" xfId="0" applyNumberFormat="1" applyFont="1" applyFill="1" applyBorder="1" applyProtection="1"/>
    <xf numFmtId="39" fontId="1" fillId="11" borderId="33" xfId="0" applyNumberFormat="1" applyFont="1" applyFill="1" applyBorder="1" applyAlignment="1" applyProtection="1">
      <alignment horizontal="right"/>
    </xf>
    <xf numFmtId="39" fontId="1" fillId="18" borderId="23" xfId="0" applyNumberFormat="1" applyFont="1" applyFill="1" applyBorder="1" applyProtection="1"/>
    <xf numFmtId="39" fontId="1" fillId="19" borderId="23" xfId="0" applyNumberFormat="1" applyFont="1" applyFill="1" applyBorder="1" applyProtection="1"/>
    <xf numFmtId="39" fontId="1" fillId="9" borderId="23" xfId="0" applyNumberFormat="1" applyFont="1" applyFill="1" applyBorder="1" applyProtection="1"/>
    <xf numFmtId="39" fontId="1" fillId="11" borderId="23" xfId="0" applyNumberFormat="1" applyFont="1" applyFill="1" applyBorder="1" applyAlignment="1" applyProtection="1">
      <alignment horizontal="right"/>
    </xf>
    <xf numFmtId="39" fontId="0" fillId="11" borderId="4" xfId="0" applyNumberFormat="1" applyFill="1" applyBorder="1" applyAlignment="1" applyProtection="1">
      <alignment horizontal="right"/>
      <protection locked="0"/>
    </xf>
    <xf numFmtId="37" fontId="0" fillId="11" borderId="4" xfId="0" applyNumberFormat="1" applyFill="1" applyBorder="1" applyAlignment="1" applyProtection="1">
      <alignment horizontal="right"/>
      <protection locked="0"/>
    </xf>
    <xf numFmtId="39" fontId="0" fillId="11" borderId="9" xfId="0" applyNumberFormat="1" applyFill="1" applyBorder="1" applyAlignment="1" applyProtection="1">
      <alignment horizontal="right"/>
      <protection locked="0"/>
    </xf>
    <xf numFmtId="37" fontId="0" fillId="11" borderId="9" xfId="0" applyNumberFormat="1" applyFill="1" applyBorder="1" applyAlignment="1" applyProtection="1">
      <alignment horizontal="right"/>
      <protection locked="0"/>
    </xf>
    <xf numFmtId="39" fontId="1" fillId="11" borderId="34" xfId="0" applyNumberFormat="1" applyFont="1" applyFill="1" applyBorder="1" applyAlignment="1" applyProtection="1">
      <alignment horizontal="right"/>
      <protection locked="0"/>
    </xf>
    <xf numFmtId="37" fontId="1" fillId="11" borderId="34" xfId="0" applyNumberFormat="1" applyFont="1" applyFill="1" applyBorder="1" applyAlignment="1" applyProtection="1">
      <alignment horizontal="right"/>
      <protection locked="0"/>
    </xf>
    <xf numFmtId="39" fontId="0" fillId="11" borderId="13" xfId="0" applyNumberFormat="1" applyFill="1" applyBorder="1" applyAlignment="1" applyProtection="1">
      <alignment horizontal="right"/>
      <protection locked="0"/>
    </xf>
    <xf numFmtId="37" fontId="0" fillId="11" borderId="13" xfId="0" applyNumberFormat="1" applyFill="1" applyBorder="1" applyAlignment="1" applyProtection="1">
      <alignment horizontal="right"/>
      <protection locked="0"/>
    </xf>
    <xf numFmtId="39" fontId="1" fillId="11" borderId="12" xfId="0" applyNumberFormat="1" applyFont="1" applyFill="1" applyBorder="1" applyAlignment="1" applyProtection="1">
      <alignment horizontal="right"/>
      <protection locked="0"/>
    </xf>
    <xf numFmtId="37" fontId="1" fillId="11" borderId="12" xfId="0" applyNumberFormat="1" applyFont="1" applyFill="1" applyBorder="1" applyAlignment="1" applyProtection="1">
      <alignment horizontal="right"/>
      <protection locked="0"/>
    </xf>
    <xf numFmtId="39" fontId="1" fillId="11" borderId="11" xfId="0" applyNumberFormat="1" applyFont="1" applyFill="1" applyBorder="1" applyAlignment="1" applyProtection="1">
      <alignment horizontal="right"/>
      <protection locked="0"/>
    </xf>
    <xf numFmtId="37" fontId="1" fillId="11" borderId="11" xfId="0" applyNumberFormat="1" applyFont="1" applyFill="1" applyBorder="1" applyAlignment="1" applyProtection="1">
      <alignment horizontal="right"/>
      <protection locked="0"/>
    </xf>
    <xf numFmtId="37" fontId="0" fillId="0" borderId="31" xfId="0" applyNumberFormat="1" applyFill="1" applyBorder="1" applyProtection="1">
      <protection locked="0"/>
    </xf>
    <xf numFmtId="164" fontId="0" fillId="0" borderId="32" xfId="1" applyNumberFormat="1" applyFont="1" applyFill="1" applyBorder="1" applyProtection="1">
      <protection locked="0"/>
    </xf>
    <xf numFmtId="0" fontId="0" fillId="2" borderId="64" xfId="0" applyFill="1" applyBorder="1" applyProtection="1">
      <protection locked="0"/>
    </xf>
    <xf numFmtId="37" fontId="0" fillId="11" borderId="32" xfId="0" applyNumberFormat="1" applyFill="1" applyBorder="1" applyProtection="1">
      <protection locked="0"/>
    </xf>
    <xf numFmtId="37" fontId="0" fillId="11" borderId="63" xfId="0" applyNumberFormat="1" applyFill="1" applyBorder="1" applyProtection="1">
      <protection locked="0"/>
    </xf>
    <xf numFmtId="39" fontId="0" fillId="18" borderId="26" xfId="0" applyNumberFormat="1" applyFill="1" applyBorder="1" applyProtection="1">
      <protection locked="0"/>
    </xf>
    <xf numFmtId="39" fontId="0" fillId="19" borderId="26" xfId="0" applyNumberFormat="1" applyFill="1" applyBorder="1" applyProtection="1">
      <protection locked="0"/>
    </xf>
    <xf numFmtId="39" fontId="0" fillId="9" borderId="26" xfId="0" applyNumberFormat="1" applyFill="1" applyBorder="1" applyProtection="1">
      <protection locked="0"/>
    </xf>
    <xf numFmtId="39" fontId="0" fillId="11" borderId="26" xfId="0" applyNumberFormat="1" applyFill="1" applyBorder="1" applyAlignment="1" applyProtection="1">
      <alignment horizontal="right"/>
      <protection locked="0"/>
    </xf>
    <xf numFmtId="37" fontId="0" fillId="11" borderId="70" xfId="0" applyNumberFormat="1" applyFill="1" applyBorder="1" applyAlignment="1" applyProtection="1">
      <alignment horizontal="right"/>
      <protection locked="0"/>
    </xf>
    <xf numFmtId="37" fontId="0" fillId="0" borderId="27" xfId="0" applyNumberFormat="1" applyFill="1" applyBorder="1" applyProtection="1">
      <protection locked="0"/>
    </xf>
    <xf numFmtId="164" fontId="0" fillId="0" borderId="28" xfId="1" applyNumberFormat="1" applyFont="1" applyFill="1" applyBorder="1" applyProtection="1">
      <protection locked="0"/>
    </xf>
    <xf numFmtId="37" fontId="0" fillId="11" borderId="28" xfId="0" applyNumberFormat="1" applyFill="1" applyBorder="1" applyProtection="1">
      <protection locked="0"/>
    </xf>
    <xf numFmtId="37" fontId="0" fillId="11" borderId="66" xfId="0" applyNumberFormat="1" applyFill="1" applyBorder="1" applyProtection="1">
      <protection locked="0"/>
    </xf>
    <xf numFmtId="39" fontId="0" fillId="18" borderId="28" xfId="0" applyNumberFormat="1" applyFill="1" applyBorder="1" applyProtection="1">
      <protection locked="0"/>
    </xf>
    <xf numFmtId="39" fontId="0" fillId="19" borderId="28" xfId="0" applyNumberFormat="1" applyFill="1" applyBorder="1" applyProtection="1">
      <protection locked="0"/>
    </xf>
    <xf numFmtId="39" fontId="0" fillId="9" borderId="28" xfId="0" applyNumberFormat="1" applyFill="1" applyBorder="1" applyProtection="1">
      <protection locked="0"/>
    </xf>
    <xf numFmtId="39" fontId="0" fillId="11" borderId="28" xfId="0" applyNumberFormat="1" applyFill="1" applyBorder="1" applyAlignment="1" applyProtection="1">
      <alignment horizontal="right"/>
      <protection locked="0"/>
    </xf>
    <xf numFmtId="37" fontId="0" fillId="11" borderId="66" xfId="0" applyNumberFormat="1" applyFill="1" applyBorder="1" applyAlignment="1" applyProtection="1">
      <alignment horizontal="right"/>
      <protection locked="0"/>
    </xf>
    <xf numFmtId="37" fontId="1" fillId="0" borderId="38" xfId="0" applyNumberFormat="1" applyFont="1" applyFill="1" applyBorder="1" applyProtection="1">
      <protection locked="0"/>
    </xf>
    <xf numFmtId="37" fontId="1" fillId="11" borderId="68" xfId="0" applyNumberFormat="1" applyFont="1" applyFill="1" applyBorder="1" applyProtection="1">
      <protection locked="0"/>
    </xf>
    <xf numFmtId="37" fontId="1" fillId="11" borderId="68" xfId="0" applyNumberFormat="1" applyFont="1" applyFill="1" applyBorder="1" applyAlignment="1" applyProtection="1">
      <alignment horizontal="right"/>
      <protection locked="0"/>
    </xf>
    <xf numFmtId="37" fontId="0" fillId="0" borderId="41" xfId="0" applyNumberFormat="1" applyFill="1" applyBorder="1" applyProtection="1">
      <protection locked="0"/>
    </xf>
    <xf numFmtId="164" fontId="0" fillId="0" borderId="42" xfId="1" applyNumberFormat="1" applyFont="1" applyFill="1" applyBorder="1" applyProtection="1">
      <protection locked="0"/>
    </xf>
    <xf numFmtId="0" fontId="0" fillId="2" borderId="0" xfId="0" applyFill="1" applyBorder="1" applyProtection="1">
      <protection locked="0"/>
    </xf>
    <xf numFmtId="37" fontId="0" fillId="11" borderId="42" xfId="0" applyNumberFormat="1" applyFill="1" applyBorder="1" applyProtection="1">
      <protection locked="0"/>
    </xf>
    <xf numFmtId="37" fontId="0" fillId="11" borderId="65" xfId="0" applyNumberFormat="1" applyFill="1" applyBorder="1" applyProtection="1">
      <protection locked="0"/>
    </xf>
    <xf numFmtId="37" fontId="0" fillId="11" borderId="71" xfId="0" applyNumberFormat="1" applyFill="1" applyBorder="1" applyAlignment="1" applyProtection="1">
      <alignment horizontal="right"/>
      <protection locked="0"/>
    </xf>
    <xf numFmtId="37" fontId="1" fillId="0" borderId="43" xfId="0" applyNumberFormat="1" applyFont="1" applyFill="1" applyBorder="1" applyProtection="1">
      <protection locked="0"/>
    </xf>
    <xf numFmtId="37" fontId="1" fillId="11" borderId="69" xfId="0" applyNumberFormat="1" applyFont="1" applyFill="1" applyBorder="1" applyProtection="1">
      <protection locked="0"/>
    </xf>
    <xf numFmtId="37" fontId="1" fillId="11" borderId="69" xfId="0" applyNumberFormat="1" applyFont="1" applyFill="1" applyBorder="1" applyAlignment="1" applyProtection="1">
      <alignment horizontal="right"/>
      <protection locked="0"/>
    </xf>
    <xf numFmtId="39" fontId="1" fillId="18" borderId="37" xfId="0" applyNumberFormat="1" applyFont="1" applyFill="1" applyBorder="1" applyProtection="1">
      <protection locked="0"/>
    </xf>
    <xf numFmtId="39" fontId="1" fillId="19" borderId="37" xfId="0" applyNumberFormat="1" applyFont="1" applyFill="1" applyBorder="1" applyProtection="1">
      <protection locked="0"/>
    </xf>
    <xf numFmtId="39" fontId="1" fillId="9" borderId="37" xfId="0" applyNumberFormat="1" applyFont="1" applyFill="1" applyBorder="1" applyProtection="1">
      <protection locked="0"/>
    </xf>
    <xf numFmtId="39" fontId="1" fillId="11" borderId="37" xfId="0" applyNumberFormat="1" applyFont="1" applyFill="1" applyBorder="1" applyAlignment="1" applyProtection="1">
      <alignment horizontal="right"/>
      <protection locked="0"/>
    </xf>
    <xf numFmtId="37" fontId="1" fillId="11" borderId="37" xfId="0" applyNumberFormat="1" applyFont="1" applyFill="1" applyBorder="1" applyAlignment="1" applyProtection="1">
      <alignment horizontal="right"/>
      <protection locked="0"/>
    </xf>
    <xf numFmtId="166" fontId="1" fillId="11" borderId="37" xfId="0" applyNumberFormat="1" applyFont="1" applyFill="1" applyBorder="1" applyAlignment="1" applyProtection="1">
      <alignment horizontal="right"/>
      <protection locked="0"/>
    </xf>
    <xf numFmtId="37" fontId="1" fillId="0" borderId="21" xfId="0" applyNumberFormat="1" applyFont="1" applyFill="1" applyBorder="1" applyProtection="1">
      <protection locked="0"/>
    </xf>
    <xf numFmtId="37" fontId="1" fillId="0" borderId="0" xfId="0" applyNumberFormat="1" applyFont="1" applyFill="1" applyBorder="1" applyProtection="1">
      <protection locked="0"/>
    </xf>
    <xf numFmtId="164" fontId="1" fillId="0" borderId="22" xfId="1" applyNumberFormat="1" applyFont="1" applyFill="1" applyBorder="1" applyProtection="1">
      <protection locked="0"/>
    </xf>
    <xf numFmtId="164" fontId="1" fillId="0" borderId="0" xfId="1" applyNumberFormat="1" applyFont="1" applyFill="1" applyBorder="1" applyProtection="1">
      <protection locked="0"/>
    </xf>
    <xf numFmtId="37" fontId="1" fillId="11" borderId="22" xfId="0" applyNumberFormat="1" applyFont="1" applyFill="1" applyBorder="1" applyProtection="1">
      <protection locked="0"/>
    </xf>
    <xf numFmtId="39" fontId="1" fillId="18" borderId="33" xfId="0" applyNumberFormat="1" applyFont="1" applyFill="1" applyBorder="1" applyProtection="1">
      <protection locked="0"/>
    </xf>
    <xf numFmtId="39" fontId="1" fillId="19" borderId="33" xfId="0" applyNumberFormat="1" applyFont="1" applyFill="1" applyBorder="1" applyProtection="1">
      <protection locked="0"/>
    </xf>
    <xf numFmtId="39" fontId="1" fillId="9" borderId="33" xfId="0" applyNumberFormat="1" applyFont="1" applyFill="1" applyBorder="1" applyProtection="1">
      <protection locked="0"/>
    </xf>
    <xf numFmtId="39" fontId="1" fillId="11" borderId="33" xfId="0" applyNumberFormat="1" applyFont="1" applyFill="1" applyBorder="1" applyAlignment="1" applyProtection="1">
      <alignment horizontal="right"/>
      <protection locked="0"/>
    </xf>
    <xf numFmtId="37" fontId="1" fillId="11" borderId="33" xfId="0" applyNumberFormat="1" applyFont="1" applyFill="1" applyBorder="1" applyAlignment="1" applyProtection="1">
      <alignment horizontal="right"/>
      <protection locked="0"/>
    </xf>
    <xf numFmtId="37" fontId="0" fillId="2" borderId="0" xfId="0" applyNumberFormat="1" applyFill="1" applyProtection="1">
      <protection locked="0"/>
    </xf>
    <xf numFmtId="39" fontId="1" fillId="18" borderId="23" xfId="0" applyNumberFormat="1" applyFont="1" applyFill="1" applyBorder="1" applyProtection="1">
      <protection locked="0"/>
    </xf>
    <xf numFmtId="39" fontId="1" fillId="19" borderId="23" xfId="0" applyNumberFormat="1" applyFont="1" applyFill="1" applyBorder="1" applyProtection="1">
      <protection locked="0"/>
    </xf>
    <xf numFmtId="39" fontId="1" fillId="9" borderId="23" xfId="0" applyNumberFormat="1" applyFont="1" applyFill="1" applyBorder="1" applyProtection="1">
      <protection locked="0"/>
    </xf>
    <xf numFmtId="39" fontId="1" fillId="11" borderId="23" xfId="0" applyNumberFormat="1" applyFont="1" applyFill="1" applyBorder="1" applyAlignment="1" applyProtection="1">
      <alignment horizontal="right"/>
      <protection locked="0"/>
    </xf>
    <xf numFmtId="37" fontId="1" fillId="11" borderId="23" xfId="0" applyNumberFormat="1" applyFont="1" applyFill="1" applyBorder="1" applyAlignment="1" applyProtection="1">
      <alignment horizontal="right"/>
      <protection locked="0"/>
    </xf>
    <xf numFmtId="0" fontId="15" fillId="2" borderId="0" xfId="0" applyFont="1" applyFill="1" applyProtection="1"/>
    <xf numFmtId="0" fontId="20" fillId="2" borderId="0" xfId="0" applyFont="1" applyFill="1" applyProtection="1"/>
    <xf numFmtId="0" fontId="0" fillId="10" borderId="0" xfId="0" applyFill="1" applyProtection="1"/>
    <xf numFmtId="0" fontId="19" fillId="2" borderId="0" xfId="0" applyFont="1" applyFill="1" applyAlignment="1" applyProtection="1">
      <alignment horizontal="left" indent="1"/>
    </xf>
    <xf numFmtId="39" fontId="0" fillId="0" borderId="4" xfId="0" applyNumberFormat="1" applyFill="1" applyBorder="1" applyProtection="1"/>
    <xf numFmtId="0" fontId="1" fillId="2" borderId="0" xfId="0" applyFont="1" applyFill="1" applyAlignment="1" applyProtection="1">
      <alignment horizontal="left" indent="2"/>
    </xf>
    <xf numFmtId="0" fontId="0" fillId="3" borderId="0" xfId="0" applyNumberFormat="1" applyFill="1" applyAlignment="1" applyProtection="1">
      <alignment horizontal="left"/>
    </xf>
    <xf numFmtId="44" fontId="1" fillId="0" borderId="4" xfId="7" applyFont="1" applyFill="1" applyBorder="1" applyProtection="1">
      <protection locked="0"/>
    </xf>
    <xf numFmtId="44" fontId="1" fillId="11" borderId="4" xfId="7" applyFont="1" applyFill="1" applyBorder="1" applyProtection="1">
      <protection locked="0"/>
    </xf>
    <xf numFmtId="44" fontId="19" fillId="2" borderId="15" xfId="7" applyFont="1" applyFill="1" applyBorder="1" applyProtection="1">
      <protection locked="0"/>
    </xf>
    <xf numFmtId="44" fontId="19" fillId="2" borderId="19" xfId="7" applyFont="1" applyFill="1" applyBorder="1" applyProtection="1">
      <protection locked="0"/>
    </xf>
    <xf numFmtId="44" fontId="19" fillId="2" borderId="16" xfId="7" applyFont="1" applyFill="1" applyBorder="1" applyProtection="1">
      <protection locked="0"/>
    </xf>
    <xf numFmtId="0" fontId="19" fillId="2" borderId="17" xfId="0" applyFont="1" applyFill="1" applyBorder="1" applyProtection="1">
      <protection locked="0"/>
    </xf>
    <xf numFmtId="0" fontId="19" fillId="2" borderId="20" xfId="0" applyFont="1" applyFill="1" applyBorder="1" applyProtection="1">
      <protection locked="0"/>
    </xf>
    <xf numFmtId="0" fontId="19" fillId="2" borderId="18" xfId="0" applyFont="1" applyFill="1" applyBorder="1" applyProtection="1">
      <protection locked="0"/>
    </xf>
    <xf numFmtId="0" fontId="19" fillId="2" borderId="0" xfId="0" applyFont="1" applyFill="1" applyProtection="1">
      <protection locked="0"/>
    </xf>
    <xf numFmtId="44" fontId="19" fillId="2" borderId="21" xfId="7" applyFont="1" applyFill="1" applyBorder="1" applyProtection="1">
      <protection locked="0"/>
    </xf>
    <xf numFmtId="44" fontId="19" fillId="2" borderId="0" xfId="7" applyFont="1" applyFill="1" applyBorder="1" applyProtection="1">
      <protection locked="0"/>
    </xf>
    <xf numFmtId="44" fontId="19" fillId="2" borderId="22" xfId="7" applyFont="1" applyFill="1" applyBorder="1" applyProtection="1">
      <protection locked="0"/>
    </xf>
    <xf numFmtId="37" fontId="1" fillId="0" borderId="4" xfId="0" applyNumberFormat="1" applyFont="1" applyFill="1" applyBorder="1" applyProtection="1">
      <protection locked="0"/>
    </xf>
    <xf numFmtId="164" fontId="1" fillId="0" borderId="4" xfId="1" applyNumberFormat="1" applyFont="1" applyFill="1" applyBorder="1" applyProtection="1">
      <protection locked="0"/>
    </xf>
    <xf numFmtId="37" fontId="1" fillId="11" borderId="4" xfId="0" applyNumberFormat="1" applyFont="1" applyFill="1" applyBorder="1" applyProtection="1">
      <protection locked="0"/>
    </xf>
    <xf numFmtId="39" fontId="0" fillId="0" borderId="4" xfId="0" applyNumberFormat="1" applyFill="1" applyBorder="1" applyProtection="1">
      <protection locked="0"/>
    </xf>
    <xf numFmtId="39" fontId="0" fillId="0" borderId="4" xfId="1" applyNumberFormat="1" applyFont="1" applyFill="1" applyBorder="1" applyProtection="1">
      <protection locked="0"/>
    </xf>
    <xf numFmtId="37" fontId="0" fillId="2" borderId="21" xfId="0" applyNumberFormat="1" applyFill="1" applyBorder="1" applyProtection="1">
      <protection locked="0"/>
    </xf>
    <xf numFmtId="37" fontId="0" fillId="2" borderId="0" xfId="0" applyNumberFormat="1" applyFill="1" applyBorder="1" applyProtection="1">
      <protection locked="0"/>
    </xf>
    <xf numFmtId="0" fontId="0" fillId="2" borderId="21" xfId="0" applyFill="1" applyBorder="1" applyProtection="1">
      <protection locked="0"/>
    </xf>
    <xf numFmtId="10" fontId="0" fillId="2" borderId="22" xfId="1" applyNumberFormat="1" applyFont="1" applyFill="1" applyBorder="1" applyProtection="1">
      <protection locked="0"/>
    </xf>
    <xf numFmtId="10" fontId="0" fillId="2" borderId="21" xfId="1" applyNumberFormat="1" applyFont="1" applyFill="1" applyBorder="1" applyProtection="1">
      <protection locked="0"/>
    </xf>
    <xf numFmtId="10" fontId="0" fillId="2" borderId="0" xfId="1" applyNumberFormat="1" applyFont="1" applyFill="1" applyBorder="1" applyProtection="1">
      <protection locked="0"/>
    </xf>
    <xf numFmtId="0" fontId="13" fillId="13" borderId="44" xfId="0" applyNumberFormat="1" applyFont="1" applyFill="1" applyBorder="1" applyAlignment="1" applyProtection="1">
      <alignment horizontal="center"/>
      <protection locked="0"/>
    </xf>
    <xf numFmtId="0" fontId="13" fillId="13" borderId="45" xfId="0" applyNumberFormat="1" applyFont="1" applyFill="1" applyBorder="1" applyAlignment="1" applyProtection="1">
      <alignment horizontal="center"/>
      <protection locked="0"/>
    </xf>
    <xf numFmtId="0" fontId="13" fillId="13" borderId="46" xfId="0" applyNumberFormat="1" applyFont="1" applyFill="1" applyBorder="1" applyAlignment="1" applyProtection="1">
      <alignment horizontal="center"/>
      <protection locked="0"/>
    </xf>
    <xf numFmtId="164" fontId="1" fillId="11" borderId="4" xfId="1" applyNumberFormat="1" applyFont="1" applyFill="1" applyBorder="1" applyProtection="1">
      <protection locked="0"/>
    </xf>
    <xf numFmtId="0" fontId="0" fillId="8" borderId="2" xfId="0" applyFill="1" applyBorder="1" applyProtection="1"/>
    <xf numFmtId="39" fontId="0" fillId="18" borderId="14" xfId="0" applyNumberFormat="1" applyFill="1" applyBorder="1" applyProtection="1"/>
    <xf numFmtId="39" fontId="0" fillId="19" borderId="14" xfId="0" applyNumberFormat="1" applyFill="1" applyBorder="1" applyProtection="1"/>
    <xf numFmtId="39" fontId="0" fillId="9" borderId="14" xfId="0" applyNumberFormat="1" applyFill="1" applyBorder="1" applyProtection="1"/>
    <xf numFmtId="39" fontId="0" fillId="11" borderId="14" xfId="0" applyNumberFormat="1" applyFill="1" applyBorder="1" applyAlignment="1" applyProtection="1">
      <alignment horizontal="right"/>
    </xf>
    <xf numFmtId="37" fontId="0" fillId="11" borderId="67" xfId="0" applyNumberFormat="1" applyFill="1" applyBorder="1" applyAlignment="1" applyProtection="1">
      <alignment horizontal="right"/>
    </xf>
    <xf numFmtId="0" fontId="0" fillId="2" borderId="72" xfId="0" applyFill="1" applyBorder="1" applyProtection="1">
      <protection locked="0"/>
    </xf>
    <xf numFmtId="0" fontId="0" fillId="2" borderId="62" xfId="0" applyFill="1" applyBorder="1" applyProtection="1">
      <protection locked="0"/>
    </xf>
    <xf numFmtId="37" fontId="0" fillId="0" borderId="30" xfId="0" applyNumberFormat="1" applyFill="1" applyBorder="1" applyProtection="1">
      <protection locked="0"/>
    </xf>
    <xf numFmtId="37" fontId="0" fillId="11" borderId="67" xfId="0" applyNumberFormat="1" applyFill="1" applyBorder="1" applyProtection="1">
      <protection locked="0"/>
    </xf>
    <xf numFmtId="39" fontId="0" fillId="18" borderId="14" xfId="0" applyNumberFormat="1" applyFill="1" applyBorder="1" applyProtection="1">
      <protection locked="0"/>
    </xf>
    <xf numFmtId="39" fontId="0" fillId="19" borderId="14" xfId="0" applyNumberFormat="1" applyFill="1" applyBorder="1" applyProtection="1">
      <protection locked="0"/>
    </xf>
    <xf numFmtId="39" fontId="0" fillId="9" borderId="14" xfId="0" applyNumberFormat="1" applyFill="1" applyBorder="1" applyProtection="1">
      <protection locked="0"/>
    </xf>
    <xf numFmtId="39" fontId="0" fillId="11" borderId="14" xfId="0" applyNumberFormat="1" applyFill="1" applyBorder="1" applyAlignment="1" applyProtection="1">
      <alignment horizontal="right"/>
      <protection locked="0"/>
    </xf>
    <xf numFmtId="37" fontId="0" fillId="11" borderId="67" xfId="0" applyNumberFormat="1" applyFill="1" applyBorder="1" applyAlignment="1" applyProtection="1">
      <alignment horizontal="right"/>
      <protection locked="0"/>
    </xf>
    <xf numFmtId="39" fontId="1" fillId="18" borderId="24" xfId="0" applyNumberFormat="1" applyFont="1" applyFill="1" applyBorder="1" applyProtection="1">
      <protection locked="0"/>
    </xf>
    <xf numFmtId="39" fontId="1" fillId="19" borderId="24" xfId="0" applyNumberFormat="1" applyFont="1" applyFill="1" applyBorder="1" applyProtection="1">
      <protection locked="0"/>
    </xf>
    <xf numFmtId="39" fontId="1" fillId="9" borderId="24" xfId="0" applyNumberFormat="1" applyFont="1" applyFill="1" applyBorder="1" applyProtection="1">
      <protection locked="0"/>
    </xf>
    <xf numFmtId="39" fontId="1" fillId="11" borderId="24" xfId="0" applyNumberFormat="1" applyFont="1" applyFill="1" applyBorder="1" applyAlignment="1" applyProtection="1">
      <alignment horizontal="right"/>
      <protection locked="0"/>
    </xf>
    <xf numFmtId="37" fontId="1" fillId="11" borderId="24" xfId="0" applyNumberFormat="1" applyFont="1" applyFill="1" applyBorder="1" applyAlignment="1" applyProtection="1">
      <alignment horizontal="right"/>
      <protection locked="0"/>
    </xf>
    <xf numFmtId="0" fontId="0" fillId="3" borderId="0" xfId="0" applyNumberFormat="1" applyFont="1" applyFill="1" applyAlignment="1" applyProtection="1">
      <alignment horizontal="left"/>
    </xf>
    <xf numFmtId="37" fontId="1" fillId="11" borderId="76" xfId="0" applyNumberFormat="1" applyFont="1" applyFill="1" applyBorder="1" applyAlignment="1" applyProtection="1">
      <alignment horizontal="right"/>
    </xf>
    <xf numFmtId="37" fontId="1" fillId="11" borderId="77" xfId="0" applyNumberFormat="1" applyFont="1" applyFill="1" applyBorder="1" applyAlignment="1" applyProtection="1">
      <alignment horizontal="right"/>
    </xf>
    <xf numFmtId="37" fontId="1" fillId="11" borderId="78" xfId="0" applyNumberFormat="1" applyFont="1" applyFill="1" applyBorder="1" applyAlignment="1" applyProtection="1">
      <alignment horizontal="right"/>
    </xf>
    <xf numFmtId="37" fontId="1" fillId="0" borderId="14" xfId="0" applyNumberFormat="1" applyFont="1" applyFill="1" applyBorder="1" applyProtection="1">
      <protection locked="0"/>
    </xf>
    <xf numFmtId="164" fontId="1" fillId="0" borderId="14" xfId="1" applyNumberFormat="1" applyFont="1" applyFill="1" applyBorder="1" applyProtection="1">
      <protection locked="0"/>
    </xf>
    <xf numFmtId="0" fontId="1" fillId="2" borderId="0" xfId="0" applyFont="1" applyFill="1" applyBorder="1" applyProtection="1">
      <protection locked="0"/>
    </xf>
    <xf numFmtId="37" fontId="1" fillId="11" borderId="14" xfId="0" applyNumberFormat="1" applyFont="1" applyFill="1" applyBorder="1" applyProtection="1">
      <protection locked="0"/>
    </xf>
    <xf numFmtId="39" fontId="1" fillId="18" borderId="14" xfId="0" applyNumberFormat="1" applyFont="1" applyFill="1" applyBorder="1" applyProtection="1">
      <protection locked="0"/>
    </xf>
    <xf numFmtId="39" fontId="1" fillId="19" borderId="14" xfId="0" applyNumberFormat="1" applyFont="1" applyFill="1" applyBorder="1" applyProtection="1">
      <protection locked="0"/>
    </xf>
    <xf numFmtId="39" fontId="1" fillId="9" borderId="14" xfId="0" applyNumberFormat="1" applyFont="1" applyFill="1" applyBorder="1" applyProtection="1">
      <protection locked="0"/>
    </xf>
    <xf numFmtId="39" fontId="1" fillId="11" borderId="14" xfId="0" applyNumberFormat="1" applyFont="1" applyFill="1" applyBorder="1" applyAlignment="1" applyProtection="1">
      <alignment horizontal="right"/>
      <protection locked="0"/>
    </xf>
    <xf numFmtId="37" fontId="1" fillId="11" borderId="67" xfId="0" applyNumberFormat="1" applyFont="1" applyFill="1" applyBorder="1" applyAlignment="1" applyProtection="1">
      <alignment horizontal="right"/>
      <protection locked="0"/>
    </xf>
    <xf numFmtId="37" fontId="1" fillId="11" borderId="76" xfId="0" applyNumberFormat="1" applyFont="1" applyFill="1" applyBorder="1" applyAlignment="1" applyProtection="1">
      <alignment horizontal="right"/>
      <protection locked="0"/>
    </xf>
    <xf numFmtId="37" fontId="1" fillId="11" borderId="77" xfId="0" applyNumberFormat="1" applyFont="1" applyFill="1" applyBorder="1" applyAlignment="1" applyProtection="1">
      <alignment horizontal="right"/>
      <protection locked="0"/>
    </xf>
    <xf numFmtId="37" fontId="1" fillId="11" borderId="78" xfId="0" applyNumberFormat="1" applyFont="1" applyFill="1" applyBorder="1" applyAlignment="1" applyProtection="1">
      <alignment horizontal="right"/>
      <protection locked="0"/>
    </xf>
    <xf numFmtId="39" fontId="0" fillId="18" borderId="33" xfId="0" applyNumberFormat="1" applyFill="1" applyBorder="1" applyProtection="1">
      <protection locked="0"/>
    </xf>
    <xf numFmtId="39" fontId="0" fillId="19" borderId="33" xfId="0" applyNumberFormat="1" applyFill="1" applyBorder="1" applyProtection="1">
      <protection locked="0"/>
    </xf>
    <xf numFmtId="39" fontId="0" fillId="9" borderId="33" xfId="0" applyNumberFormat="1" applyFill="1" applyBorder="1" applyProtection="1">
      <protection locked="0"/>
    </xf>
    <xf numFmtId="39" fontId="0" fillId="11" borderId="33" xfId="0" applyNumberFormat="1" applyFill="1" applyBorder="1" applyAlignment="1" applyProtection="1">
      <alignment horizontal="right"/>
      <protection locked="0"/>
    </xf>
    <xf numFmtId="37" fontId="0" fillId="11" borderId="76" xfId="0" applyNumberFormat="1" applyFill="1" applyBorder="1" applyAlignment="1" applyProtection="1">
      <alignment horizontal="right"/>
      <protection locked="0"/>
    </xf>
    <xf numFmtId="37" fontId="0" fillId="0" borderId="25" xfId="0" applyNumberFormat="1" applyFill="1" applyBorder="1" applyProtection="1">
      <protection locked="0"/>
    </xf>
    <xf numFmtId="37" fontId="0" fillId="0" borderId="26" xfId="0" applyNumberFormat="1" applyFill="1" applyBorder="1" applyProtection="1">
      <protection locked="0"/>
    </xf>
    <xf numFmtId="164" fontId="0" fillId="0" borderId="26" xfId="1" applyNumberFormat="1" applyFont="1" applyFill="1" applyBorder="1" applyProtection="1">
      <protection locked="0"/>
    </xf>
    <xf numFmtId="37" fontId="0" fillId="11" borderId="26" xfId="0" applyNumberFormat="1" applyFill="1" applyBorder="1" applyProtection="1">
      <protection locked="0"/>
    </xf>
    <xf numFmtId="37" fontId="0" fillId="11" borderId="70" xfId="0" applyNumberFormat="1" applyFill="1" applyBorder="1" applyProtection="1">
      <protection locked="0"/>
    </xf>
    <xf numFmtId="37" fontId="0" fillId="0" borderId="29" xfId="0" applyNumberFormat="1" applyFill="1" applyBorder="1" applyProtection="1">
      <protection locked="0"/>
    </xf>
    <xf numFmtId="37" fontId="0" fillId="11" borderId="71" xfId="0" applyNumberFormat="1" applyFill="1" applyBorder="1" applyProtection="1">
      <protection locked="0"/>
    </xf>
    <xf numFmtId="0" fontId="1" fillId="22" borderId="0" xfId="0" applyFont="1" applyFill="1" applyAlignment="1" applyProtection="1">
      <alignment horizontal="left" indent="1"/>
    </xf>
    <xf numFmtId="1" fontId="1" fillId="22" borderId="0" xfId="0" applyNumberFormat="1" applyFont="1" applyFill="1" applyProtection="1"/>
    <xf numFmtId="0" fontId="0" fillId="2" borderId="0" xfId="0" applyFont="1" applyFill="1" applyProtection="1"/>
    <xf numFmtId="0" fontId="0" fillId="2" borderId="0" xfId="0" applyFont="1" applyFill="1" applyAlignment="1" applyProtection="1">
      <alignment horizontal="left" indent="2"/>
    </xf>
    <xf numFmtId="0" fontId="1" fillId="2" borderId="87" xfId="0" applyFont="1" applyFill="1" applyBorder="1" applyAlignment="1" applyProtection="1">
      <alignment horizontal="left"/>
    </xf>
    <xf numFmtId="37" fontId="1" fillId="0" borderId="88" xfId="0" applyNumberFormat="1" applyFont="1" applyFill="1" applyBorder="1" applyProtection="1">
      <protection locked="0"/>
    </xf>
    <xf numFmtId="37" fontId="1" fillId="0" borderId="89" xfId="0" applyNumberFormat="1" applyFont="1" applyFill="1" applyBorder="1" applyProtection="1">
      <protection locked="0"/>
    </xf>
    <xf numFmtId="164" fontId="1" fillId="0" borderId="89" xfId="1" applyNumberFormat="1" applyFont="1" applyFill="1" applyBorder="1" applyProtection="1">
      <protection locked="0"/>
    </xf>
    <xf numFmtId="0" fontId="1" fillId="2" borderId="90" xfId="0" applyFont="1" applyFill="1" applyBorder="1" applyProtection="1">
      <protection locked="0"/>
    </xf>
    <xf numFmtId="37" fontId="1" fillId="11" borderId="89" xfId="0" applyNumberFormat="1" applyFont="1" applyFill="1" applyBorder="1" applyProtection="1">
      <protection locked="0"/>
    </xf>
    <xf numFmtId="37" fontId="1" fillId="11" borderId="91" xfId="0" applyNumberFormat="1" applyFont="1" applyFill="1" applyBorder="1" applyProtection="1">
      <protection locked="0"/>
    </xf>
    <xf numFmtId="39" fontId="1" fillId="18" borderId="89" xfId="0" applyNumberFormat="1" applyFont="1" applyFill="1" applyBorder="1" applyProtection="1">
      <protection locked="0"/>
    </xf>
    <xf numFmtId="39" fontId="1" fillId="19" borderId="89" xfId="0" applyNumberFormat="1" applyFont="1" applyFill="1" applyBorder="1" applyProtection="1">
      <protection locked="0"/>
    </xf>
    <xf numFmtId="39" fontId="1" fillId="9" borderId="89" xfId="0" applyNumberFormat="1" applyFont="1" applyFill="1" applyBorder="1" applyProtection="1">
      <protection locked="0"/>
    </xf>
    <xf numFmtId="39" fontId="1" fillId="11" borderId="89" xfId="0" applyNumberFormat="1" applyFont="1" applyFill="1" applyBorder="1" applyAlignment="1" applyProtection="1">
      <alignment horizontal="right"/>
      <protection locked="0"/>
    </xf>
    <xf numFmtId="37" fontId="1" fillId="11" borderId="91" xfId="0" applyNumberFormat="1" applyFont="1" applyFill="1" applyBorder="1" applyAlignment="1" applyProtection="1">
      <alignment horizontal="right"/>
      <protection locked="0"/>
    </xf>
    <xf numFmtId="39" fontId="1" fillId="0" borderId="37" xfId="0" applyNumberFormat="1" applyFont="1" applyFill="1" applyBorder="1" applyProtection="1"/>
    <xf numFmtId="37" fontId="0" fillId="0" borderId="9" xfId="0" applyNumberFormat="1" applyFont="1" applyFill="1" applyBorder="1" applyAlignment="1" applyProtection="1">
      <alignment horizontal="left" indent="1"/>
      <protection locked="0"/>
    </xf>
    <xf numFmtId="37" fontId="1" fillId="0" borderId="12" xfId="0" applyNumberFormat="1" applyFont="1" applyFill="1" applyBorder="1" applyAlignment="1" applyProtection="1">
      <alignment horizontal="left" indent="1"/>
      <protection locked="0"/>
    </xf>
    <xf numFmtId="37" fontId="1" fillId="0" borderId="93" xfId="0" applyNumberFormat="1" applyFont="1" applyFill="1" applyBorder="1" applyAlignment="1" applyProtection="1">
      <alignment horizontal="left" indent="1"/>
      <protection locked="0"/>
    </xf>
    <xf numFmtId="37" fontId="1" fillId="0" borderId="93" xfId="0" applyNumberFormat="1" applyFont="1" applyFill="1" applyBorder="1" applyProtection="1">
      <protection locked="0"/>
    </xf>
    <xf numFmtId="37" fontId="1" fillId="0" borderId="94" xfId="0" applyNumberFormat="1" applyFont="1" applyFill="1" applyBorder="1" applyProtection="1">
      <protection locked="0"/>
    </xf>
    <xf numFmtId="164" fontId="1" fillId="0" borderId="93" xfId="1" applyNumberFormat="1" applyFont="1" applyFill="1" applyBorder="1" applyProtection="1">
      <protection locked="0"/>
    </xf>
    <xf numFmtId="0" fontId="1" fillId="2" borderId="92" xfId="0" applyFont="1" applyFill="1" applyBorder="1" applyProtection="1">
      <protection locked="0"/>
    </xf>
    <xf numFmtId="37" fontId="1" fillId="11" borderId="93" xfId="0" applyNumberFormat="1" applyFont="1" applyFill="1" applyBorder="1" applyProtection="1">
      <protection locked="0"/>
    </xf>
    <xf numFmtId="39" fontId="1" fillId="18" borderId="94" xfId="0" applyNumberFormat="1" applyFont="1" applyFill="1" applyBorder="1" applyProtection="1">
      <protection locked="0"/>
    </xf>
    <xf numFmtId="39" fontId="1" fillId="19" borderId="94" xfId="0" applyNumberFormat="1" applyFont="1" applyFill="1" applyBorder="1" applyProtection="1">
      <protection locked="0"/>
    </xf>
    <xf numFmtId="39" fontId="1" fillId="9" borderId="94" xfId="0" applyNumberFormat="1" applyFont="1" applyFill="1" applyBorder="1" applyProtection="1">
      <protection locked="0"/>
    </xf>
    <xf numFmtId="39" fontId="1" fillId="11" borderId="94" xfId="0" applyNumberFormat="1" applyFont="1" applyFill="1" applyBorder="1" applyAlignment="1" applyProtection="1">
      <alignment horizontal="right"/>
      <protection locked="0"/>
    </xf>
    <xf numFmtId="37" fontId="1" fillId="11" borderId="95" xfId="0" applyNumberFormat="1" applyFont="1" applyFill="1" applyBorder="1" applyAlignment="1" applyProtection="1">
      <alignment horizontal="right"/>
      <protection locked="0"/>
    </xf>
    <xf numFmtId="37" fontId="0" fillId="0" borderId="14" xfId="0" applyNumberFormat="1" applyFont="1" applyFill="1" applyBorder="1" applyAlignment="1" applyProtection="1">
      <alignment horizontal="left" indent="1"/>
      <protection locked="0"/>
    </xf>
    <xf numFmtId="37" fontId="0" fillId="0" borderId="4" xfId="0" applyNumberFormat="1" applyFont="1" applyFill="1" applyBorder="1" applyAlignment="1" applyProtection="1">
      <alignment horizontal="left" indent="1"/>
      <protection locked="0"/>
    </xf>
    <xf numFmtId="37" fontId="1" fillId="0" borderId="34" xfId="0" applyNumberFormat="1" applyFont="1" applyFill="1" applyBorder="1" applyAlignment="1" applyProtection="1">
      <alignment horizontal="left" indent="1"/>
      <protection locked="0"/>
    </xf>
    <xf numFmtId="37" fontId="0" fillId="0" borderId="13" xfId="0" applyNumberFormat="1" applyFont="1" applyFill="1" applyBorder="1" applyAlignment="1" applyProtection="1">
      <alignment horizontal="left" indent="1"/>
      <protection locked="0"/>
    </xf>
    <xf numFmtId="0" fontId="0" fillId="10" borderId="2" xfId="0" applyFill="1" applyBorder="1" applyAlignment="1" applyProtection="1">
      <alignment horizontal="left"/>
    </xf>
    <xf numFmtId="37" fontId="1" fillId="0" borderId="39" xfId="0" applyNumberFormat="1" applyFont="1" applyFill="1" applyBorder="1" applyProtection="1">
      <protection locked="0"/>
    </xf>
    <xf numFmtId="164" fontId="1" fillId="0" borderId="39" xfId="1" applyNumberFormat="1" applyFont="1" applyFill="1" applyBorder="1" applyProtection="1">
      <protection locked="0"/>
    </xf>
    <xf numFmtId="37" fontId="1" fillId="11" borderId="39" xfId="0" applyNumberFormat="1" applyFont="1" applyFill="1" applyBorder="1" applyProtection="1">
      <protection locked="0"/>
    </xf>
    <xf numFmtId="0" fontId="0" fillId="2" borderId="2" xfId="0" quotePrefix="1" applyFill="1" applyBorder="1" applyProtection="1"/>
    <xf numFmtId="37" fontId="0" fillId="0" borderId="4" xfId="1" applyNumberFormat="1" applyFont="1" applyFill="1" applyBorder="1" applyProtection="1"/>
    <xf numFmtId="0" fontId="21" fillId="3" borderId="0" xfId="0" applyNumberFormat="1" applyFont="1" applyFill="1" applyAlignment="1" applyProtection="1">
      <alignment horizontal="left" indent="1"/>
    </xf>
    <xf numFmtId="0" fontId="21" fillId="2" borderId="0" xfId="0" applyFont="1" applyFill="1" applyAlignment="1" applyProtection="1">
      <alignment horizontal="left" indent="1"/>
    </xf>
    <xf numFmtId="39" fontId="1" fillId="18" borderId="13" xfId="0" applyNumberFormat="1" applyFont="1" applyFill="1" applyBorder="1" applyProtection="1"/>
    <xf numFmtId="39" fontId="1" fillId="19" borderId="13" xfId="0" applyNumberFormat="1" applyFont="1" applyFill="1" applyBorder="1" applyProtection="1"/>
    <xf numFmtId="39" fontId="1" fillId="9" borderId="13" xfId="0" applyNumberFormat="1" applyFont="1" applyFill="1" applyBorder="1" applyProtection="1"/>
    <xf numFmtId="39" fontId="1" fillId="11" borderId="13" xfId="0" applyNumberFormat="1" applyFont="1" applyFill="1" applyBorder="1" applyAlignment="1" applyProtection="1">
      <alignment horizontal="right"/>
    </xf>
    <xf numFmtId="37" fontId="1" fillId="11" borderId="71" xfId="0" applyNumberFormat="1" applyFont="1" applyFill="1" applyBorder="1" applyAlignment="1" applyProtection="1">
      <alignment horizontal="right"/>
    </xf>
    <xf numFmtId="37" fontId="1" fillId="11" borderId="75" xfId="0" applyNumberFormat="1" applyFont="1" applyFill="1" applyBorder="1" applyAlignment="1" applyProtection="1">
      <alignment horizontal="right"/>
      <protection locked="0"/>
    </xf>
    <xf numFmtId="3" fontId="0" fillId="2" borderId="0" xfId="0" applyNumberFormat="1" applyFill="1" applyAlignment="1" applyProtection="1"/>
    <xf numFmtId="0" fontId="15" fillId="2" borderId="0" xfId="0" applyFont="1" applyFill="1" applyAlignment="1" applyProtection="1">
      <alignment horizontal="center"/>
    </xf>
    <xf numFmtId="0" fontId="0" fillId="8" borderId="55" xfId="0" applyFill="1" applyBorder="1" applyAlignment="1" applyProtection="1">
      <alignment horizontal="center" vertical="center"/>
    </xf>
    <xf numFmtId="0" fontId="0" fillId="8" borderId="56" xfId="0" applyFill="1" applyBorder="1" applyAlignment="1" applyProtection="1">
      <alignment horizontal="center" vertical="center"/>
    </xf>
    <xf numFmtId="39" fontId="0" fillId="18" borderId="44" xfId="0" applyNumberFormat="1" applyFill="1" applyBorder="1" applyAlignment="1" applyProtection="1">
      <alignment horizontal="center"/>
    </xf>
    <xf numFmtId="39" fontId="0" fillId="18" borderId="46" xfId="0" applyNumberFormat="1" applyFill="1" applyBorder="1" applyAlignment="1" applyProtection="1">
      <alignment horizontal="center"/>
    </xf>
    <xf numFmtId="0" fontId="13" fillId="13" borderId="44" xfId="0" applyNumberFormat="1" applyFont="1" applyFill="1" applyBorder="1" applyAlignment="1" applyProtection="1">
      <alignment horizontal="center"/>
    </xf>
    <xf numFmtId="0" fontId="13" fillId="13" borderId="46" xfId="0" applyNumberFormat="1" applyFont="1" applyFill="1" applyBorder="1" applyAlignment="1" applyProtection="1">
      <alignment horizontal="center"/>
    </xf>
    <xf numFmtId="39" fontId="0" fillId="18" borderId="15" xfId="0" applyNumberFormat="1" applyFill="1" applyBorder="1" applyAlignment="1" applyProtection="1">
      <alignment horizontal="center"/>
    </xf>
    <xf numFmtId="39" fontId="0" fillId="18" borderId="16" xfId="0" applyNumberFormat="1" applyFill="1" applyBorder="1" applyAlignment="1" applyProtection="1">
      <alignment horizontal="center"/>
    </xf>
    <xf numFmtId="39" fontId="1" fillId="18" borderId="79" xfId="0" applyNumberFormat="1" applyFont="1" applyFill="1" applyBorder="1" applyAlignment="1" applyProtection="1">
      <alignment horizontal="center"/>
    </xf>
    <xf numFmtId="39" fontId="1" fillId="18" borderId="80" xfId="0" applyNumberFormat="1" applyFont="1" applyFill="1" applyBorder="1" applyAlignment="1" applyProtection="1">
      <alignment horizontal="center"/>
    </xf>
    <xf numFmtId="39" fontId="1" fillId="18" borderId="81" xfId="0" applyNumberFormat="1" applyFont="1" applyFill="1" applyBorder="1" applyAlignment="1" applyProtection="1">
      <alignment horizontal="center"/>
    </xf>
    <xf numFmtId="39" fontId="1" fillId="18" borderId="82" xfId="0" applyNumberFormat="1" applyFont="1" applyFill="1" applyBorder="1" applyAlignment="1" applyProtection="1">
      <alignment horizontal="center"/>
    </xf>
    <xf numFmtId="39" fontId="1" fillId="18" borderId="83" xfId="0" applyNumberFormat="1" applyFont="1" applyFill="1" applyBorder="1" applyAlignment="1" applyProtection="1">
      <alignment horizontal="center"/>
    </xf>
    <xf numFmtId="39" fontId="1" fillId="18" borderId="84" xfId="0" applyNumberFormat="1" applyFont="1" applyFill="1" applyBorder="1" applyAlignment="1" applyProtection="1">
      <alignment horizontal="center"/>
    </xf>
    <xf numFmtId="0" fontId="27" fillId="2" borderId="0" xfId="0" applyFont="1" applyFill="1" applyAlignment="1" applyProtection="1">
      <alignment horizontal="left" vertical="top" wrapText="1"/>
    </xf>
  </cellXfs>
  <cellStyles count="10">
    <cellStyle name="ColumnHeading" xfId="3" xr:uid="{00000000-0005-0000-0000-000000000000}"/>
    <cellStyle name="Comma" xfId="9" builtinId="3"/>
    <cellStyle name="Comma 2" xfId="4" xr:uid="{00000000-0005-0000-0000-000002000000}"/>
    <cellStyle name="Currency" xfId="7" builtinId="4"/>
    <cellStyle name="Currency 2" xfId="5" xr:uid="{00000000-0005-0000-0000-000004000000}"/>
    <cellStyle name="Normal" xfId="0" builtinId="0"/>
    <cellStyle name="Normal 2" xfId="8" xr:uid="{00000000-0005-0000-0000-000006000000}"/>
    <cellStyle name="Normal_Sheet1" xfId="2" xr:uid="{00000000-0005-0000-0000-000007000000}"/>
    <cellStyle name="Percent" xfId="1" builtinId="5"/>
    <cellStyle name="Percent 2" xfId="6" xr:uid="{00000000-0005-0000-0000-000009000000}"/>
  </cellStyles>
  <dxfs count="181">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ont>
        <color theme="1" tint="0.499984740745262"/>
      </font>
      <fill>
        <patternFill patternType="lightTrellis">
          <fgColor theme="1" tint="0.499984740745262"/>
        </patternFill>
      </fill>
    </dxf>
  </dxfs>
  <tableStyles count="0" defaultTableStyle="TableStyleMedium9" defaultPivotStyle="PivotStyleLight16"/>
  <colors>
    <mruColors>
      <color rgb="FFC63527"/>
      <color rgb="FFDBD6D3"/>
      <color rgb="FFCAC3BE"/>
      <color rgb="FF9FF4FF"/>
      <color rgb="FFE1FBFF"/>
      <color rgb="FF6E6259"/>
      <color rgb="FF5F554D"/>
      <color rgb="FF5B5149"/>
      <color rgb="FF00AE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fmlaLink="$O$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41.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1748929"/>
          <a:ext cx="7259731"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5133" name="Picture 13">
          <a:extLst>
            <a:ext uri="{FF2B5EF4-FFF2-40B4-BE49-F238E27FC236}">
              <a16:creationId xmlns:a16="http://schemas.microsoft.com/office/drawing/2014/main" id="{00000000-0008-0000-0000-00000D1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9681883"/>
          <a:ext cx="8077200"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5134" name="Picture 14">
          <a:extLst>
            <a:ext uri="{FF2B5EF4-FFF2-40B4-BE49-F238E27FC236}">
              <a16:creationId xmlns:a16="http://schemas.microsoft.com/office/drawing/2014/main" id="{00000000-0008-0000-0000-00000E1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0942" y="1882588"/>
          <a:ext cx="4331224"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50800</xdr:colOff>
          <xdr:row>4</xdr:row>
          <xdr:rowOff>171450</xdr:rowOff>
        </xdr:from>
        <xdr:to>
          <xdr:col>15</xdr:col>
          <xdr:colOff>0</xdr:colOff>
          <xdr:row>6</xdr:row>
          <xdr:rowOff>19050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5131" name="FPMExcelClientSheetOptionstb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31</xdr:col>
      <xdr:colOff>515470</xdr:colOff>
      <xdr:row>25</xdr:row>
      <xdr:rowOff>190500</xdr:rowOff>
    </xdr:from>
    <xdr:to>
      <xdr:col>33</xdr:col>
      <xdr:colOff>620804</xdr:colOff>
      <xdr:row>27</xdr:row>
      <xdr:rowOff>110377</xdr:rowOff>
    </xdr:to>
    <xdr:pic>
      <xdr:nvPicPr>
        <xdr:cNvPr id="2" name="Picture 6">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382999" y="381000"/>
          <a:ext cx="1472452" cy="435348"/>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4102" name="FPMExcelClientSheetOptionstb1"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61122" name="FPMExcelClientSheetOptionstb1" hidden="1">
              <a:extLst>
                <a:ext uri="{63B3BB69-23CF-44E3-9099-C40C66FF867C}">
                  <a14:compatExt spid="_x0000_s261122"/>
                </a:ext>
                <a:ext uri="{FF2B5EF4-FFF2-40B4-BE49-F238E27FC236}">
                  <a16:creationId xmlns:a16="http://schemas.microsoft.com/office/drawing/2014/main" id="{00000000-0008-0000-0300-000002F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8197" name="FPMExcelClientSheetOptionstb1"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2536" name="FPMExcelClientSheetOptionstb1" hidden="1">
              <a:extLst>
                <a:ext uri="{63B3BB69-23CF-44E3-9099-C40C66FF867C}">
                  <a14:compatExt spid="_x0000_s22536"/>
                </a:ext>
                <a:ext uri="{FF2B5EF4-FFF2-40B4-BE49-F238E27FC236}">
                  <a16:creationId xmlns:a16="http://schemas.microsoft.com/office/drawing/2014/main" id="{00000000-0008-0000-0500-0000085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3555" name="FPMExcelClientSheetOptionstb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889000</xdr:colOff>
          <xdr:row>0</xdr:row>
          <xdr:rowOff>0</xdr:rowOff>
        </xdr:to>
        <xdr:sp macro="" textlink="">
          <xdr:nvSpPr>
            <xdr:cNvPr id="10248" name="FPMExcelClientSheetOptionstb1" hidden="1">
              <a:extLst>
                <a:ext uri="{63B3BB69-23CF-44E3-9099-C40C66FF867C}">
                  <a14:compatExt spid="_x0000_s10248"/>
                </a:ext>
                <a:ext uri="{FF2B5EF4-FFF2-40B4-BE49-F238E27FC236}">
                  <a16:creationId xmlns:a16="http://schemas.microsoft.com/office/drawing/2014/main" id="{00000000-0008-0000-0700-000008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30405" name="FPMExcelClientSheetOptionstb1" hidden="1">
              <a:extLst>
                <a:ext uri="{63B3BB69-23CF-44E3-9099-C40C66FF867C}">
                  <a14:compatExt spid="_x0000_s230405"/>
                </a:ext>
                <a:ext uri="{FF2B5EF4-FFF2-40B4-BE49-F238E27FC236}">
                  <a16:creationId xmlns:a16="http://schemas.microsoft.com/office/drawing/2014/main" id="{00000000-0008-0000-0F00-000005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32449" name="FPMExcelClientSheetOptionstb1" hidden="1">
              <a:extLst>
                <a:ext uri="{63B3BB69-23CF-44E3-9099-C40C66FF867C}">
                  <a14:compatExt spid="_x0000_s232449"/>
                </a:ext>
                <a:ext uri="{FF2B5EF4-FFF2-40B4-BE49-F238E27FC236}">
                  <a16:creationId xmlns:a16="http://schemas.microsoft.com/office/drawing/2014/main" id="{00000000-0008-0000-1100-000001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14344" name="FPMExcelClientSheetOptionstb1" hidden="1">
              <a:extLst>
                <a:ext uri="{63B3BB69-23CF-44E3-9099-C40C66FF867C}">
                  <a14:compatExt spid="_x0000_s14344"/>
                </a:ext>
                <a:ext uri="{FF2B5EF4-FFF2-40B4-BE49-F238E27FC236}">
                  <a16:creationId xmlns:a16="http://schemas.microsoft.com/office/drawing/2014/main" id="{00000000-0008-0000-1500-0000083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02754" name="FPMExcelClientSheetOptionstb1" hidden="1">
              <a:extLst>
                <a:ext uri="{63B3BB69-23CF-44E3-9099-C40C66FF867C}">
                  <a14:compatExt spid="_x0000_s202754"/>
                </a:ext>
                <a:ext uri="{FF2B5EF4-FFF2-40B4-BE49-F238E27FC236}">
                  <a16:creationId xmlns:a16="http://schemas.microsoft.com/office/drawing/2014/main" id="{00000000-0008-0000-1600-0000021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12700</xdr:rowOff>
        </xdr:to>
        <xdr:sp macro="" textlink="">
          <xdr:nvSpPr>
            <xdr:cNvPr id="304133" name="FPMExcelClientSheetOptionstb1" hidden="1">
              <a:extLst>
                <a:ext uri="{63B3BB69-23CF-44E3-9099-C40C66FF867C}">
                  <a14:compatExt spid="_x0000_s304133"/>
                </a:ext>
                <a:ext uri="{FF2B5EF4-FFF2-40B4-BE49-F238E27FC236}">
                  <a16:creationId xmlns:a16="http://schemas.microsoft.com/office/drawing/2014/main" id="{00000000-0008-0000-1700-00000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5153" name="FPMExcelClientSheetOptionstb1" hidden="1">
              <a:extLst>
                <a:ext uri="{63B3BB69-23CF-44E3-9099-C40C66FF867C}">
                  <a14:compatExt spid="_x0000_s305153"/>
                </a:ext>
                <a:ext uri="{FF2B5EF4-FFF2-40B4-BE49-F238E27FC236}">
                  <a16:creationId xmlns:a16="http://schemas.microsoft.com/office/drawing/2014/main" id="{00000000-0008-0000-1800-000001A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24</xdr:row>
          <xdr:rowOff>0</xdr:rowOff>
        </xdr:from>
        <xdr:to>
          <xdr:col>0</xdr:col>
          <xdr:colOff>0</xdr:colOff>
          <xdr:row>24</xdr:row>
          <xdr:rowOff>0</xdr:rowOff>
        </xdr:to>
        <xdr:sp macro="" textlink="">
          <xdr:nvSpPr>
            <xdr:cNvPr id="306177" name="FPMExcelClientSheetOptionstb1" hidden="1">
              <a:extLst>
                <a:ext uri="{63B3BB69-23CF-44E3-9099-C40C66FF867C}">
                  <a14:compatExt spid="_x0000_s306177"/>
                </a:ext>
                <a:ext uri="{FF2B5EF4-FFF2-40B4-BE49-F238E27FC236}">
                  <a16:creationId xmlns:a16="http://schemas.microsoft.com/office/drawing/2014/main" id="{00000000-0008-0000-1900-000001AC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7201" name="FPMExcelClientSheetOptionstb1" hidden="1">
              <a:extLst>
                <a:ext uri="{63B3BB69-23CF-44E3-9099-C40C66FF867C}">
                  <a14:compatExt spid="_x0000_s307201"/>
                </a:ext>
                <a:ext uri="{FF2B5EF4-FFF2-40B4-BE49-F238E27FC236}">
                  <a16:creationId xmlns:a16="http://schemas.microsoft.com/office/drawing/2014/main" id="{00000000-0008-0000-1A00-000001B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08225" name="FPMExcelClientSheetOptionstb1" hidden="1">
              <a:extLst>
                <a:ext uri="{63B3BB69-23CF-44E3-9099-C40C66FF867C}">
                  <a14:compatExt spid="_x0000_s308225"/>
                </a:ext>
                <a:ext uri="{FF2B5EF4-FFF2-40B4-BE49-F238E27FC236}">
                  <a16:creationId xmlns:a16="http://schemas.microsoft.com/office/drawing/2014/main" id="{00000000-0008-0000-1B00-000001B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9249" name="FPMExcelClientSheetOptionstb1" hidden="1">
              <a:extLst>
                <a:ext uri="{63B3BB69-23CF-44E3-9099-C40C66FF867C}">
                  <a14:compatExt spid="_x0000_s309249"/>
                </a:ext>
                <a:ext uri="{FF2B5EF4-FFF2-40B4-BE49-F238E27FC236}">
                  <a16:creationId xmlns:a16="http://schemas.microsoft.com/office/drawing/2014/main" id="{00000000-0008-0000-1C00-000001B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0491" name="FPMExcelClientSheetOptionstb1" hidden="1">
              <a:extLst>
                <a:ext uri="{63B3BB69-23CF-44E3-9099-C40C66FF867C}">
                  <a14:compatExt spid="_x0000_s20491"/>
                </a:ext>
                <a:ext uri="{FF2B5EF4-FFF2-40B4-BE49-F238E27FC236}">
                  <a16:creationId xmlns:a16="http://schemas.microsoft.com/office/drawing/2014/main" id="{00000000-0008-0000-1D00-00000B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908050</xdr:colOff>
          <xdr:row>0</xdr:row>
          <xdr:rowOff>0</xdr:rowOff>
        </xdr:to>
        <xdr:sp macro="" textlink="">
          <xdr:nvSpPr>
            <xdr:cNvPr id="43016" name="FPMExcelClientSheetOptionstb1" hidden="1">
              <a:extLst>
                <a:ext uri="{63B3BB69-23CF-44E3-9099-C40C66FF867C}">
                  <a14:compatExt spid="_x0000_s43016"/>
                </a:ext>
                <a:ext uri="{FF2B5EF4-FFF2-40B4-BE49-F238E27FC236}">
                  <a16:creationId xmlns:a16="http://schemas.microsoft.com/office/drawing/2014/main" id="{00000000-0008-0000-1E00-000008A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4827" name="FPMExcelClientSheetOptionstb1" hidden="1">
              <a:extLst>
                <a:ext uri="{63B3BB69-23CF-44E3-9099-C40C66FF867C}">
                  <a14:compatExt spid="_x0000_s34827"/>
                </a:ext>
                <a:ext uri="{FF2B5EF4-FFF2-40B4-BE49-F238E27FC236}">
                  <a16:creationId xmlns:a16="http://schemas.microsoft.com/office/drawing/2014/main" id="{00000000-0008-0000-2000-00000B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6872" name="FPMExcelClientSheetOptionstb1" hidden="1">
              <a:extLst>
                <a:ext uri="{63B3BB69-23CF-44E3-9099-C40C66FF867C}">
                  <a14:compatExt spid="_x0000_s36872"/>
                </a:ext>
                <a:ext uri="{FF2B5EF4-FFF2-40B4-BE49-F238E27FC236}">
                  <a16:creationId xmlns:a16="http://schemas.microsoft.com/office/drawing/2014/main" id="{00000000-0008-0000-2100-0000089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7896" name="FPMExcelClientSheetOptionstb1" hidden="1">
              <a:extLst>
                <a:ext uri="{63B3BB69-23CF-44E3-9099-C40C66FF867C}">
                  <a14:compatExt spid="_x0000_s37896"/>
                </a:ext>
                <a:ext uri="{FF2B5EF4-FFF2-40B4-BE49-F238E27FC236}">
                  <a16:creationId xmlns:a16="http://schemas.microsoft.com/office/drawing/2014/main" id="{00000000-0008-0000-2200-0000089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8920" name="FPMExcelClientSheetOptionstb1" hidden="1">
              <a:extLst>
                <a:ext uri="{63B3BB69-23CF-44E3-9099-C40C66FF867C}">
                  <a14:compatExt spid="_x0000_s38920"/>
                </a:ext>
                <a:ext uri="{FF2B5EF4-FFF2-40B4-BE49-F238E27FC236}">
                  <a16:creationId xmlns:a16="http://schemas.microsoft.com/office/drawing/2014/main" id="{00000000-0008-0000-2300-000008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40967" name="FPMExcelClientSheetOptionstb1" hidden="1">
              <a:extLst>
                <a:ext uri="{63B3BB69-23CF-44E3-9099-C40C66FF867C}">
                  <a14:compatExt spid="_x0000_s40967"/>
                </a:ext>
                <a:ext uri="{FF2B5EF4-FFF2-40B4-BE49-F238E27FC236}">
                  <a16:creationId xmlns:a16="http://schemas.microsoft.com/office/drawing/2014/main" id="{00000000-0008-0000-2400-000007A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1206" name="FPMExcelClientSheetOptionstb1" hidden="1">
              <a:extLst>
                <a:ext uri="{63B3BB69-23CF-44E3-9099-C40C66FF867C}">
                  <a14:compatExt spid="_x0000_s51206"/>
                </a:ext>
                <a:ext uri="{FF2B5EF4-FFF2-40B4-BE49-F238E27FC236}">
                  <a16:creationId xmlns:a16="http://schemas.microsoft.com/office/drawing/2014/main" id="{00000000-0008-0000-2500-000006C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3256" name="FPMExcelClientSheetOptionstb1" hidden="1">
              <a:extLst>
                <a:ext uri="{63B3BB69-23CF-44E3-9099-C40C66FF867C}">
                  <a14:compatExt spid="_x0000_s53256"/>
                </a:ext>
                <a:ext uri="{FF2B5EF4-FFF2-40B4-BE49-F238E27FC236}">
                  <a16:creationId xmlns:a16="http://schemas.microsoft.com/office/drawing/2014/main" id="{00000000-0008-0000-2600-000008D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5304" name="FPMExcelClientSheetOptionstb1" hidden="1">
              <a:extLst>
                <a:ext uri="{63B3BB69-23CF-44E3-9099-C40C66FF867C}">
                  <a14:compatExt spid="_x0000_s55304"/>
                </a:ext>
                <a:ext uri="{FF2B5EF4-FFF2-40B4-BE49-F238E27FC236}">
                  <a16:creationId xmlns:a16="http://schemas.microsoft.com/office/drawing/2014/main" id="{00000000-0008-0000-2700-000008D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6326" name="FPMExcelClientSheetOptionstb1" hidden="1">
              <a:extLst>
                <a:ext uri="{63B3BB69-23CF-44E3-9099-C40C66FF867C}">
                  <a14:compatExt spid="_x0000_s56326"/>
                </a:ext>
                <a:ext uri="{FF2B5EF4-FFF2-40B4-BE49-F238E27FC236}">
                  <a16:creationId xmlns:a16="http://schemas.microsoft.com/office/drawing/2014/main" id="{00000000-0008-0000-2800-000006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8374" name="FPMExcelClientSheetOptionstb1" hidden="1">
              <a:extLst>
                <a:ext uri="{63B3BB69-23CF-44E3-9099-C40C66FF867C}">
                  <a14:compatExt spid="_x0000_s58374"/>
                </a:ext>
                <a:ext uri="{FF2B5EF4-FFF2-40B4-BE49-F238E27FC236}">
                  <a16:creationId xmlns:a16="http://schemas.microsoft.com/office/drawing/2014/main" id="{00000000-0008-0000-2A00-000006E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0419" name="FPMExcelClientSheetOptionstb1" hidden="1">
              <a:extLst>
                <a:ext uri="{63B3BB69-23CF-44E3-9099-C40C66FF867C}">
                  <a14:compatExt spid="_x0000_s60419"/>
                </a:ext>
                <a:ext uri="{FF2B5EF4-FFF2-40B4-BE49-F238E27FC236}">
                  <a16:creationId xmlns:a16="http://schemas.microsoft.com/office/drawing/2014/main" id="{00000000-0008-0000-2B00-000003E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1443" name="FPMExcelClientSheetOptionstb1" hidden="1">
              <a:extLst>
                <a:ext uri="{63B3BB69-23CF-44E3-9099-C40C66FF867C}">
                  <a14:compatExt spid="_x0000_s61443"/>
                </a:ext>
                <a:ext uri="{FF2B5EF4-FFF2-40B4-BE49-F238E27FC236}">
                  <a16:creationId xmlns:a16="http://schemas.microsoft.com/office/drawing/2014/main" id="{00000000-0008-0000-2C00-000003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2467" name="FPMExcelClientSheetOptionstb1" hidden="1">
              <a:extLst>
                <a:ext uri="{63B3BB69-23CF-44E3-9099-C40C66FF867C}">
                  <a14:compatExt spid="_x0000_s62467"/>
                </a:ext>
                <a:ext uri="{FF2B5EF4-FFF2-40B4-BE49-F238E27FC236}">
                  <a16:creationId xmlns:a16="http://schemas.microsoft.com/office/drawing/2014/main" id="{00000000-0008-0000-2D00-000003F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4524" name="FPMExcelClientSheetOptionstb1" hidden="1">
              <a:extLst>
                <a:ext uri="{63B3BB69-23CF-44E3-9099-C40C66FF867C}">
                  <a14:compatExt spid="_x0000_s64524"/>
                </a:ext>
                <a:ext uri="{FF2B5EF4-FFF2-40B4-BE49-F238E27FC236}">
                  <a16:creationId xmlns:a16="http://schemas.microsoft.com/office/drawing/2014/main" id="{00000000-0008-0000-2E00-00000CF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5543" name="FPMExcelClientSheetOptionstb1" hidden="1">
              <a:extLst>
                <a:ext uri="{63B3BB69-23CF-44E3-9099-C40C66FF867C}">
                  <a14:compatExt spid="_x0000_s65543"/>
                </a:ext>
                <a:ext uri="{FF2B5EF4-FFF2-40B4-BE49-F238E27FC236}">
                  <a16:creationId xmlns:a16="http://schemas.microsoft.com/office/drawing/2014/main" id="{00000000-0008-0000-2F00-0000070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7587" name="FPMExcelClientSheetOptionstb1" hidden="1">
              <a:extLst>
                <a:ext uri="{63B3BB69-23CF-44E3-9099-C40C66FF867C}">
                  <a14:compatExt spid="_x0000_s67587"/>
                </a:ext>
                <a:ext uri="{FF2B5EF4-FFF2-40B4-BE49-F238E27FC236}">
                  <a16:creationId xmlns:a16="http://schemas.microsoft.com/office/drawing/2014/main" id="{00000000-0008-0000-3000-0000030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5.bin"/><Relationship Id="rId7" Type="http://schemas.openxmlformats.org/officeDocument/2006/relationships/comments" Target="../comments2.xml"/><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customProperty" Target="../customProperty6.bin"/></Relationships>
</file>

<file path=xl/worksheets/_rels/sheet3.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ustomProperty" Target="../customProperty8.bin"/><Relationship Id="rId7" Type="http://schemas.openxmlformats.org/officeDocument/2006/relationships/control" Target="../activeX/activeX2.xml"/><Relationship Id="rId2" Type="http://schemas.openxmlformats.org/officeDocument/2006/relationships/customProperty" Target="../customProperty7.bin"/><Relationship Id="rId1" Type="http://schemas.openxmlformats.org/officeDocument/2006/relationships/printerSettings" Target="../printerSettings/printerSettings3.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9.bin"/><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1.bin"/><Relationship Id="rId7" Type="http://schemas.openxmlformats.org/officeDocument/2006/relationships/control" Target="../activeX/activeX3.xml"/><Relationship Id="rId2" Type="http://schemas.openxmlformats.org/officeDocument/2006/relationships/customProperty" Target="../customProperty10.bin"/><Relationship Id="rId1" Type="http://schemas.openxmlformats.org/officeDocument/2006/relationships/printerSettings" Target="../printerSettings/printerSettings4.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customProperty" Target="../customProperty12.bin"/><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ustomProperty" Target="../customProperty14.bin"/><Relationship Id="rId7" Type="http://schemas.openxmlformats.org/officeDocument/2006/relationships/control" Target="../activeX/activeX4.xml"/><Relationship Id="rId2" Type="http://schemas.openxmlformats.org/officeDocument/2006/relationships/customProperty" Target="../customProperty13.bin"/><Relationship Id="rId1" Type="http://schemas.openxmlformats.org/officeDocument/2006/relationships/printerSettings" Target="../printerSettings/printerSettings5.bin"/><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customProperty" Target="../customProperty15.bin"/><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ustomProperty" Target="../customProperty17.bin"/><Relationship Id="rId7" Type="http://schemas.openxmlformats.org/officeDocument/2006/relationships/control" Target="../activeX/activeX5.xml"/><Relationship Id="rId2" Type="http://schemas.openxmlformats.org/officeDocument/2006/relationships/customProperty" Target="../customProperty16.bin"/><Relationship Id="rId1" Type="http://schemas.openxmlformats.org/officeDocument/2006/relationships/printerSettings" Target="../printerSettings/printerSettings6.bin"/><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customProperty" Target="../customProperty18.bin"/><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20.bin"/><Relationship Id="rId7" Type="http://schemas.openxmlformats.org/officeDocument/2006/relationships/control" Target="../activeX/activeX6.xml"/><Relationship Id="rId2" Type="http://schemas.openxmlformats.org/officeDocument/2006/relationships/customProperty" Target="../customProperty19.bin"/><Relationship Id="rId1" Type="http://schemas.openxmlformats.org/officeDocument/2006/relationships/printerSettings" Target="../printerSettings/printerSettings7.bin"/><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customProperty" Target="../customProperty21.bin"/><Relationship Id="rId9" Type="http://schemas.openxmlformats.org/officeDocument/2006/relationships/comments" Target="../comments7.xml"/></Relationships>
</file>

<file path=xl/worksheets/_rels/sheet8.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ustomProperty" Target="../customProperty23.bin"/><Relationship Id="rId7" Type="http://schemas.openxmlformats.org/officeDocument/2006/relationships/control" Target="../activeX/activeX7.xml"/><Relationship Id="rId2" Type="http://schemas.openxmlformats.org/officeDocument/2006/relationships/customProperty" Target="../customProperty22.bin"/><Relationship Id="rId1" Type="http://schemas.openxmlformats.org/officeDocument/2006/relationships/printerSettings" Target="../printerSettings/printerSettings8.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customProperty" Target="../customProperty24.bin"/><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vmlDrawing" Target="../drawings/vmlDrawing9.vml"/><Relationship Id="rId4" Type="http://schemas.openxmlformats.org/officeDocument/2006/relationships/customProperty" Target="../customProperty2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vmlDrawing" Target="../drawings/vmlDrawing10.vml"/><Relationship Id="rId4" Type="http://schemas.openxmlformats.org/officeDocument/2006/relationships/customProperty" Target="../customProperty3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vmlDrawing" Target="../drawings/vmlDrawing11.vml"/><Relationship Id="rId4" Type="http://schemas.openxmlformats.org/officeDocument/2006/relationships/customProperty" Target="../customProperty33.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2.bin"/><Relationship Id="rId6" Type="http://schemas.openxmlformats.org/officeDocument/2006/relationships/comments" Target="../comments12.xml"/><Relationship Id="rId5" Type="http://schemas.openxmlformats.org/officeDocument/2006/relationships/vmlDrawing" Target="../drawings/vmlDrawing12.vml"/><Relationship Id="rId4" Type="http://schemas.openxmlformats.org/officeDocument/2006/relationships/customProperty" Target="../customProperty36.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3.bin"/><Relationship Id="rId6" Type="http://schemas.openxmlformats.org/officeDocument/2006/relationships/comments" Target="../comments13.xml"/><Relationship Id="rId5" Type="http://schemas.openxmlformats.org/officeDocument/2006/relationships/vmlDrawing" Target="../drawings/vmlDrawing13.vml"/><Relationship Id="rId4" Type="http://schemas.openxmlformats.org/officeDocument/2006/relationships/customProperty" Target="../customProperty39.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41.bin"/><Relationship Id="rId2" Type="http://schemas.openxmlformats.org/officeDocument/2006/relationships/customProperty" Target="../customProperty40.bin"/><Relationship Id="rId1" Type="http://schemas.openxmlformats.org/officeDocument/2006/relationships/printerSettings" Target="../printerSettings/printerSettings14.bin"/><Relationship Id="rId6" Type="http://schemas.openxmlformats.org/officeDocument/2006/relationships/comments" Target="../comments14.xml"/><Relationship Id="rId5" Type="http://schemas.openxmlformats.org/officeDocument/2006/relationships/vmlDrawing" Target="../drawings/vmlDrawing14.vml"/><Relationship Id="rId4" Type="http://schemas.openxmlformats.org/officeDocument/2006/relationships/customProperty" Target="../customProperty4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5.bin"/><Relationship Id="rId6" Type="http://schemas.openxmlformats.org/officeDocument/2006/relationships/comments" Target="../comments15.xml"/><Relationship Id="rId5" Type="http://schemas.openxmlformats.org/officeDocument/2006/relationships/vmlDrawing" Target="../drawings/vmlDrawing15.vml"/><Relationship Id="rId4" Type="http://schemas.openxmlformats.org/officeDocument/2006/relationships/customProperty" Target="../customProperty45.bin"/></Relationships>
</file>

<file path=xl/worksheets/_rels/sheet1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customProperty" Target="../customProperty47.bin"/><Relationship Id="rId7" Type="http://schemas.openxmlformats.org/officeDocument/2006/relationships/control" Target="../activeX/activeX8.xml"/><Relationship Id="rId2" Type="http://schemas.openxmlformats.org/officeDocument/2006/relationships/customProperty" Target="../customProperty46.bin"/><Relationship Id="rId1" Type="http://schemas.openxmlformats.org/officeDocument/2006/relationships/printerSettings" Target="../printerSettings/printerSettings16.bin"/><Relationship Id="rId6" Type="http://schemas.openxmlformats.org/officeDocument/2006/relationships/vmlDrawing" Target="../drawings/vmlDrawing16.vml"/><Relationship Id="rId5" Type="http://schemas.openxmlformats.org/officeDocument/2006/relationships/drawing" Target="../drawings/drawing9.xml"/><Relationship Id="rId4" Type="http://schemas.openxmlformats.org/officeDocument/2006/relationships/customProperty" Target="../customProperty48.bin"/><Relationship Id="rId9"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50.bin"/><Relationship Id="rId2" Type="http://schemas.openxmlformats.org/officeDocument/2006/relationships/customProperty" Target="../customProperty49.bin"/><Relationship Id="rId1" Type="http://schemas.openxmlformats.org/officeDocument/2006/relationships/printerSettings" Target="../printerSettings/printerSettings17.bin"/><Relationship Id="rId6" Type="http://schemas.openxmlformats.org/officeDocument/2006/relationships/comments" Target="../comments17.xml"/><Relationship Id="rId5" Type="http://schemas.openxmlformats.org/officeDocument/2006/relationships/vmlDrawing" Target="../drawings/vmlDrawing17.vml"/><Relationship Id="rId4" Type="http://schemas.openxmlformats.org/officeDocument/2006/relationships/customProperty" Target="../customProperty51.bin"/></Relationships>
</file>

<file path=xl/worksheets/_rels/sheet18.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customProperty" Target="../customProperty53.bin"/><Relationship Id="rId7" Type="http://schemas.openxmlformats.org/officeDocument/2006/relationships/control" Target="../activeX/activeX9.xml"/><Relationship Id="rId2" Type="http://schemas.openxmlformats.org/officeDocument/2006/relationships/customProperty" Target="../customProperty52.bin"/><Relationship Id="rId1" Type="http://schemas.openxmlformats.org/officeDocument/2006/relationships/printerSettings" Target="../printerSettings/printerSettings18.bin"/><Relationship Id="rId6" Type="http://schemas.openxmlformats.org/officeDocument/2006/relationships/vmlDrawing" Target="../drawings/vmlDrawing18.vml"/><Relationship Id="rId5" Type="http://schemas.openxmlformats.org/officeDocument/2006/relationships/drawing" Target="../drawings/drawing10.xml"/><Relationship Id="rId4" Type="http://schemas.openxmlformats.org/officeDocument/2006/relationships/customProperty" Target="../customProperty54.bin"/><Relationship Id="rId9"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56.bin"/><Relationship Id="rId2" Type="http://schemas.openxmlformats.org/officeDocument/2006/relationships/customProperty" Target="../customProperty55.bin"/><Relationship Id="rId1" Type="http://schemas.openxmlformats.org/officeDocument/2006/relationships/printerSettings" Target="../printerSettings/printerSettings19.bin"/><Relationship Id="rId6" Type="http://schemas.openxmlformats.org/officeDocument/2006/relationships/comments" Target="../comments19.xml"/><Relationship Id="rId5" Type="http://schemas.openxmlformats.org/officeDocument/2006/relationships/vmlDrawing" Target="../drawings/vmlDrawing19.vml"/><Relationship Id="rId4" Type="http://schemas.openxmlformats.org/officeDocument/2006/relationships/customProperty" Target="../customProperty5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59.bin"/><Relationship Id="rId2" Type="http://schemas.openxmlformats.org/officeDocument/2006/relationships/customProperty" Target="../customProperty58.bin"/><Relationship Id="rId1" Type="http://schemas.openxmlformats.org/officeDocument/2006/relationships/printerSettings" Target="../printerSettings/printerSettings20.bin"/><Relationship Id="rId6" Type="http://schemas.openxmlformats.org/officeDocument/2006/relationships/comments" Target="../comments20.xml"/><Relationship Id="rId5" Type="http://schemas.openxmlformats.org/officeDocument/2006/relationships/vmlDrawing" Target="../drawings/vmlDrawing20.vml"/><Relationship Id="rId4" Type="http://schemas.openxmlformats.org/officeDocument/2006/relationships/customProperty" Target="../customProperty6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62.bin"/><Relationship Id="rId2" Type="http://schemas.openxmlformats.org/officeDocument/2006/relationships/customProperty" Target="../customProperty61.bin"/><Relationship Id="rId1" Type="http://schemas.openxmlformats.org/officeDocument/2006/relationships/printerSettings" Target="../printerSettings/printerSettings21.bin"/><Relationship Id="rId6" Type="http://schemas.openxmlformats.org/officeDocument/2006/relationships/comments" Target="../comments21.xml"/><Relationship Id="rId5" Type="http://schemas.openxmlformats.org/officeDocument/2006/relationships/vmlDrawing" Target="../drawings/vmlDrawing21.vml"/><Relationship Id="rId4" Type="http://schemas.openxmlformats.org/officeDocument/2006/relationships/customProperty" Target="../customProperty63.bin"/></Relationships>
</file>

<file path=xl/worksheets/_rels/sheet22.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customProperty" Target="../customProperty65.bin"/><Relationship Id="rId7" Type="http://schemas.openxmlformats.org/officeDocument/2006/relationships/control" Target="../activeX/activeX10.xml"/><Relationship Id="rId2" Type="http://schemas.openxmlformats.org/officeDocument/2006/relationships/customProperty" Target="../customProperty64.bin"/><Relationship Id="rId1" Type="http://schemas.openxmlformats.org/officeDocument/2006/relationships/printerSettings" Target="../printerSettings/printerSettings22.bin"/><Relationship Id="rId6" Type="http://schemas.openxmlformats.org/officeDocument/2006/relationships/vmlDrawing" Target="../drawings/vmlDrawing22.vml"/><Relationship Id="rId5" Type="http://schemas.openxmlformats.org/officeDocument/2006/relationships/drawing" Target="../drawings/drawing11.xml"/><Relationship Id="rId4" Type="http://schemas.openxmlformats.org/officeDocument/2006/relationships/customProperty" Target="../customProperty66.bin"/><Relationship Id="rId9"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68.bin"/><Relationship Id="rId7" Type="http://schemas.openxmlformats.org/officeDocument/2006/relationships/control" Target="../activeX/activeX11.xml"/><Relationship Id="rId2" Type="http://schemas.openxmlformats.org/officeDocument/2006/relationships/customProperty" Target="../customProperty67.bin"/><Relationship Id="rId1" Type="http://schemas.openxmlformats.org/officeDocument/2006/relationships/printerSettings" Target="../printerSettings/printerSettings23.bin"/><Relationship Id="rId6" Type="http://schemas.openxmlformats.org/officeDocument/2006/relationships/vmlDrawing" Target="../drawings/vmlDrawing23.vml"/><Relationship Id="rId5" Type="http://schemas.openxmlformats.org/officeDocument/2006/relationships/drawing" Target="../drawings/drawing12.xml"/><Relationship Id="rId4" Type="http://schemas.openxmlformats.org/officeDocument/2006/relationships/customProperty" Target="../customProperty69.bin"/><Relationship Id="rId9"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71.bin"/><Relationship Id="rId7" Type="http://schemas.openxmlformats.org/officeDocument/2006/relationships/control" Target="../activeX/activeX12.xml"/><Relationship Id="rId2" Type="http://schemas.openxmlformats.org/officeDocument/2006/relationships/customProperty" Target="../customProperty70.bin"/><Relationship Id="rId1" Type="http://schemas.openxmlformats.org/officeDocument/2006/relationships/printerSettings" Target="../printerSettings/printerSettings24.bin"/><Relationship Id="rId6" Type="http://schemas.openxmlformats.org/officeDocument/2006/relationships/vmlDrawing" Target="../drawings/vmlDrawing24.vml"/><Relationship Id="rId5" Type="http://schemas.openxmlformats.org/officeDocument/2006/relationships/drawing" Target="../drawings/drawing13.xml"/><Relationship Id="rId4" Type="http://schemas.openxmlformats.org/officeDocument/2006/relationships/customProperty" Target="../customProperty72.bin"/><Relationship Id="rId9"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customProperty" Target="../customProperty74.bin"/><Relationship Id="rId7" Type="http://schemas.openxmlformats.org/officeDocument/2006/relationships/control" Target="../activeX/activeX13.xml"/><Relationship Id="rId2" Type="http://schemas.openxmlformats.org/officeDocument/2006/relationships/customProperty" Target="../customProperty73.bin"/><Relationship Id="rId1" Type="http://schemas.openxmlformats.org/officeDocument/2006/relationships/printerSettings" Target="../printerSettings/printerSettings25.bin"/><Relationship Id="rId6" Type="http://schemas.openxmlformats.org/officeDocument/2006/relationships/vmlDrawing" Target="../drawings/vmlDrawing25.vml"/><Relationship Id="rId5" Type="http://schemas.openxmlformats.org/officeDocument/2006/relationships/drawing" Target="../drawings/drawing14.xml"/><Relationship Id="rId4" Type="http://schemas.openxmlformats.org/officeDocument/2006/relationships/customProperty" Target="../customProperty75.bin"/><Relationship Id="rId9"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77.bin"/><Relationship Id="rId7" Type="http://schemas.openxmlformats.org/officeDocument/2006/relationships/control" Target="../activeX/activeX14.xml"/><Relationship Id="rId2" Type="http://schemas.openxmlformats.org/officeDocument/2006/relationships/customProperty" Target="../customProperty76.bin"/><Relationship Id="rId1" Type="http://schemas.openxmlformats.org/officeDocument/2006/relationships/printerSettings" Target="../printerSettings/printerSettings26.bin"/><Relationship Id="rId6" Type="http://schemas.openxmlformats.org/officeDocument/2006/relationships/vmlDrawing" Target="../drawings/vmlDrawing26.vml"/><Relationship Id="rId5" Type="http://schemas.openxmlformats.org/officeDocument/2006/relationships/drawing" Target="../drawings/drawing15.xml"/><Relationship Id="rId4" Type="http://schemas.openxmlformats.org/officeDocument/2006/relationships/customProperty" Target="../customProperty78.bin"/><Relationship Id="rId9" Type="http://schemas.openxmlformats.org/officeDocument/2006/relationships/comments" Target="../comments26.xml"/></Relationships>
</file>

<file path=xl/worksheets/_rels/sheet27.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ustomProperty" Target="../customProperty80.bin"/><Relationship Id="rId7" Type="http://schemas.openxmlformats.org/officeDocument/2006/relationships/control" Target="../activeX/activeX15.xml"/><Relationship Id="rId2" Type="http://schemas.openxmlformats.org/officeDocument/2006/relationships/customProperty" Target="../customProperty79.bin"/><Relationship Id="rId1" Type="http://schemas.openxmlformats.org/officeDocument/2006/relationships/printerSettings" Target="../printerSettings/printerSettings27.bin"/><Relationship Id="rId6" Type="http://schemas.openxmlformats.org/officeDocument/2006/relationships/vmlDrawing" Target="../drawings/vmlDrawing27.vml"/><Relationship Id="rId5" Type="http://schemas.openxmlformats.org/officeDocument/2006/relationships/drawing" Target="../drawings/drawing16.xml"/><Relationship Id="rId4" Type="http://schemas.openxmlformats.org/officeDocument/2006/relationships/customProperty" Target="../customProperty81.bin"/><Relationship Id="rId9" Type="http://schemas.openxmlformats.org/officeDocument/2006/relationships/comments" Target="../comments27.xml"/></Relationships>
</file>

<file path=xl/worksheets/_rels/sheet28.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customProperty" Target="../customProperty83.bin"/><Relationship Id="rId7" Type="http://schemas.openxmlformats.org/officeDocument/2006/relationships/control" Target="../activeX/activeX16.xml"/><Relationship Id="rId2" Type="http://schemas.openxmlformats.org/officeDocument/2006/relationships/customProperty" Target="../customProperty82.bin"/><Relationship Id="rId1" Type="http://schemas.openxmlformats.org/officeDocument/2006/relationships/printerSettings" Target="../printerSettings/printerSettings28.bin"/><Relationship Id="rId6" Type="http://schemas.openxmlformats.org/officeDocument/2006/relationships/vmlDrawing" Target="../drawings/vmlDrawing28.vml"/><Relationship Id="rId5" Type="http://schemas.openxmlformats.org/officeDocument/2006/relationships/drawing" Target="../drawings/drawing17.xml"/><Relationship Id="rId4" Type="http://schemas.openxmlformats.org/officeDocument/2006/relationships/customProperty" Target="../customProperty84.bin"/><Relationship Id="rId9"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customProperty" Target="../customProperty86.bin"/><Relationship Id="rId7" Type="http://schemas.openxmlformats.org/officeDocument/2006/relationships/control" Target="../activeX/activeX17.xml"/><Relationship Id="rId2" Type="http://schemas.openxmlformats.org/officeDocument/2006/relationships/customProperty" Target="../customProperty85.bin"/><Relationship Id="rId1" Type="http://schemas.openxmlformats.org/officeDocument/2006/relationships/printerSettings" Target="../printerSettings/printerSettings29.bin"/><Relationship Id="rId6" Type="http://schemas.openxmlformats.org/officeDocument/2006/relationships/vmlDrawing" Target="../drawings/vmlDrawing29.vml"/><Relationship Id="rId5" Type="http://schemas.openxmlformats.org/officeDocument/2006/relationships/drawing" Target="../drawings/drawing18.xml"/><Relationship Id="rId4" Type="http://schemas.openxmlformats.org/officeDocument/2006/relationships/customProperty" Target="../customProperty87.bin"/><Relationship Id="rId9"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customProperty" Target="../customProperty89.bin"/><Relationship Id="rId7" Type="http://schemas.openxmlformats.org/officeDocument/2006/relationships/control" Target="../activeX/activeX18.xml"/><Relationship Id="rId2" Type="http://schemas.openxmlformats.org/officeDocument/2006/relationships/customProperty" Target="../customProperty88.bin"/><Relationship Id="rId1" Type="http://schemas.openxmlformats.org/officeDocument/2006/relationships/printerSettings" Target="../printerSettings/printerSettings30.bin"/><Relationship Id="rId6" Type="http://schemas.openxmlformats.org/officeDocument/2006/relationships/vmlDrawing" Target="../drawings/vmlDrawing30.vml"/><Relationship Id="rId5" Type="http://schemas.openxmlformats.org/officeDocument/2006/relationships/drawing" Target="../drawings/drawing19.xml"/><Relationship Id="rId4" Type="http://schemas.openxmlformats.org/officeDocument/2006/relationships/customProperty" Target="../customProperty90.bin"/><Relationship Id="rId9" Type="http://schemas.openxmlformats.org/officeDocument/2006/relationships/comments" Target="../comments30.xml"/></Relationships>
</file>

<file path=xl/worksheets/_rels/sheet31.x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customProperty" Target="../customProperty92.bin"/><Relationship Id="rId7" Type="http://schemas.openxmlformats.org/officeDocument/2006/relationships/control" Target="../activeX/activeX19.xml"/><Relationship Id="rId2" Type="http://schemas.openxmlformats.org/officeDocument/2006/relationships/customProperty" Target="../customProperty91.bin"/><Relationship Id="rId1" Type="http://schemas.openxmlformats.org/officeDocument/2006/relationships/printerSettings" Target="../printerSettings/printerSettings31.bin"/><Relationship Id="rId6" Type="http://schemas.openxmlformats.org/officeDocument/2006/relationships/vmlDrawing" Target="../drawings/vmlDrawing31.vml"/><Relationship Id="rId5" Type="http://schemas.openxmlformats.org/officeDocument/2006/relationships/drawing" Target="../drawings/drawing20.xml"/><Relationship Id="rId4" Type="http://schemas.openxmlformats.org/officeDocument/2006/relationships/customProperty" Target="../customProperty93.bin"/><Relationship Id="rId9"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95.bin"/><Relationship Id="rId2" Type="http://schemas.openxmlformats.org/officeDocument/2006/relationships/customProperty" Target="../customProperty94.bin"/><Relationship Id="rId1" Type="http://schemas.openxmlformats.org/officeDocument/2006/relationships/printerSettings" Target="../printerSettings/printerSettings32.bin"/><Relationship Id="rId6" Type="http://schemas.openxmlformats.org/officeDocument/2006/relationships/comments" Target="../comments32.xml"/><Relationship Id="rId5" Type="http://schemas.openxmlformats.org/officeDocument/2006/relationships/vmlDrawing" Target="../drawings/vmlDrawing32.vml"/><Relationship Id="rId4" Type="http://schemas.openxmlformats.org/officeDocument/2006/relationships/customProperty" Target="../customProperty96.bin"/></Relationships>
</file>

<file path=xl/worksheets/_rels/sheet33.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customProperty" Target="../customProperty98.bin"/><Relationship Id="rId7" Type="http://schemas.openxmlformats.org/officeDocument/2006/relationships/control" Target="../activeX/activeX20.xml"/><Relationship Id="rId2" Type="http://schemas.openxmlformats.org/officeDocument/2006/relationships/customProperty" Target="../customProperty97.bin"/><Relationship Id="rId1" Type="http://schemas.openxmlformats.org/officeDocument/2006/relationships/printerSettings" Target="../printerSettings/printerSettings33.bin"/><Relationship Id="rId6" Type="http://schemas.openxmlformats.org/officeDocument/2006/relationships/vmlDrawing" Target="../drawings/vmlDrawing33.vml"/><Relationship Id="rId5" Type="http://schemas.openxmlformats.org/officeDocument/2006/relationships/drawing" Target="../drawings/drawing21.xml"/><Relationship Id="rId4" Type="http://schemas.openxmlformats.org/officeDocument/2006/relationships/customProperty" Target="../customProperty99.bin"/><Relationship Id="rId9"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customProperty" Target="../customProperty101.bin"/><Relationship Id="rId7" Type="http://schemas.openxmlformats.org/officeDocument/2006/relationships/control" Target="../activeX/activeX21.xml"/><Relationship Id="rId2" Type="http://schemas.openxmlformats.org/officeDocument/2006/relationships/customProperty" Target="../customProperty100.bin"/><Relationship Id="rId1" Type="http://schemas.openxmlformats.org/officeDocument/2006/relationships/printerSettings" Target="../printerSettings/printerSettings34.bin"/><Relationship Id="rId6" Type="http://schemas.openxmlformats.org/officeDocument/2006/relationships/vmlDrawing" Target="../drawings/vmlDrawing34.vml"/><Relationship Id="rId5" Type="http://schemas.openxmlformats.org/officeDocument/2006/relationships/drawing" Target="../drawings/drawing22.xml"/><Relationship Id="rId4" Type="http://schemas.openxmlformats.org/officeDocument/2006/relationships/customProperty" Target="../customProperty102.bin"/><Relationship Id="rId9" Type="http://schemas.openxmlformats.org/officeDocument/2006/relationships/comments" Target="../comments34.xml"/></Relationships>
</file>

<file path=xl/worksheets/_rels/sheet35.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customProperty" Target="../customProperty104.bin"/><Relationship Id="rId7" Type="http://schemas.openxmlformats.org/officeDocument/2006/relationships/control" Target="../activeX/activeX22.xml"/><Relationship Id="rId2" Type="http://schemas.openxmlformats.org/officeDocument/2006/relationships/customProperty" Target="../customProperty103.bin"/><Relationship Id="rId1" Type="http://schemas.openxmlformats.org/officeDocument/2006/relationships/printerSettings" Target="../printerSettings/printerSettings35.bin"/><Relationship Id="rId6" Type="http://schemas.openxmlformats.org/officeDocument/2006/relationships/vmlDrawing" Target="../drawings/vmlDrawing35.vml"/><Relationship Id="rId5" Type="http://schemas.openxmlformats.org/officeDocument/2006/relationships/drawing" Target="../drawings/drawing23.xml"/><Relationship Id="rId4" Type="http://schemas.openxmlformats.org/officeDocument/2006/relationships/customProperty" Target="../customProperty105.bin"/><Relationship Id="rId9"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customProperty" Target="../customProperty107.bin"/><Relationship Id="rId7" Type="http://schemas.openxmlformats.org/officeDocument/2006/relationships/control" Target="../activeX/activeX23.xml"/><Relationship Id="rId2" Type="http://schemas.openxmlformats.org/officeDocument/2006/relationships/customProperty" Target="../customProperty106.bin"/><Relationship Id="rId1" Type="http://schemas.openxmlformats.org/officeDocument/2006/relationships/printerSettings" Target="../printerSettings/printerSettings36.bin"/><Relationship Id="rId6" Type="http://schemas.openxmlformats.org/officeDocument/2006/relationships/vmlDrawing" Target="../drawings/vmlDrawing36.vml"/><Relationship Id="rId5" Type="http://schemas.openxmlformats.org/officeDocument/2006/relationships/drawing" Target="../drawings/drawing24.xml"/><Relationship Id="rId4" Type="http://schemas.openxmlformats.org/officeDocument/2006/relationships/customProperty" Target="../customProperty108.bin"/><Relationship Id="rId9" Type="http://schemas.openxmlformats.org/officeDocument/2006/relationships/comments" Target="../comments36.xml"/></Relationships>
</file>

<file path=xl/worksheets/_rels/sheet37.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customProperty" Target="../customProperty110.bin"/><Relationship Id="rId7" Type="http://schemas.openxmlformats.org/officeDocument/2006/relationships/control" Target="../activeX/activeX24.xml"/><Relationship Id="rId2" Type="http://schemas.openxmlformats.org/officeDocument/2006/relationships/customProperty" Target="../customProperty109.bin"/><Relationship Id="rId1" Type="http://schemas.openxmlformats.org/officeDocument/2006/relationships/printerSettings" Target="../printerSettings/printerSettings37.bin"/><Relationship Id="rId6" Type="http://schemas.openxmlformats.org/officeDocument/2006/relationships/vmlDrawing" Target="../drawings/vmlDrawing37.vml"/><Relationship Id="rId5" Type="http://schemas.openxmlformats.org/officeDocument/2006/relationships/drawing" Target="../drawings/drawing25.xml"/><Relationship Id="rId4" Type="http://schemas.openxmlformats.org/officeDocument/2006/relationships/customProperty" Target="../customProperty111.bin"/><Relationship Id="rId9" Type="http://schemas.openxmlformats.org/officeDocument/2006/relationships/comments" Target="../comments37.xml"/></Relationships>
</file>

<file path=xl/worksheets/_rels/sheet38.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customProperty" Target="../customProperty113.bin"/><Relationship Id="rId7" Type="http://schemas.openxmlformats.org/officeDocument/2006/relationships/control" Target="../activeX/activeX25.xml"/><Relationship Id="rId2" Type="http://schemas.openxmlformats.org/officeDocument/2006/relationships/customProperty" Target="../customProperty112.bin"/><Relationship Id="rId1" Type="http://schemas.openxmlformats.org/officeDocument/2006/relationships/printerSettings" Target="../printerSettings/printerSettings38.bin"/><Relationship Id="rId6" Type="http://schemas.openxmlformats.org/officeDocument/2006/relationships/vmlDrawing" Target="../drawings/vmlDrawing38.vml"/><Relationship Id="rId5" Type="http://schemas.openxmlformats.org/officeDocument/2006/relationships/drawing" Target="../drawings/drawing26.xml"/><Relationship Id="rId4" Type="http://schemas.openxmlformats.org/officeDocument/2006/relationships/customProperty" Target="../customProperty114.bin"/><Relationship Id="rId9" Type="http://schemas.openxmlformats.org/officeDocument/2006/relationships/comments" Target="../comments38.xml"/></Relationships>
</file>

<file path=xl/worksheets/_rels/sheet39.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customProperty" Target="../customProperty116.bin"/><Relationship Id="rId7" Type="http://schemas.openxmlformats.org/officeDocument/2006/relationships/control" Target="../activeX/activeX26.xml"/><Relationship Id="rId2" Type="http://schemas.openxmlformats.org/officeDocument/2006/relationships/customProperty" Target="../customProperty115.bin"/><Relationship Id="rId1" Type="http://schemas.openxmlformats.org/officeDocument/2006/relationships/printerSettings" Target="../printerSettings/printerSettings39.bin"/><Relationship Id="rId6" Type="http://schemas.openxmlformats.org/officeDocument/2006/relationships/vmlDrawing" Target="../drawings/vmlDrawing39.vml"/><Relationship Id="rId5" Type="http://schemas.openxmlformats.org/officeDocument/2006/relationships/drawing" Target="../drawings/drawing27.xml"/><Relationship Id="rId4" Type="http://schemas.openxmlformats.org/officeDocument/2006/relationships/customProperty" Target="../customProperty117.bin"/><Relationship Id="rId9" Type="http://schemas.openxmlformats.org/officeDocument/2006/relationships/comments" Target="../comments39.xml"/></Relationships>
</file>

<file path=xl/worksheets/_rels/sheet40.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customProperty" Target="../customProperty119.bin"/><Relationship Id="rId7" Type="http://schemas.openxmlformats.org/officeDocument/2006/relationships/control" Target="../activeX/activeX27.xml"/><Relationship Id="rId2" Type="http://schemas.openxmlformats.org/officeDocument/2006/relationships/customProperty" Target="../customProperty118.bin"/><Relationship Id="rId1" Type="http://schemas.openxmlformats.org/officeDocument/2006/relationships/printerSettings" Target="../printerSettings/printerSettings40.bin"/><Relationship Id="rId6" Type="http://schemas.openxmlformats.org/officeDocument/2006/relationships/vmlDrawing" Target="../drawings/vmlDrawing40.vml"/><Relationship Id="rId5" Type="http://schemas.openxmlformats.org/officeDocument/2006/relationships/drawing" Target="../drawings/drawing28.xml"/><Relationship Id="rId4" Type="http://schemas.openxmlformats.org/officeDocument/2006/relationships/customProperty" Target="../customProperty120.bin"/><Relationship Id="rId9" Type="http://schemas.openxmlformats.org/officeDocument/2006/relationships/comments" Target="../comments40.xml"/></Relationships>
</file>

<file path=xl/worksheets/_rels/sheet41.x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customProperty" Target="../customProperty122.bin"/><Relationship Id="rId7" Type="http://schemas.openxmlformats.org/officeDocument/2006/relationships/control" Target="../activeX/activeX28.xml"/><Relationship Id="rId2" Type="http://schemas.openxmlformats.org/officeDocument/2006/relationships/customProperty" Target="../customProperty121.bin"/><Relationship Id="rId1" Type="http://schemas.openxmlformats.org/officeDocument/2006/relationships/printerSettings" Target="../printerSettings/printerSettings41.bin"/><Relationship Id="rId6" Type="http://schemas.openxmlformats.org/officeDocument/2006/relationships/vmlDrawing" Target="../drawings/vmlDrawing41.vml"/><Relationship Id="rId5" Type="http://schemas.openxmlformats.org/officeDocument/2006/relationships/drawing" Target="../drawings/drawing29.xml"/><Relationship Id="rId4" Type="http://schemas.openxmlformats.org/officeDocument/2006/relationships/customProperty" Target="../customProperty123.bin"/><Relationship Id="rId9" Type="http://schemas.openxmlformats.org/officeDocument/2006/relationships/comments" Target="../comments41.xml"/></Relationships>
</file>

<file path=xl/worksheets/_rels/sheet42.xml.rels><?xml version="1.0" encoding="UTF-8" standalone="yes"?>
<Relationships xmlns="http://schemas.openxmlformats.org/package/2006/relationships"><Relationship Id="rId3" Type="http://schemas.openxmlformats.org/officeDocument/2006/relationships/customProperty" Target="../customProperty125.bin"/><Relationship Id="rId2" Type="http://schemas.openxmlformats.org/officeDocument/2006/relationships/customProperty" Target="../customProperty124.bin"/><Relationship Id="rId1" Type="http://schemas.openxmlformats.org/officeDocument/2006/relationships/printerSettings" Target="../printerSettings/printerSettings42.bin"/><Relationship Id="rId6" Type="http://schemas.openxmlformats.org/officeDocument/2006/relationships/comments" Target="../comments42.xml"/><Relationship Id="rId5" Type="http://schemas.openxmlformats.org/officeDocument/2006/relationships/vmlDrawing" Target="../drawings/vmlDrawing42.vml"/><Relationship Id="rId4" Type="http://schemas.openxmlformats.org/officeDocument/2006/relationships/customProperty" Target="../customProperty126.bin"/></Relationships>
</file>

<file path=xl/worksheets/_rels/sheet43.x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customProperty" Target="../customProperty128.bin"/><Relationship Id="rId7" Type="http://schemas.openxmlformats.org/officeDocument/2006/relationships/control" Target="../activeX/activeX29.xml"/><Relationship Id="rId2" Type="http://schemas.openxmlformats.org/officeDocument/2006/relationships/customProperty" Target="../customProperty127.bin"/><Relationship Id="rId1" Type="http://schemas.openxmlformats.org/officeDocument/2006/relationships/printerSettings" Target="../printerSettings/printerSettings43.bin"/><Relationship Id="rId6" Type="http://schemas.openxmlformats.org/officeDocument/2006/relationships/vmlDrawing" Target="../drawings/vmlDrawing43.vml"/><Relationship Id="rId5" Type="http://schemas.openxmlformats.org/officeDocument/2006/relationships/drawing" Target="../drawings/drawing30.xml"/><Relationship Id="rId4" Type="http://schemas.openxmlformats.org/officeDocument/2006/relationships/customProperty" Target="../customProperty129.bin"/><Relationship Id="rId9" Type="http://schemas.openxmlformats.org/officeDocument/2006/relationships/comments" Target="../comments43.xml"/></Relationships>
</file>

<file path=xl/worksheets/_rels/sheet44.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customProperty" Target="../customProperty131.bin"/><Relationship Id="rId7" Type="http://schemas.openxmlformats.org/officeDocument/2006/relationships/control" Target="../activeX/activeX30.xml"/><Relationship Id="rId2" Type="http://schemas.openxmlformats.org/officeDocument/2006/relationships/customProperty" Target="../customProperty130.bin"/><Relationship Id="rId1" Type="http://schemas.openxmlformats.org/officeDocument/2006/relationships/printerSettings" Target="../printerSettings/printerSettings44.bin"/><Relationship Id="rId6" Type="http://schemas.openxmlformats.org/officeDocument/2006/relationships/vmlDrawing" Target="../drawings/vmlDrawing44.vml"/><Relationship Id="rId5" Type="http://schemas.openxmlformats.org/officeDocument/2006/relationships/drawing" Target="../drawings/drawing31.xml"/><Relationship Id="rId4" Type="http://schemas.openxmlformats.org/officeDocument/2006/relationships/customProperty" Target="../customProperty132.bin"/><Relationship Id="rId9" Type="http://schemas.openxmlformats.org/officeDocument/2006/relationships/comments" Target="../comments44.xml"/></Relationships>
</file>

<file path=xl/worksheets/_rels/sheet45.x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customProperty" Target="../customProperty134.bin"/><Relationship Id="rId7" Type="http://schemas.openxmlformats.org/officeDocument/2006/relationships/control" Target="../activeX/activeX31.xml"/><Relationship Id="rId2" Type="http://schemas.openxmlformats.org/officeDocument/2006/relationships/customProperty" Target="../customProperty133.bin"/><Relationship Id="rId1" Type="http://schemas.openxmlformats.org/officeDocument/2006/relationships/printerSettings" Target="../printerSettings/printerSettings45.bin"/><Relationship Id="rId6" Type="http://schemas.openxmlformats.org/officeDocument/2006/relationships/vmlDrawing" Target="../drawings/vmlDrawing45.vml"/><Relationship Id="rId5" Type="http://schemas.openxmlformats.org/officeDocument/2006/relationships/drawing" Target="../drawings/drawing32.xml"/><Relationship Id="rId4" Type="http://schemas.openxmlformats.org/officeDocument/2006/relationships/customProperty" Target="../customProperty135.bin"/><Relationship Id="rId9" Type="http://schemas.openxmlformats.org/officeDocument/2006/relationships/comments" Target="../comments45.xml"/></Relationships>
</file>

<file path=xl/worksheets/_rels/sheet46.xml.rels><?xml version="1.0" encoding="UTF-8" standalone="yes"?>
<Relationships xmlns="http://schemas.openxmlformats.org/package/2006/relationships"><Relationship Id="rId8" Type="http://schemas.openxmlformats.org/officeDocument/2006/relationships/image" Target="../media/image36.emf"/><Relationship Id="rId3" Type="http://schemas.openxmlformats.org/officeDocument/2006/relationships/customProperty" Target="../customProperty137.bin"/><Relationship Id="rId7" Type="http://schemas.openxmlformats.org/officeDocument/2006/relationships/control" Target="../activeX/activeX32.xml"/><Relationship Id="rId2" Type="http://schemas.openxmlformats.org/officeDocument/2006/relationships/customProperty" Target="../customProperty136.bin"/><Relationship Id="rId1" Type="http://schemas.openxmlformats.org/officeDocument/2006/relationships/printerSettings" Target="../printerSettings/printerSettings46.bin"/><Relationship Id="rId6" Type="http://schemas.openxmlformats.org/officeDocument/2006/relationships/vmlDrawing" Target="../drawings/vmlDrawing46.vml"/><Relationship Id="rId5" Type="http://schemas.openxmlformats.org/officeDocument/2006/relationships/drawing" Target="../drawings/drawing33.xml"/><Relationship Id="rId4" Type="http://schemas.openxmlformats.org/officeDocument/2006/relationships/customProperty" Target="../customProperty138.bin"/><Relationship Id="rId9" Type="http://schemas.openxmlformats.org/officeDocument/2006/relationships/comments" Target="../comments46.xml"/></Relationships>
</file>

<file path=xl/worksheets/_rels/sheet47.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ustomProperty" Target="../customProperty140.bin"/><Relationship Id="rId7" Type="http://schemas.openxmlformats.org/officeDocument/2006/relationships/control" Target="../activeX/activeX33.xml"/><Relationship Id="rId2" Type="http://schemas.openxmlformats.org/officeDocument/2006/relationships/customProperty" Target="../customProperty139.bin"/><Relationship Id="rId1" Type="http://schemas.openxmlformats.org/officeDocument/2006/relationships/printerSettings" Target="../printerSettings/printerSettings47.bin"/><Relationship Id="rId6" Type="http://schemas.openxmlformats.org/officeDocument/2006/relationships/vmlDrawing" Target="../drawings/vmlDrawing47.vml"/><Relationship Id="rId5" Type="http://schemas.openxmlformats.org/officeDocument/2006/relationships/drawing" Target="../drawings/drawing34.xml"/><Relationship Id="rId4" Type="http://schemas.openxmlformats.org/officeDocument/2006/relationships/customProperty" Target="../customProperty141.bin"/><Relationship Id="rId9" Type="http://schemas.openxmlformats.org/officeDocument/2006/relationships/comments" Target="../comments47.xml"/></Relationships>
</file>

<file path=xl/worksheets/_rels/sheet48.x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customProperty" Target="../customProperty143.bin"/><Relationship Id="rId7" Type="http://schemas.openxmlformats.org/officeDocument/2006/relationships/control" Target="../activeX/activeX34.xml"/><Relationship Id="rId2" Type="http://schemas.openxmlformats.org/officeDocument/2006/relationships/customProperty" Target="../customProperty142.bin"/><Relationship Id="rId1" Type="http://schemas.openxmlformats.org/officeDocument/2006/relationships/printerSettings" Target="../printerSettings/printerSettings48.bin"/><Relationship Id="rId6" Type="http://schemas.openxmlformats.org/officeDocument/2006/relationships/vmlDrawing" Target="../drawings/vmlDrawing48.vml"/><Relationship Id="rId5" Type="http://schemas.openxmlformats.org/officeDocument/2006/relationships/drawing" Target="../drawings/drawing35.xml"/><Relationship Id="rId4" Type="http://schemas.openxmlformats.org/officeDocument/2006/relationships/customProperty" Target="../customProperty144.bin"/><Relationship Id="rId9" Type="http://schemas.openxmlformats.org/officeDocument/2006/relationships/comments" Target="../comments48.xml"/></Relationships>
</file>

<file path=xl/worksheets/_rels/sheet49.x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customProperty" Target="../customProperty146.bin"/><Relationship Id="rId7" Type="http://schemas.openxmlformats.org/officeDocument/2006/relationships/control" Target="../activeX/activeX35.xml"/><Relationship Id="rId2" Type="http://schemas.openxmlformats.org/officeDocument/2006/relationships/customProperty" Target="../customProperty145.bin"/><Relationship Id="rId1" Type="http://schemas.openxmlformats.org/officeDocument/2006/relationships/printerSettings" Target="../printerSettings/printerSettings49.bin"/><Relationship Id="rId6" Type="http://schemas.openxmlformats.org/officeDocument/2006/relationships/vmlDrawing" Target="../drawings/vmlDrawing49.vml"/><Relationship Id="rId5" Type="http://schemas.openxmlformats.org/officeDocument/2006/relationships/drawing" Target="../drawings/drawing36.xml"/><Relationship Id="rId4" Type="http://schemas.openxmlformats.org/officeDocument/2006/relationships/customProperty" Target="../customProperty147.bin"/><Relationship Id="rId9" Type="http://schemas.openxmlformats.org/officeDocument/2006/relationships/comments" Target="../comments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54"/>
  <sheetViews>
    <sheetView topLeftCell="A3" zoomScale="85" zoomScaleNormal="85" workbookViewId="0">
      <selection activeCell="C13" sqref="C13"/>
    </sheetView>
  </sheetViews>
  <sheetFormatPr defaultColWidth="9.1796875" defaultRowHeight="14.5" outlineLevelRow="1" outlineLevelCol="1" x14ac:dyDescent="0.35"/>
  <cols>
    <col min="1" max="1" width="4.7265625" style="3" customWidth="1"/>
    <col min="2" max="2" width="2.7265625" style="3" customWidth="1"/>
    <col min="3" max="3" width="21.453125" style="3" bestFit="1" customWidth="1"/>
    <col min="4" max="4" width="16.7265625" style="3" customWidth="1"/>
    <col min="5" max="5" width="24.7265625" style="3" customWidth="1"/>
    <col min="6" max="6" width="21.26953125" style="3" bestFit="1" customWidth="1"/>
    <col min="7" max="7" width="16.7265625" style="3" customWidth="1"/>
    <col min="8" max="8" width="22.7265625" style="3" customWidth="1"/>
    <col min="9" max="9" width="21.7265625" style="3" customWidth="1"/>
    <col min="10" max="10" width="16.7265625" style="3" customWidth="1"/>
    <col min="11" max="11" width="24.7265625" style="3" customWidth="1"/>
    <col min="12" max="12" width="2.7265625" style="3" customWidth="1"/>
    <col min="13" max="13" width="5.7265625" style="3" customWidth="1"/>
    <col min="14" max="14" width="2.7265625" style="3" customWidth="1"/>
    <col min="15" max="15" width="9.1796875" style="3"/>
    <col min="16" max="16" width="17.7265625" style="3" customWidth="1"/>
    <col min="17" max="17" width="14.7265625" style="3" customWidth="1"/>
    <col min="18" max="18" width="2.7265625" style="3" customWidth="1"/>
    <col min="19" max="19" width="14.26953125" style="3" hidden="1" customWidth="1" outlineLevel="1"/>
    <col min="20" max="20" width="0" style="3" hidden="1" customWidth="1" outlineLevel="1"/>
    <col min="21" max="21" width="9.1796875" style="3" collapsed="1"/>
    <col min="22" max="16384" width="9.1796875" style="3"/>
  </cols>
  <sheetData>
    <row r="1" spans="1:23" hidden="1" outlineLevel="1" x14ac:dyDescent="0.35">
      <c r="A1" s="9"/>
      <c r="B1" s="9"/>
      <c r="C1" s="10" t="str">
        <f>IF(_epmOfflineCondition_,"20220100",_xll.EVPRO("FINANCE","CURRENT","STARTMTH"))</f>
        <v>20220100</v>
      </c>
      <c r="D1" s="10" t="str">
        <f>LEFT($C$1,4)&amp;".TOTAL"</f>
        <v>2022.TOTAL</v>
      </c>
      <c r="E1" s="11" t="s">
        <v>114</v>
      </c>
      <c r="F1" s="10" t="str">
        <f>IF(_epmOfflineCondition_,"2021.TOTAL",_xll.EVTIM("FINANCE",$D$1,-1,"YEAR"))</f>
        <v>2021.TOTAL</v>
      </c>
      <c r="G1" s="11" t="s">
        <v>114</v>
      </c>
      <c r="H1" s="9"/>
      <c r="I1" s="9"/>
      <c r="J1" s="9"/>
      <c r="K1" s="9"/>
      <c r="L1" s="9"/>
      <c r="M1" s="9"/>
      <c r="N1" s="9"/>
      <c r="O1" s="10" t="b">
        <v>0</v>
      </c>
      <c r="P1" s="11" t="s">
        <v>114</v>
      </c>
      <c r="Q1" s="9"/>
      <c r="R1" s="9"/>
      <c r="S1" s="9"/>
      <c r="T1" s="9"/>
      <c r="U1" s="9"/>
      <c r="V1" s="9"/>
      <c r="W1" s="9"/>
    </row>
    <row r="2" spans="1:23" hidden="1" outlineLevel="1" x14ac:dyDescent="0.35">
      <c r="A2" s="9"/>
      <c r="B2" s="9"/>
      <c r="C2" s="11"/>
      <c r="D2" s="11"/>
      <c r="E2" s="11"/>
      <c r="F2" s="9"/>
      <c r="G2" s="9"/>
      <c r="H2" s="9"/>
      <c r="I2" s="9"/>
      <c r="J2" s="9"/>
      <c r="K2" s="9"/>
      <c r="L2" s="9"/>
      <c r="M2" s="9"/>
      <c r="N2" s="9"/>
      <c r="O2" s="9"/>
      <c r="P2" s="9"/>
      <c r="Q2" s="9"/>
      <c r="R2" s="9"/>
      <c r="S2" s="9"/>
      <c r="T2" s="9"/>
      <c r="U2" s="9"/>
      <c r="V2" s="9"/>
      <c r="W2" s="9"/>
    </row>
    <row r="3" spans="1:23" ht="15" collapsed="1" thickBot="1" x14ac:dyDescent="0.4">
      <c r="A3" s="9"/>
      <c r="B3" s="9"/>
      <c r="C3" s="9"/>
      <c r="D3" s="9"/>
      <c r="E3" s="9"/>
      <c r="F3" s="9"/>
      <c r="G3" s="9"/>
      <c r="H3" s="9"/>
      <c r="I3" s="9"/>
      <c r="J3" s="9"/>
      <c r="K3" s="9"/>
      <c r="L3" s="9"/>
      <c r="M3" s="9"/>
      <c r="N3" s="9"/>
      <c r="O3" s="9"/>
      <c r="P3" s="9"/>
      <c r="Q3" s="9"/>
      <c r="R3" s="9"/>
      <c r="S3" s="9"/>
      <c r="T3" s="9"/>
      <c r="U3" s="9"/>
      <c r="V3" s="9"/>
      <c r="W3" s="9"/>
    </row>
    <row r="4" spans="1:23" x14ac:dyDescent="0.35">
      <c r="A4" s="9"/>
      <c r="B4" s="12" t="s">
        <v>113</v>
      </c>
      <c r="C4" s="13"/>
      <c r="D4" s="14"/>
      <c r="E4" s="14"/>
      <c r="F4" s="15"/>
      <c r="G4" s="15"/>
      <c r="H4" s="15"/>
      <c r="I4" s="15"/>
      <c r="J4" s="15"/>
      <c r="K4" s="15"/>
      <c r="L4" s="16"/>
      <c r="M4" s="9"/>
      <c r="N4" s="17" t="s">
        <v>113</v>
      </c>
      <c r="O4" s="18"/>
      <c r="P4" s="15"/>
      <c r="Q4" s="15"/>
      <c r="R4" s="16"/>
      <c r="S4" s="9"/>
      <c r="T4" s="9"/>
      <c r="U4" s="9"/>
      <c r="V4" s="9"/>
      <c r="W4" s="9"/>
    </row>
    <row r="5" spans="1:23" x14ac:dyDescent="0.35">
      <c r="A5" s="9"/>
      <c r="B5" s="19"/>
      <c r="C5" s="20"/>
      <c r="D5" s="21"/>
      <c r="E5" s="21"/>
      <c r="F5" s="22"/>
      <c r="G5" s="22"/>
      <c r="H5" s="20"/>
      <c r="I5" s="20"/>
      <c r="J5" s="20"/>
      <c r="K5" s="20"/>
      <c r="L5" s="23"/>
      <c r="M5" s="9"/>
      <c r="N5" s="19"/>
      <c r="O5" s="20"/>
      <c r="P5" s="20"/>
      <c r="Q5" s="20"/>
      <c r="R5" s="23"/>
      <c r="S5" s="9"/>
      <c r="T5" s="9"/>
      <c r="U5" s="9"/>
      <c r="V5" s="9"/>
      <c r="W5" s="9"/>
    </row>
    <row r="6" spans="1:23" x14ac:dyDescent="0.35">
      <c r="A6" s="9"/>
      <c r="B6" s="19"/>
      <c r="C6" s="620" t="s">
        <v>627</v>
      </c>
      <c r="D6" s="24" t="str">
        <f>IF(_epmOfflineCondition_,"CURRENT",_xll.EPMSelectMember("FINANCE","[CATEGORY].[H1].[CURRENT]","FCFILTER1=Y","",FALSE))</f>
        <v>CURRENT</v>
      </c>
      <c r="E6" s="20" t="s">
        <v>112</v>
      </c>
      <c r="F6" s="620" t="s">
        <v>629</v>
      </c>
      <c r="G6" s="24" t="str">
        <f>IF(_epmOfflineCondition_,"BUDGET",_xll.EVMBR("FINANCE","BUDGET","FCFILTER1=Y"))</f>
        <v>BUDGET</v>
      </c>
      <c r="H6" s="20" t="s">
        <v>112</v>
      </c>
      <c r="I6" s="620" t="s">
        <v>630</v>
      </c>
      <c r="J6" s="24" t="str">
        <f>IF(_epmOfflineCondition_,"ACTUAL_CON",_xll.EPMSelectMember("FINANCE","[CATEGORY].[H1].[ACTUAL_CON]","FCFILTER1=Y","",FALSE))</f>
        <v>ACTUAL_CON</v>
      </c>
      <c r="K6" s="20" t="s">
        <v>112</v>
      </c>
      <c r="L6" s="23"/>
      <c r="M6" s="9"/>
      <c r="N6" s="19"/>
      <c r="O6" s="20"/>
      <c r="P6" s="20" t="s">
        <v>632</v>
      </c>
      <c r="Q6" s="24" t="str">
        <f>IF(_epmOfflineCondition_,"2014.DEC",_xll.EVMBR("FINANCE","2014.DEC","LEVEL=MONTH;YEAR&lt;&gt;NONE"))</f>
        <v>2014.DEC</v>
      </c>
      <c r="R6" s="23"/>
      <c r="S6" s="9"/>
      <c r="T6" s="9"/>
      <c r="U6" s="9"/>
      <c r="V6" s="9"/>
      <c r="W6" s="9"/>
    </row>
    <row r="7" spans="1:23" ht="15" customHeight="1" x14ac:dyDescent="0.35">
      <c r="A7" s="9"/>
      <c r="B7" s="19"/>
      <c r="C7" s="621"/>
      <c r="D7" s="24" t="str">
        <f>IF(_epmOfflineCondition_,"2021.TOTAL",_xll.EPMSelectMember("FINANCE","[TIME].[H1].[2021.TOTAL]","LEVEL=YEAR;YEAR&lt;&gt;NONE","",FALSE))</f>
        <v>2021.TOTAL</v>
      </c>
      <c r="E7" s="20" t="s">
        <v>628</v>
      </c>
      <c r="F7" s="621"/>
      <c r="G7" s="24" t="str">
        <f>IF(_epmOfflineCondition_,"2021.TOTAL",_xll.EPMSelectMember("FINANCE","[TIME].[H1].[2021.TOTAL]","LEVEL=YEAR;YEAR&lt;&gt;NONE","",FALSE))</f>
        <v>2021.TOTAL</v>
      </c>
      <c r="H7" s="20" t="s">
        <v>628</v>
      </c>
      <c r="I7" s="621"/>
      <c r="J7" s="24" t="str">
        <f>IF(_epmOfflineCondition_,"2020.TOTAL",_xll.EPMSelectMember("FINANCE","[TIME].[H1].[2020.TOTAL]","LEVEL=YEAR;YEAR&lt;&gt;NONE","",FALSE))</f>
        <v>2020.TOTAL</v>
      </c>
      <c r="K7" s="20" t="s">
        <v>628</v>
      </c>
      <c r="L7" s="23"/>
      <c r="M7" s="9"/>
      <c r="N7" s="25" t="s">
        <v>633</v>
      </c>
      <c r="O7" s="26"/>
      <c r="P7" s="26"/>
      <c r="Q7" s="26"/>
      <c r="R7" s="23"/>
      <c r="S7" s="9"/>
      <c r="T7" s="9"/>
      <c r="U7" s="9"/>
      <c r="V7" s="9"/>
      <c r="W7" s="9"/>
    </row>
    <row r="8" spans="1:23" ht="15" customHeight="1" x14ac:dyDescent="0.35">
      <c r="A8" s="9"/>
      <c r="B8" s="19"/>
      <c r="C8" s="27" t="s">
        <v>792</v>
      </c>
      <c r="D8" s="24" t="s">
        <v>824</v>
      </c>
      <c r="E8" s="20" t="s">
        <v>793</v>
      </c>
      <c r="F8" s="28"/>
      <c r="G8" s="29"/>
      <c r="H8" s="20"/>
      <c r="I8" s="28"/>
      <c r="J8" s="29"/>
      <c r="K8" s="20"/>
      <c r="L8" s="23"/>
      <c r="M8" s="9"/>
      <c r="N8" s="25" t="s">
        <v>635</v>
      </c>
      <c r="O8" s="26"/>
      <c r="P8" s="26"/>
      <c r="Q8" s="26"/>
      <c r="R8" s="23"/>
      <c r="S8" s="9"/>
      <c r="T8" s="9"/>
      <c r="U8" s="9"/>
      <c r="V8" s="9"/>
      <c r="W8" s="9"/>
    </row>
    <row r="9" spans="1:23" x14ac:dyDescent="0.35">
      <c r="A9" s="9"/>
      <c r="B9" s="19"/>
      <c r="C9" s="30"/>
      <c r="D9" s="20"/>
      <c r="E9" s="20"/>
      <c r="F9" s="20"/>
      <c r="G9" s="20"/>
      <c r="H9" s="20"/>
      <c r="I9" s="20"/>
      <c r="J9" s="20"/>
      <c r="K9" s="20"/>
      <c r="L9" s="23"/>
      <c r="M9" s="9"/>
      <c r="N9" s="25" t="s">
        <v>634</v>
      </c>
      <c r="O9" s="26"/>
      <c r="P9" s="26"/>
      <c r="Q9" s="26"/>
      <c r="R9" s="23"/>
      <c r="S9" s="9"/>
      <c r="T9" s="9"/>
      <c r="U9" s="9"/>
      <c r="V9" s="9"/>
      <c r="W9" s="9"/>
    </row>
    <row r="10" spans="1:23" x14ac:dyDescent="0.35">
      <c r="A10" s="9"/>
      <c r="B10" s="19"/>
      <c r="C10" s="31" t="s">
        <v>780</v>
      </c>
      <c r="D10" s="24" t="str">
        <f>IF(_epmOfflineCondition_,"LC",_xll.EPMContextMember("FINANCE","RPTCURRENCY"))</f>
        <v>LC</v>
      </c>
      <c r="E10" s="20" t="s">
        <v>781</v>
      </c>
      <c r="F10" s="20"/>
      <c r="G10" s="20"/>
      <c r="H10" s="20"/>
      <c r="I10" s="20"/>
      <c r="J10" s="20"/>
      <c r="K10" s="20"/>
      <c r="L10" s="23"/>
      <c r="M10" s="9"/>
      <c r="N10" s="25"/>
      <c r="O10" s="26"/>
      <c r="P10" s="26"/>
      <c r="Q10" s="26"/>
      <c r="R10" s="23"/>
      <c r="S10" s="9"/>
      <c r="T10" s="9"/>
      <c r="U10" s="9"/>
      <c r="V10" s="9"/>
      <c r="W10" s="9"/>
    </row>
    <row r="11" spans="1:23" ht="15" thickBot="1" x14ac:dyDescent="0.4">
      <c r="A11" s="9"/>
      <c r="B11" s="32"/>
      <c r="C11" s="33"/>
      <c r="D11" s="34"/>
      <c r="E11" s="35"/>
      <c r="F11" s="35"/>
      <c r="G11" s="35"/>
      <c r="H11" s="35"/>
      <c r="I11" s="35"/>
      <c r="J11" s="35"/>
      <c r="K11" s="35"/>
      <c r="L11" s="36"/>
      <c r="M11" s="9"/>
      <c r="N11" s="32"/>
      <c r="O11" s="37"/>
      <c r="P11" s="37"/>
      <c r="Q11" s="37"/>
      <c r="R11" s="38"/>
      <c r="S11" s="9"/>
      <c r="T11" s="9"/>
      <c r="U11" s="9"/>
      <c r="V11" s="9"/>
      <c r="W11" s="9"/>
    </row>
    <row r="12" spans="1:23" ht="15" thickBot="1" x14ac:dyDescent="0.4">
      <c r="A12" s="9"/>
      <c r="B12" s="20"/>
      <c r="C12" s="21"/>
      <c r="D12" s="20"/>
      <c r="E12" s="39"/>
      <c r="F12" s="39"/>
      <c r="G12" s="39"/>
      <c r="H12" s="39"/>
      <c r="I12" s="39"/>
      <c r="J12" s="39"/>
      <c r="K12" s="39"/>
      <c r="L12" s="39"/>
      <c r="M12" s="9"/>
      <c r="N12" s="20"/>
      <c r="O12" s="20"/>
      <c r="P12" s="20"/>
      <c r="Q12" s="20"/>
      <c r="R12" s="20"/>
      <c r="S12" s="9"/>
      <c r="T12" s="9"/>
      <c r="U12" s="9"/>
      <c r="V12" s="9"/>
      <c r="W12" s="9"/>
    </row>
    <row r="13" spans="1:23" ht="40.5" customHeight="1" thickBot="1" x14ac:dyDescent="0.4">
      <c r="A13" s="9"/>
      <c r="B13" s="9"/>
      <c r="C13" s="40" t="str">
        <f>IF(_epmOfflineCondition_,"Expand All",_xll.EPMExecuteAPI("ExpandActiveWorkBook","Expand All"))</f>
        <v>Expand All</v>
      </c>
      <c r="D13" s="41" t="s">
        <v>784</v>
      </c>
      <c r="E13" s="9"/>
      <c r="F13" s="9"/>
      <c r="G13" s="9"/>
      <c r="H13" s="9"/>
      <c r="I13" s="9"/>
      <c r="J13" s="9"/>
      <c r="K13" s="9"/>
      <c r="L13" s="9"/>
      <c r="M13" s="9"/>
      <c r="N13" s="9"/>
      <c r="O13" s="9"/>
      <c r="P13" s="9"/>
      <c r="Q13" s="9"/>
      <c r="R13" s="9"/>
      <c r="S13" s="9"/>
      <c r="T13" s="9"/>
      <c r="U13" s="9"/>
      <c r="V13" s="9"/>
      <c r="W13" s="9"/>
    </row>
    <row r="14" spans="1:23" x14ac:dyDescent="0.35">
      <c r="A14" s="9"/>
      <c r="B14" s="9"/>
      <c r="C14" s="9"/>
      <c r="D14" s="9"/>
      <c r="E14" s="9"/>
      <c r="F14" s="9"/>
      <c r="G14" s="9"/>
      <c r="H14" s="9"/>
      <c r="I14" s="9"/>
      <c r="J14" s="9"/>
      <c r="K14" s="9"/>
      <c r="L14" s="9"/>
      <c r="M14" s="9"/>
      <c r="N14" s="9"/>
      <c r="O14" s="9"/>
      <c r="P14" s="9"/>
      <c r="Q14" s="9"/>
      <c r="R14" s="9"/>
      <c r="S14" s="9"/>
      <c r="T14" s="9"/>
      <c r="U14" s="9"/>
      <c r="V14" s="9"/>
      <c r="W14" s="9"/>
    </row>
    <row r="15" spans="1:23" x14ac:dyDescent="0.35">
      <c r="A15" s="9"/>
      <c r="B15" s="9"/>
      <c r="C15" s="9"/>
      <c r="D15" s="9"/>
      <c r="E15" s="9"/>
      <c r="F15" s="9"/>
      <c r="G15" s="9"/>
      <c r="H15" s="9"/>
      <c r="I15" s="9"/>
      <c r="J15" s="9"/>
      <c r="K15" s="9"/>
      <c r="L15" s="9"/>
      <c r="M15" s="9"/>
      <c r="N15" s="9"/>
      <c r="O15" s="9"/>
      <c r="P15" s="9"/>
      <c r="Q15" s="9"/>
      <c r="R15" s="9"/>
      <c r="S15" s="9"/>
      <c r="T15" s="9"/>
      <c r="U15" s="9"/>
      <c r="V15" s="9"/>
      <c r="W15" s="9"/>
    </row>
    <row r="16" spans="1:23" x14ac:dyDescent="0.35">
      <c r="A16" s="9"/>
      <c r="B16" s="9"/>
      <c r="C16" s="9"/>
      <c r="D16" s="9"/>
      <c r="E16" s="9"/>
      <c r="F16" s="9"/>
      <c r="G16" s="9"/>
      <c r="H16" s="9"/>
      <c r="I16" s="9"/>
      <c r="J16" s="9"/>
      <c r="K16" s="9"/>
      <c r="L16" s="9"/>
      <c r="M16" s="9"/>
      <c r="N16" s="9"/>
      <c r="O16" s="9"/>
      <c r="P16" s="9"/>
      <c r="Q16" s="9"/>
      <c r="R16" s="9"/>
      <c r="S16" s="9"/>
      <c r="T16" s="9"/>
      <c r="U16" s="9"/>
      <c r="V16" s="9"/>
      <c r="W16" s="9"/>
    </row>
    <row r="17" spans="1:23" x14ac:dyDescent="0.35">
      <c r="A17" s="9"/>
      <c r="B17" s="9"/>
      <c r="C17" s="9"/>
      <c r="D17" s="9"/>
      <c r="E17" s="9"/>
      <c r="F17" s="9"/>
      <c r="G17" s="9"/>
      <c r="H17" s="9"/>
      <c r="I17" s="9"/>
      <c r="J17" s="9"/>
      <c r="K17" s="9"/>
      <c r="L17" s="9"/>
      <c r="M17" s="9"/>
      <c r="N17" s="9"/>
      <c r="O17" s="9"/>
      <c r="P17" s="9"/>
      <c r="Q17" s="9"/>
      <c r="R17" s="9"/>
      <c r="S17" s="9"/>
      <c r="T17" s="9"/>
      <c r="U17" s="9"/>
      <c r="V17" s="9"/>
      <c r="W17" s="9"/>
    </row>
    <row r="18" spans="1:23" x14ac:dyDescent="0.35">
      <c r="A18" s="9"/>
      <c r="B18" s="9"/>
      <c r="C18" s="9"/>
      <c r="D18" s="9"/>
      <c r="E18" s="9"/>
      <c r="F18" s="9"/>
      <c r="G18" s="9"/>
      <c r="H18" s="9"/>
      <c r="I18" s="9"/>
      <c r="J18" s="9"/>
      <c r="K18" s="9"/>
      <c r="L18" s="9"/>
      <c r="M18" s="9"/>
      <c r="N18" s="9"/>
      <c r="O18" s="9"/>
      <c r="P18" s="9"/>
      <c r="Q18" s="9"/>
      <c r="R18" s="9"/>
      <c r="S18" s="9"/>
      <c r="T18" s="9"/>
      <c r="U18" s="9"/>
      <c r="V18" s="9"/>
      <c r="W18" s="9"/>
    </row>
    <row r="19" spans="1:23" x14ac:dyDescent="0.35">
      <c r="A19" s="9"/>
      <c r="B19" s="9"/>
      <c r="C19" s="9"/>
      <c r="D19" s="9"/>
      <c r="E19" s="9"/>
      <c r="F19" s="9"/>
      <c r="G19" s="9"/>
      <c r="H19" s="9"/>
      <c r="I19" s="9"/>
      <c r="J19" s="9"/>
      <c r="K19" s="9"/>
      <c r="L19" s="9"/>
      <c r="M19" s="9"/>
      <c r="N19" s="9"/>
      <c r="O19" s="9"/>
      <c r="P19" s="9"/>
      <c r="Q19" s="9"/>
      <c r="R19" s="9"/>
      <c r="S19" s="9"/>
      <c r="T19" s="9"/>
      <c r="U19" s="9"/>
      <c r="V19" s="9"/>
      <c r="W19" s="9"/>
    </row>
    <row r="20" spans="1:23" x14ac:dyDescent="0.35">
      <c r="A20" s="9"/>
      <c r="B20" s="9"/>
      <c r="C20" s="9"/>
      <c r="D20" s="9"/>
      <c r="E20" s="9"/>
      <c r="F20" s="9"/>
      <c r="G20" s="9"/>
      <c r="H20" s="9"/>
      <c r="I20" s="9"/>
      <c r="J20" s="9"/>
      <c r="K20" s="9"/>
      <c r="L20" s="9"/>
      <c r="M20" s="9"/>
      <c r="N20" s="9"/>
      <c r="O20" s="9"/>
      <c r="P20" s="9"/>
      <c r="Q20" s="9"/>
      <c r="R20" s="9"/>
      <c r="S20" s="9"/>
      <c r="T20" s="9"/>
      <c r="U20" s="9"/>
      <c r="V20" s="9"/>
      <c r="W20" s="9"/>
    </row>
    <row r="21" spans="1:23" x14ac:dyDescent="0.35">
      <c r="A21" s="9"/>
      <c r="B21" s="9"/>
      <c r="C21" s="9"/>
      <c r="D21" s="9"/>
      <c r="E21" s="9"/>
      <c r="F21" s="9"/>
      <c r="G21" s="9"/>
      <c r="H21" s="9"/>
      <c r="I21" s="9"/>
      <c r="J21" s="9"/>
      <c r="K21" s="9"/>
      <c r="L21" s="9"/>
      <c r="M21" s="9"/>
      <c r="N21" s="9"/>
      <c r="O21" s="9"/>
      <c r="P21" s="9"/>
      <c r="Q21" s="9"/>
      <c r="R21" s="9"/>
      <c r="S21" s="9"/>
      <c r="T21" s="9"/>
      <c r="U21" s="9"/>
      <c r="V21" s="9"/>
      <c r="W21" s="9"/>
    </row>
    <row r="22" spans="1:23" x14ac:dyDescent="0.35">
      <c r="A22" s="9"/>
      <c r="B22" s="9"/>
      <c r="C22" s="9"/>
      <c r="D22" s="9"/>
      <c r="E22" s="9"/>
      <c r="F22" s="9"/>
      <c r="G22" s="9"/>
      <c r="H22" s="9"/>
      <c r="I22" s="9"/>
      <c r="J22" s="9"/>
      <c r="K22" s="9"/>
      <c r="L22" s="9"/>
      <c r="M22" s="9"/>
      <c r="N22" s="9"/>
      <c r="O22" s="9"/>
      <c r="P22" s="9"/>
      <c r="Q22" s="9"/>
      <c r="R22" s="9"/>
      <c r="S22" s="9"/>
      <c r="T22" s="9"/>
      <c r="U22" s="9"/>
      <c r="V22" s="9"/>
      <c r="W22" s="9"/>
    </row>
    <row r="23" spans="1:23" x14ac:dyDescent="0.35">
      <c r="A23" s="9"/>
      <c r="B23" s="9"/>
      <c r="C23" s="9"/>
      <c r="D23" s="9"/>
      <c r="E23" s="9"/>
      <c r="F23" s="9"/>
      <c r="G23" s="9"/>
      <c r="H23" s="9"/>
      <c r="I23" s="9"/>
      <c r="J23" s="9"/>
      <c r="K23" s="9"/>
      <c r="L23" s="9"/>
      <c r="M23" s="9"/>
      <c r="N23" s="9"/>
      <c r="O23" s="9"/>
      <c r="P23" s="9"/>
      <c r="Q23" s="9"/>
      <c r="R23" s="9"/>
      <c r="S23" s="9"/>
      <c r="T23" s="9"/>
      <c r="U23" s="9"/>
      <c r="V23" s="9"/>
      <c r="W23" s="9"/>
    </row>
    <row r="24" spans="1:23" x14ac:dyDescent="0.35">
      <c r="A24" s="9"/>
      <c r="B24" s="9"/>
      <c r="C24" s="9"/>
      <c r="D24" s="9"/>
      <c r="E24" s="42" t="str">
        <f>C6</f>
        <v>Monthly Data Columns</v>
      </c>
      <c r="F24" s="43"/>
      <c r="G24" s="44"/>
      <c r="H24" s="9"/>
      <c r="I24" s="45" t="str">
        <f>F6</f>
        <v>Comparison 1 Column</v>
      </c>
      <c r="J24" s="9"/>
      <c r="K24" s="45" t="str">
        <f>I6</f>
        <v>Comparison 2 Column</v>
      </c>
      <c r="L24" s="9"/>
      <c r="M24" s="9"/>
      <c r="N24" s="9"/>
      <c r="O24" s="9"/>
      <c r="P24" s="9"/>
      <c r="Q24" s="9"/>
      <c r="R24" s="9"/>
      <c r="S24" s="9"/>
      <c r="T24" s="9"/>
      <c r="U24" s="9"/>
      <c r="V24" s="9"/>
      <c r="W24" s="9"/>
    </row>
    <row r="25" spans="1:23" ht="15" thickBot="1" x14ac:dyDescent="0.4">
      <c r="A25" s="9"/>
      <c r="B25" s="9"/>
      <c r="C25" s="9"/>
      <c r="D25" s="9"/>
      <c r="E25" s="9"/>
      <c r="F25" s="9"/>
      <c r="G25" s="9"/>
      <c r="H25" s="9"/>
      <c r="I25" s="9"/>
      <c r="J25" s="9"/>
      <c r="K25" s="9"/>
      <c r="L25" s="9"/>
      <c r="M25" s="9"/>
      <c r="N25" s="9"/>
      <c r="O25" s="9"/>
      <c r="P25" s="9"/>
      <c r="Q25" s="9"/>
      <c r="R25" s="9"/>
      <c r="S25" s="9"/>
      <c r="T25" s="9"/>
      <c r="U25" s="9"/>
      <c r="V25" s="9"/>
      <c r="W25" s="9"/>
    </row>
    <row r="26" spans="1:23" x14ac:dyDescent="0.35">
      <c r="A26" s="46"/>
      <c r="B26" s="46"/>
      <c r="C26" s="46"/>
      <c r="D26" s="46"/>
      <c r="E26" s="46"/>
      <c r="F26" s="46"/>
      <c r="G26" s="46"/>
      <c r="H26" s="46"/>
      <c r="I26" s="46"/>
      <c r="J26" s="46"/>
      <c r="K26" s="46"/>
      <c r="L26" s="46"/>
      <c r="M26" s="46"/>
      <c r="N26" s="46"/>
      <c r="O26" s="46"/>
      <c r="P26" s="46"/>
      <c r="Q26" s="46"/>
      <c r="R26" s="46"/>
      <c r="S26" s="46"/>
      <c r="T26" s="46"/>
      <c r="U26" s="46"/>
      <c r="V26" s="46"/>
      <c r="W26" s="46"/>
    </row>
    <row r="27" spans="1:23" ht="15.5" x14ac:dyDescent="0.35">
      <c r="A27" s="9"/>
      <c r="B27" s="47" t="s">
        <v>669</v>
      </c>
      <c r="C27" s="9"/>
      <c r="D27" s="9"/>
      <c r="E27" s="9"/>
      <c r="F27" s="9"/>
      <c r="G27" s="9"/>
      <c r="H27" s="9"/>
      <c r="I27" s="47" t="s">
        <v>670</v>
      </c>
      <c r="J27" s="9"/>
      <c r="K27" s="9"/>
      <c r="L27" s="9"/>
      <c r="M27" s="9"/>
      <c r="N27" s="9"/>
      <c r="O27" s="9"/>
      <c r="P27" s="9"/>
      <c r="Q27" s="9"/>
      <c r="R27" s="9"/>
      <c r="S27" s="9"/>
      <c r="T27" s="9"/>
      <c r="U27" s="9"/>
      <c r="V27" s="9"/>
      <c r="W27" s="9"/>
    </row>
    <row r="28" spans="1:23" ht="15.5" x14ac:dyDescent="0.35">
      <c r="A28" s="9"/>
      <c r="B28" s="48" t="s">
        <v>668</v>
      </c>
      <c r="C28" s="9"/>
      <c r="D28" s="9"/>
      <c r="E28" s="9"/>
      <c r="F28" s="9"/>
      <c r="G28" s="9"/>
      <c r="H28" s="9"/>
      <c r="I28" s="49" t="str">
        <f t="shared" ref="I28:I50" si="0">S28&amp;" - "&amp;T28</f>
        <v>ACTUAL_CON - Actual</v>
      </c>
      <c r="J28" s="50"/>
      <c r="K28" s="49" t="s">
        <v>700</v>
      </c>
      <c r="L28" s="51"/>
      <c r="M28" s="51"/>
      <c r="N28" s="51"/>
      <c r="O28" s="51"/>
      <c r="P28" s="50"/>
      <c r="Q28" s="9"/>
      <c r="R28" s="9"/>
      <c r="S28" s="9" t="s">
        <v>682</v>
      </c>
      <c r="T28" s="9" t="str">
        <f>IF(_epmOfflineCondition_,"Actual",_xll.EVDES(S28))</f>
        <v>Actual</v>
      </c>
      <c r="U28" s="9"/>
      <c r="V28" s="9"/>
      <c r="W28" s="9"/>
    </row>
    <row r="29" spans="1:23" ht="15.5" x14ac:dyDescent="0.35">
      <c r="A29" s="9"/>
      <c r="B29" s="48" t="s">
        <v>776</v>
      </c>
      <c r="C29" s="9"/>
      <c r="D29" s="9"/>
      <c r="E29" s="9"/>
      <c r="F29" s="9"/>
      <c r="G29" s="9"/>
      <c r="H29" s="9"/>
      <c r="I29" s="49" t="str">
        <f t="shared" si="0"/>
        <v>ACTUAL - Actual</v>
      </c>
      <c r="J29" s="50"/>
      <c r="K29" s="49" t="s">
        <v>701</v>
      </c>
      <c r="L29" s="51"/>
      <c r="M29" s="51"/>
      <c r="N29" s="51"/>
      <c r="O29" s="51"/>
      <c r="P29" s="50"/>
      <c r="Q29" s="9"/>
      <c r="R29" s="9"/>
      <c r="S29" s="9" t="s">
        <v>683</v>
      </c>
      <c r="T29" s="9" t="str">
        <f>IF(_epmOfflineCondition_,"Actual",_xll.EVDES(S29))</f>
        <v>Actual</v>
      </c>
      <c r="U29" s="9"/>
      <c r="V29" s="9"/>
      <c r="W29" s="9"/>
    </row>
    <row r="30" spans="1:23" ht="15.5" x14ac:dyDescent="0.35">
      <c r="A30" s="9"/>
      <c r="B30" s="48" t="s">
        <v>777</v>
      </c>
      <c r="C30" s="9"/>
      <c r="D30" s="9"/>
      <c r="E30" s="9"/>
      <c r="F30" s="9"/>
      <c r="G30" s="9"/>
      <c r="H30" s="9"/>
      <c r="I30" s="49" t="str">
        <f t="shared" si="0"/>
        <v>HISTORY - GL History- Pre_Kimpton</v>
      </c>
      <c r="J30" s="50"/>
      <c r="K30" s="49" t="s">
        <v>702</v>
      </c>
      <c r="L30" s="51"/>
      <c r="M30" s="51"/>
      <c r="N30" s="51"/>
      <c r="O30" s="51"/>
      <c r="P30" s="50"/>
      <c r="Q30" s="9"/>
      <c r="R30" s="9"/>
      <c r="S30" s="9" t="s">
        <v>684</v>
      </c>
      <c r="T30" s="9" t="str">
        <f>IF(_epmOfflineCondition_,"GL History- Pre_Kimpton",_xll.EVDES(S30))</f>
        <v>GL History- Pre_Kimpton</v>
      </c>
      <c r="U30" s="9"/>
      <c r="V30" s="9"/>
      <c r="W30" s="9"/>
    </row>
    <row r="31" spans="1:23" ht="15.5" x14ac:dyDescent="0.35">
      <c r="A31" s="9"/>
      <c r="B31" s="48"/>
      <c r="C31" s="48" t="s">
        <v>720</v>
      </c>
      <c r="D31" s="9"/>
      <c r="E31" s="9"/>
      <c r="F31" s="9"/>
      <c r="G31" s="9"/>
      <c r="H31" s="9"/>
      <c r="I31" s="49" t="str">
        <f t="shared" si="0"/>
        <v>BUDGET - Budget</v>
      </c>
      <c r="J31" s="50"/>
      <c r="K31" s="49" t="s">
        <v>703</v>
      </c>
      <c r="L31" s="51"/>
      <c r="M31" s="51"/>
      <c r="N31" s="51"/>
      <c r="O31" s="51"/>
      <c r="P31" s="50"/>
      <c r="Q31" s="9"/>
      <c r="R31" s="9"/>
      <c r="S31" s="9" t="s">
        <v>685</v>
      </c>
      <c r="T31" s="9" t="str">
        <f>IF(_epmOfflineCondition_,"Budget",_xll.EVDES(S31))</f>
        <v>Budget</v>
      </c>
      <c r="U31" s="9"/>
      <c r="V31" s="9"/>
      <c r="W31" s="9"/>
    </row>
    <row r="32" spans="1:23" ht="15.5" x14ac:dyDescent="0.35">
      <c r="A32" s="9"/>
      <c r="B32" s="48"/>
      <c r="C32" s="48" t="s">
        <v>773</v>
      </c>
      <c r="D32" s="9"/>
      <c r="E32" s="9"/>
      <c r="F32" s="9"/>
      <c r="G32" s="9"/>
      <c r="H32" s="9"/>
      <c r="I32" s="49" t="str">
        <f t="shared" si="0"/>
        <v>CURRENT - Forecast</v>
      </c>
      <c r="J32" s="50"/>
      <c r="K32" s="49" t="s">
        <v>704</v>
      </c>
      <c r="L32" s="51"/>
      <c r="M32" s="51"/>
      <c r="N32" s="51"/>
      <c r="O32" s="51"/>
      <c r="P32" s="50"/>
      <c r="Q32" s="9"/>
      <c r="R32" s="9"/>
      <c r="S32" s="9" t="s">
        <v>255</v>
      </c>
      <c r="T32" s="9" t="str">
        <f>IF(_epmOfflineCondition_,"Forecast",_xll.EVDES(S32))</f>
        <v>Forecast</v>
      </c>
      <c r="U32" s="9"/>
      <c r="V32" s="9"/>
      <c r="W32" s="9"/>
    </row>
    <row r="33" spans="1:23" ht="15.5" x14ac:dyDescent="0.35">
      <c r="A33" s="9"/>
      <c r="B33" s="48"/>
      <c r="C33" s="48" t="s">
        <v>721</v>
      </c>
      <c r="D33" s="9"/>
      <c r="E33" s="9"/>
      <c r="F33" s="9"/>
      <c r="G33" s="9"/>
      <c r="H33" s="9"/>
      <c r="I33" s="49" t="str">
        <f t="shared" si="0"/>
        <v>BUD_PROOF - Budget Proof</v>
      </c>
      <c r="J33" s="50"/>
      <c r="K33" s="49" t="s">
        <v>705</v>
      </c>
      <c r="L33" s="51"/>
      <c r="M33" s="51"/>
      <c r="N33" s="51"/>
      <c r="O33" s="51"/>
      <c r="P33" s="50"/>
      <c r="Q33" s="9"/>
      <c r="R33" s="9"/>
      <c r="S33" s="9" t="s">
        <v>686</v>
      </c>
      <c r="T33" s="9" t="str">
        <f>IF(_epmOfflineCondition_,"Budget Proof",_xll.EVDES(S33))</f>
        <v>Budget Proof</v>
      </c>
      <c r="U33" s="9"/>
      <c r="V33" s="9"/>
      <c r="W33" s="9"/>
    </row>
    <row r="34" spans="1:23" ht="15.5" x14ac:dyDescent="0.35">
      <c r="A34" s="9"/>
      <c r="B34" s="48"/>
      <c r="C34" s="52" t="s">
        <v>794</v>
      </c>
      <c r="D34" s="9"/>
      <c r="E34" s="9"/>
      <c r="F34" s="9"/>
      <c r="G34" s="9"/>
      <c r="H34" s="9"/>
      <c r="I34" s="49" t="str">
        <f t="shared" si="0"/>
        <v>JANFORECAST - JANUARY FORECAST</v>
      </c>
      <c r="J34" s="50"/>
      <c r="K34" s="49" t="s">
        <v>724</v>
      </c>
      <c r="L34" s="51"/>
      <c r="M34" s="51"/>
      <c r="N34" s="51"/>
      <c r="O34" s="51"/>
      <c r="P34" s="50"/>
      <c r="Q34" s="9"/>
      <c r="R34" s="9"/>
      <c r="S34" s="9" t="s">
        <v>687</v>
      </c>
      <c r="T34" s="9" t="str">
        <f>IF(_epmOfflineCondition_,"JANUARY FORECAST",_xll.EVDES(S34))</f>
        <v>JANUARY FORECAST</v>
      </c>
      <c r="U34" s="9"/>
      <c r="V34" s="9"/>
      <c r="W34" s="9"/>
    </row>
    <row r="35" spans="1:23" ht="15.5" x14ac:dyDescent="0.35">
      <c r="A35" s="9"/>
      <c r="B35" s="48"/>
      <c r="C35" s="48" t="s">
        <v>722</v>
      </c>
      <c r="D35" s="9"/>
      <c r="E35" s="9"/>
      <c r="F35" s="9"/>
      <c r="G35" s="9"/>
      <c r="H35" s="9"/>
      <c r="I35" s="49" t="str">
        <f t="shared" si="0"/>
        <v>FEBFORECAST - FEBRUARY FORECAST</v>
      </c>
      <c r="J35" s="50"/>
      <c r="K35" s="49" t="s">
        <v>714</v>
      </c>
      <c r="L35" s="51"/>
      <c r="M35" s="51"/>
      <c r="N35" s="51"/>
      <c r="O35" s="51"/>
      <c r="P35" s="50"/>
      <c r="Q35" s="9"/>
      <c r="R35" s="9"/>
      <c r="S35" s="9" t="s">
        <v>688</v>
      </c>
      <c r="T35" s="9" t="str">
        <f>IF(_epmOfflineCondition_,"FEBRUARY FORECAST",_xll.EVDES(S35))</f>
        <v>FEBRUARY FORECAST</v>
      </c>
      <c r="U35" s="9"/>
      <c r="V35" s="9"/>
      <c r="W35" s="9"/>
    </row>
    <row r="36" spans="1:23" ht="15.5" x14ac:dyDescent="0.35">
      <c r="A36" s="9"/>
      <c r="B36" s="48" t="s">
        <v>778</v>
      </c>
      <c r="C36" s="48"/>
      <c r="D36" s="9"/>
      <c r="E36" s="9"/>
      <c r="F36" s="9"/>
      <c r="G36" s="9"/>
      <c r="H36" s="9"/>
      <c r="I36" s="49" t="str">
        <f t="shared" si="0"/>
        <v>MARFORECAST - MARCH FORECAST</v>
      </c>
      <c r="J36" s="50"/>
      <c r="K36" s="49" t="s">
        <v>706</v>
      </c>
      <c r="L36" s="51"/>
      <c r="M36" s="51"/>
      <c r="N36" s="51"/>
      <c r="O36" s="51"/>
      <c r="P36" s="50"/>
      <c r="Q36" s="9"/>
      <c r="R36" s="9"/>
      <c r="S36" s="9" t="s">
        <v>689</v>
      </c>
      <c r="T36" s="9" t="str">
        <f>IF(_epmOfflineCondition_,"MARCH FORECAST",_xll.EVDES(S36))</f>
        <v>MARCH FORECAST</v>
      </c>
      <c r="U36" s="9"/>
      <c r="V36" s="9"/>
      <c r="W36" s="9"/>
    </row>
    <row r="37" spans="1:23" ht="15.5" x14ac:dyDescent="0.35">
      <c r="A37" s="9"/>
      <c r="B37" s="48"/>
      <c r="C37" s="48" t="s">
        <v>785</v>
      </c>
      <c r="D37" s="9"/>
      <c r="E37" s="9"/>
      <c r="F37" s="9"/>
      <c r="G37" s="9"/>
      <c r="H37" s="9"/>
      <c r="I37" s="49" t="str">
        <f t="shared" si="0"/>
        <v>APRFORECAST - APRIL FORECAST</v>
      </c>
      <c r="J37" s="50"/>
      <c r="K37" s="49" t="s">
        <v>707</v>
      </c>
      <c r="L37" s="51"/>
      <c r="M37" s="51"/>
      <c r="N37" s="51"/>
      <c r="O37" s="51"/>
      <c r="P37" s="50"/>
      <c r="Q37" s="9"/>
      <c r="R37" s="9"/>
      <c r="S37" s="9" t="s">
        <v>690</v>
      </c>
      <c r="T37" s="9" t="str">
        <f>IF(_epmOfflineCondition_,"APRIL FORECAST",_xll.EVDES(S37))</f>
        <v>APRIL FORECAST</v>
      </c>
      <c r="U37" s="9"/>
      <c r="V37" s="9"/>
      <c r="W37" s="9"/>
    </row>
    <row r="38" spans="1:23" ht="15.5" x14ac:dyDescent="0.35">
      <c r="A38" s="9"/>
      <c r="B38" s="48"/>
      <c r="C38" s="48" t="s">
        <v>723</v>
      </c>
      <c r="D38" s="9"/>
      <c r="E38" s="9"/>
      <c r="F38" s="9"/>
      <c r="G38" s="9"/>
      <c r="H38" s="9"/>
      <c r="I38" s="49" t="str">
        <f t="shared" si="0"/>
        <v>MAYFORECAST - MAY FORECAST</v>
      </c>
      <c r="J38" s="50"/>
      <c r="K38" s="49" t="s">
        <v>708</v>
      </c>
      <c r="L38" s="51"/>
      <c r="M38" s="51"/>
      <c r="N38" s="51"/>
      <c r="O38" s="51"/>
      <c r="P38" s="50"/>
      <c r="Q38" s="9"/>
      <c r="R38" s="9"/>
      <c r="S38" s="9" t="s">
        <v>691</v>
      </c>
      <c r="T38" s="9" t="str">
        <f>IF(_epmOfflineCondition_,"MAY FORECAST",_xll.EVDES(S38))</f>
        <v>MAY FORECAST</v>
      </c>
      <c r="U38" s="9"/>
      <c r="V38" s="9"/>
      <c r="W38" s="9"/>
    </row>
    <row r="39" spans="1:23" ht="15.5" x14ac:dyDescent="0.35">
      <c r="A39" s="9"/>
      <c r="B39" s="48" t="s">
        <v>779</v>
      </c>
      <c r="C39" s="9"/>
      <c r="D39" s="9"/>
      <c r="E39" s="9"/>
      <c r="F39" s="9"/>
      <c r="G39" s="9"/>
      <c r="H39" s="9"/>
      <c r="I39" s="49" t="str">
        <f t="shared" si="0"/>
        <v>JUNFORECAST - JUNE FORECAST</v>
      </c>
      <c r="J39" s="50"/>
      <c r="K39" s="49" t="s">
        <v>709</v>
      </c>
      <c r="L39" s="51"/>
      <c r="M39" s="51"/>
      <c r="N39" s="51"/>
      <c r="O39" s="51"/>
      <c r="P39" s="50"/>
      <c r="Q39" s="9"/>
      <c r="R39" s="9"/>
      <c r="S39" s="9" t="s">
        <v>692</v>
      </c>
      <c r="T39" s="9" t="str">
        <f>IF(_epmOfflineCondition_,"JUNE FORECAST",_xll.EVDES(S39))</f>
        <v>JUNE FORECAST</v>
      </c>
      <c r="U39" s="9"/>
      <c r="V39" s="9"/>
      <c r="W39" s="9"/>
    </row>
    <row r="40" spans="1:23" ht="15.5" x14ac:dyDescent="0.35">
      <c r="A40" s="9"/>
      <c r="B40" s="48" t="s">
        <v>783</v>
      </c>
      <c r="C40" s="48"/>
      <c r="D40" s="9"/>
      <c r="E40" s="9"/>
      <c r="F40" s="9"/>
      <c r="G40" s="9"/>
      <c r="H40" s="9"/>
      <c r="I40" s="49" t="str">
        <f t="shared" si="0"/>
        <v>JULFORECAST - JULY FORECAST</v>
      </c>
      <c r="J40" s="50"/>
      <c r="K40" s="49" t="s">
        <v>710</v>
      </c>
      <c r="L40" s="51"/>
      <c r="M40" s="51"/>
      <c r="N40" s="51"/>
      <c r="O40" s="51"/>
      <c r="P40" s="50"/>
      <c r="Q40" s="9"/>
      <c r="R40" s="9"/>
      <c r="S40" s="9" t="s">
        <v>693</v>
      </c>
      <c r="T40" s="9" t="str">
        <f>IF(_epmOfflineCondition_,"JULY FORECAST",_xll.EVDES(S40))</f>
        <v>JULY FORECAST</v>
      </c>
      <c r="U40" s="9"/>
      <c r="V40" s="9"/>
      <c r="W40" s="9"/>
    </row>
    <row r="41" spans="1:23" ht="15.5" x14ac:dyDescent="0.35">
      <c r="A41" s="9"/>
      <c r="B41" s="9"/>
      <c r="C41" s="9"/>
      <c r="D41" s="9"/>
      <c r="E41" s="9"/>
      <c r="F41" s="9"/>
      <c r="G41" s="9"/>
      <c r="H41" s="9"/>
      <c r="I41" s="49" t="str">
        <f t="shared" si="0"/>
        <v>AUGFORECAST - AUGUST FORECAST</v>
      </c>
      <c r="J41" s="50"/>
      <c r="K41" s="49" t="s">
        <v>711</v>
      </c>
      <c r="L41" s="51"/>
      <c r="M41" s="51"/>
      <c r="N41" s="51"/>
      <c r="O41" s="51"/>
      <c r="P41" s="50"/>
      <c r="Q41" s="9"/>
      <c r="R41" s="9"/>
      <c r="S41" s="9" t="s">
        <v>694</v>
      </c>
      <c r="T41" s="9" t="str">
        <f>IF(_epmOfflineCondition_,"AUGUST FORECAST",_xll.EVDES(S41))</f>
        <v>AUGUST FORECAST</v>
      </c>
      <c r="U41" s="9"/>
      <c r="V41" s="9"/>
      <c r="W41" s="9"/>
    </row>
    <row r="42" spans="1:23" ht="15.5" x14ac:dyDescent="0.35">
      <c r="A42" s="9"/>
      <c r="B42" s="47" t="s">
        <v>671</v>
      </c>
      <c r="C42" s="48"/>
      <c r="D42" s="9"/>
      <c r="E42" s="9"/>
      <c r="F42" s="9"/>
      <c r="G42" s="9"/>
      <c r="H42" s="9"/>
      <c r="I42" s="49" t="str">
        <f t="shared" si="0"/>
        <v>SEPFORECAST - SEPTEMBER FORECAST</v>
      </c>
      <c r="J42" s="50"/>
      <c r="K42" s="49" t="s">
        <v>712</v>
      </c>
      <c r="L42" s="51"/>
      <c r="M42" s="51"/>
      <c r="N42" s="51"/>
      <c r="O42" s="51"/>
      <c r="P42" s="50"/>
      <c r="Q42" s="9"/>
      <c r="R42" s="9"/>
      <c r="S42" s="9" t="s">
        <v>695</v>
      </c>
      <c r="T42" s="9" t="str">
        <f>IF(_epmOfflineCondition_,"SEPTEMBER FORECAST",_xll.EVDES(S42))</f>
        <v>SEPTEMBER FORECAST</v>
      </c>
      <c r="U42" s="9"/>
      <c r="V42" s="9"/>
      <c r="W42" s="9"/>
    </row>
    <row r="43" spans="1:23" ht="15.5" x14ac:dyDescent="0.35">
      <c r="A43" s="9"/>
      <c r="B43" s="48" t="s">
        <v>681</v>
      </c>
      <c r="C43" s="48"/>
      <c r="D43" s="9"/>
      <c r="E43" s="9"/>
      <c r="F43" s="9"/>
      <c r="G43" s="9"/>
      <c r="H43" s="9"/>
      <c r="I43" s="49" t="str">
        <f t="shared" si="0"/>
        <v>OCTFORECAST - OCTOBER FORECAST</v>
      </c>
      <c r="J43" s="50"/>
      <c r="K43" s="49" t="s">
        <v>713</v>
      </c>
      <c r="L43" s="51"/>
      <c r="M43" s="51"/>
      <c r="N43" s="51"/>
      <c r="O43" s="51"/>
      <c r="P43" s="50"/>
      <c r="Q43" s="9"/>
      <c r="R43" s="9"/>
      <c r="S43" s="9" t="s">
        <v>696</v>
      </c>
      <c r="T43" s="9" t="str">
        <f>IF(_epmOfflineCondition_,"OCTOBER FORECAST",_xll.EVDES(S43))</f>
        <v>OCTOBER FORECAST</v>
      </c>
      <c r="U43" s="9"/>
      <c r="V43" s="9"/>
      <c r="W43" s="9"/>
    </row>
    <row r="44" spans="1:23" ht="15.5" x14ac:dyDescent="0.35">
      <c r="A44" s="9"/>
      <c r="B44" s="48" t="s">
        <v>715</v>
      </c>
      <c r="C44" s="48"/>
      <c r="D44" s="9"/>
      <c r="E44" s="9"/>
      <c r="F44" s="9"/>
      <c r="G44" s="9"/>
      <c r="H44" s="9"/>
      <c r="I44" s="49" t="str">
        <f t="shared" si="0"/>
        <v>NOVFORECAST - NOVEMBER FORECAST</v>
      </c>
      <c r="J44" s="50"/>
      <c r="K44" s="49" t="s">
        <v>716</v>
      </c>
      <c r="L44" s="51"/>
      <c r="M44" s="51"/>
      <c r="N44" s="51"/>
      <c r="O44" s="51"/>
      <c r="P44" s="50"/>
      <c r="Q44" s="9"/>
      <c r="R44" s="9"/>
      <c r="S44" s="9" t="s">
        <v>697</v>
      </c>
      <c r="T44" s="9" t="str">
        <f>IF(_epmOfflineCondition_,"NOVEMBER FORECAST",_xll.EVDES(S44))</f>
        <v>NOVEMBER FORECAST</v>
      </c>
      <c r="U44" s="9"/>
      <c r="V44" s="9"/>
      <c r="W44" s="9"/>
    </row>
    <row r="45" spans="1:23" ht="15.5" x14ac:dyDescent="0.35">
      <c r="A45" s="9"/>
      <c r="B45" s="48" t="s">
        <v>672</v>
      </c>
      <c r="C45" s="48"/>
      <c r="D45" s="9"/>
      <c r="E45" s="9"/>
      <c r="F45" s="9"/>
      <c r="G45" s="9"/>
      <c r="H45" s="9"/>
      <c r="I45" s="49" t="str">
        <f t="shared" si="0"/>
        <v>DECFORECAST - DECEMBER FORECAST</v>
      </c>
      <c r="J45" s="50"/>
      <c r="K45" s="49" t="s">
        <v>717</v>
      </c>
      <c r="L45" s="51"/>
      <c r="M45" s="51"/>
      <c r="N45" s="51"/>
      <c r="O45" s="51"/>
      <c r="P45" s="50"/>
      <c r="Q45" s="9"/>
      <c r="R45" s="9"/>
      <c r="S45" s="9" t="s">
        <v>698</v>
      </c>
      <c r="T45" s="9" t="str">
        <f>IF(_epmOfflineCondition_,"DECEMBER FORECAST",_xll.EVDES(S45))</f>
        <v>DECEMBER FORECAST</v>
      </c>
      <c r="U45" s="9"/>
      <c r="V45" s="9"/>
      <c r="W45" s="9"/>
    </row>
    <row r="46" spans="1:23" ht="15.5" x14ac:dyDescent="0.35">
      <c r="A46" s="9"/>
      <c r="B46" s="48" t="s">
        <v>678</v>
      </c>
      <c r="C46" s="48"/>
      <c r="D46" s="9"/>
      <c r="E46" s="9"/>
      <c r="F46" s="9"/>
      <c r="G46" s="9"/>
      <c r="H46" s="9"/>
      <c r="I46" s="49" t="str">
        <f t="shared" si="0"/>
        <v>BUDSNAP - Forecast Snapshot</v>
      </c>
      <c r="J46" s="50"/>
      <c r="K46" s="49" t="s">
        <v>718</v>
      </c>
      <c r="L46" s="51"/>
      <c r="M46" s="51"/>
      <c r="N46" s="51"/>
      <c r="O46" s="51"/>
      <c r="P46" s="50"/>
      <c r="Q46" s="9"/>
      <c r="R46" s="9"/>
      <c r="S46" s="9" t="s">
        <v>699</v>
      </c>
      <c r="T46" s="9" t="str">
        <f>IF(_epmOfflineCondition_,"Forecast Snapshot",_xll.EVDES(S46))</f>
        <v>Forecast Snapshot</v>
      </c>
      <c r="U46" s="9"/>
      <c r="V46" s="9"/>
      <c r="W46" s="9"/>
    </row>
    <row r="47" spans="1:23" ht="15.5" x14ac:dyDescent="0.35">
      <c r="A47" s="9"/>
      <c r="B47" s="48" t="s">
        <v>673</v>
      </c>
      <c r="C47" s="48"/>
      <c r="D47" s="9"/>
      <c r="E47" s="9"/>
      <c r="F47" s="9"/>
      <c r="G47" s="9"/>
      <c r="H47" s="9"/>
      <c r="I47" s="49" t="str">
        <f t="shared" si="0"/>
        <v>ALT1 - Scenario 1</v>
      </c>
      <c r="J47" s="50"/>
      <c r="K47" s="49" t="s">
        <v>795</v>
      </c>
      <c r="L47" s="51"/>
      <c r="M47" s="51"/>
      <c r="N47" s="51"/>
      <c r="O47" s="51"/>
      <c r="P47" s="50"/>
      <c r="Q47" s="9"/>
      <c r="R47" s="9"/>
      <c r="S47" s="9" t="s">
        <v>796</v>
      </c>
      <c r="T47" s="9" t="str">
        <f>IF(_epmOfflineCondition_,"Scenario 1",_xll.EVDES(S47))</f>
        <v>Scenario 1</v>
      </c>
      <c r="U47" s="9"/>
      <c r="V47" s="9"/>
      <c r="W47" s="9"/>
    </row>
    <row r="48" spans="1:23" ht="15.5" x14ac:dyDescent="0.35">
      <c r="A48" s="9"/>
      <c r="B48" s="48" t="s">
        <v>674</v>
      </c>
      <c r="C48" s="48"/>
      <c r="D48" s="9"/>
      <c r="E48" s="9"/>
      <c r="F48" s="9"/>
      <c r="G48" s="9"/>
      <c r="H48" s="9"/>
      <c r="I48" s="49" t="str">
        <f t="shared" si="0"/>
        <v>ALT2 - Scenario 2</v>
      </c>
      <c r="J48" s="50"/>
      <c r="K48" s="49" t="s">
        <v>795</v>
      </c>
      <c r="L48" s="51"/>
      <c r="M48" s="51"/>
      <c r="N48" s="51"/>
      <c r="O48" s="51"/>
      <c r="P48" s="50"/>
      <c r="Q48" s="9"/>
      <c r="R48" s="9"/>
      <c r="S48" s="9" t="s">
        <v>797</v>
      </c>
      <c r="T48" s="9" t="str">
        <f>IF(_epmOfflineCondition_,"Scenario 2",_xll.EVDES(S48))</f>
        <v>Scenario 2</v>
      </c>
      <c r="U48" s="9"/>
      <c r="V48" s="9"/>
      <c r="W48" s="9"/>
    </row>
    <row r="49" spans="1:23" ht="15.5" x14ac:dyDescent="0.35">
      <c r="A49" s="9"/>
      <c r="B49" s="48"/>
      <c r="C49" s="48" t="s">
        <v>675</v>
      </c>
      <c r="D49" s="9"/>
      <c r="E49" s="9"/>
      <c r="F49" s="9"/>
      <c r="G49" s="9"/>
      <c r="H49" s="9"/>
      <c r="I49" s="49" t="str">
        <f t="shared" si="0"/>
        <v>ALT3 - Scenario 3</v>
      </c>
      <c r="J49" s="50"/>
      <c r="K49" s="49" t="s">
        <v>795</v>
      </c>
      <c r="L49" s="51"/>
      <c r="M49" s="51"/>
      <c r="N49" s="51"/>
      <c r="O49" s="51"/>
      <c r="P49" s="50"/>
      <c r="Q49" s="9"/>
      <c r="R49" s="9"/>
      <c r="S49" s="9" t="s">
        <v>798</v>
      </c>
      <c r="T49" s="9" t="str">
        <f>IF(_epmOfflineCondition_,"Scenario 3",_xll.EVDES(S49))</f>
        <v>Scenario 3</v>
      </c>
      <c r="U49" s="9"/>
      <c r="V49" s="9"/>
      <c r="W49" s="9"/>
    </row>
    <row r="50" spans="1:23" ht="15.5" x14ac:dyDescent="0.35">
      <c r="A50" s="9"/>
      <c r="B50" s="48"/>
      <c r="C50" s="48" t="s">
        <v>676</v>
      </c>
      <c r="D50" s="9"/>
      <c r="E50" s="9"/>
      <c r="F50" s="9"/>
      <c r="G50" s="9"/>
      <c r="H50" s="9"/>
      <c r="I50" s="49" t="str">
        <f t="shared" si="0"/>
        <v>ALT4 - Scenario 4</v>
      </c>
      <c r="J50" s="50"/>
      <c r="K50" s="49" t="s">
        <v>795</v>
      </c>
      <c r="L50" s="51"/>
      <c r="M50" s="51"/>
      <c r="N50" s="51"/>
      <c r="O50" s="51"/>
      <c r="P50" s="50"/>
      <c r="Q50" s="9"/>
      <c r="R50" s="9"/>
      <c r="S50" s="9" t="s">
        <v>799</v>
      </c>
      <c r="T50" s="9" t="str">
        <f>IF(_epmOfflineCondition_,"Scenario 4",_xll.EVDES(S50))</f>
        <v>Scenario 4</v>
      </c>
      <c r="U50" s="9"/>
      <c r="V50" s="9"/>
      <c r="W50" s="9"/>
    </row>
    <row r="51" spans="1:23" ht="15.5" x14ac:dyDescent="0.35">
      <c r="A51" s="9"/>
      <c r="B51" s="48"/>
      <c r="C51" s="48" t="s">
        <v>719</v>
      </c>
      <c r="D51" s="9"/>
      <c r="E51" s="9"/>
      <c r="F51" s="9"/>
      <c r="G51" s="9"/>
      <c r="H51" s="9"/>
      <c r="I51" s="9"/>
      <c r="J51" s="9"/>
      <c r="K51" s="9"/>
      <c r="L51" s="9"/>
      <c r="M51" s="9"/>
      <c r="N51" s="9"/>
      <c r="O51" s="9"/>
      <c r="P51" s="9"/>
      <c r="Q51" s="9"/>
      <c r="R51" s="9"/>
      <c r="S51" s="9"/>
      <c r="T51" s="9"/>
      <c r="U51" s="9"/>
      <c r="V51" s="9"/>
      <c r="W51" s="9"/>
    </row>
    <row r="52" spans="1:23" ht="15.5" x14ac:dyDescent="0.35">
      <c r="A52" s="9"/>
      <c r="B52" s="48"/>
      <c r="C52" s="48" t="s">
        <v>677</v>
      </c>
      <c r="D52" s="9"/>
      <c r="E52" s="9"/>
      <c r="F52" s="9"/>
      <c r="G52" s="9"/>
      <c r="H52" s="9"/>
      <c r="I52" s="9"/>
      <c r="J52" s="9"/>
      <c r="K52" s="9"/>
      <c r="L52" s="9"/>
      <c r="M52" s="9"/>
      <c r="N52" s="9"/>
      <c r="O52" s="9"/>
      <c r="P52" s="9"/>
      <c r="Q52" s="9"/>
      <c r="R52" s="9"/>
      <c r="S52" s="9"/>
      <c r="T52" s="9"/>
      <c r="U52" s="9"/>
      <c r="V52" s="9"/>
      <c r="W52" s="9"/>
    </row>
    <row r="53" spans="1:23" ht="15.5" x14ac:dyDescent="0.35">
      <c r="A53" s="9"/>
      <c r="B53" s="48" t="s">
        <v>679</v>
      </c>
      <c r="C53" s="48"/>
      <c r="D53" s="9"/>
      <c r="E53" s="9"/>
      <c r="F53" s="9"/>
      <c r="G53" s="9"/>
      <c r="H53" s="9"/>
      <c r="I53" s="9"/>
      <c r="J53" s="9"/>
      <c r="K53" s="9"/>
      <c r="L53" s="9"/>
      <c r="M53" s="9"/>
      <c r="N53" s="9"/>
      <c r="O53" s="9"/>
      <c r="P53" s="9"/>
      <c r="Q53" s="9"/>
      <c r="R53" s="9"/>
      <c r="S53" s="9"/>
      <c r="T53" s="9"/>
      <c r="U53" s="9"/>
      <c r="V53" s="9"/>
      <c r="W53" s="9"/>
    </row>
    <row r="54" spans="1:23" ht="15.5" x14ac:dyDescent="0.35">
      <c r="A54" s="9"/>
      <c r="B54" s="48" t="s">
        <v>680</v>
      </c>
      <c r="C54" s="48"/>
      <c r="D54" s="9"/>
      <c r="E54" s="9"/>
      <c r="F54" s="9"/>
      <c r="G54" s="9"/>
      <c r="H54" s="9"/>
      <c r="I54" s="9"/>
      <c r="J54" s="9"/>
      <c r="K54" s="9"/>
      <c r="L54" s="9"/>
      <c r="M54" s="9"/>
      <c r="N54" s="9"/>
      <c r="O54" s="9"/>
      <c r="P54" s="9"/>
      <c r="Q54" s="9"/>
      <c r="R54" s="9"/>
      <c r="S54" s="9"/>
      <c r="T54" s="9"/>
      <c r="U54" s="9"/>
      <c r="V54" s="9"/>
      <c r="W54" s="9"/>
    </row>
  </sheetData>
  <sheetProtection algorithmName="SHA-512" hashValue="ZECIBi7mifVaHmq56HtRUmnIEjUJf4L5PcrEHrq0+k+goNDaH3Rx9D9IWaUvydbnIoHhq7GBRHSlGzpwKHXDIg==" saltValue="rvsqSCFtPzKlQknXypc63w==" spinCount="100000" sheet="1" scenarios="1"/>
  <mergeCells count="3">
    <mergeCell ref="C6:C7"/>
    <mergeCell ref="F6:F7"/>
    <mergeCell ref="I6:I7"/>
  </mergeCells>
  <conditionalFormatting sqref="C8:D8">
    <cfRule type="expression" dxfId="180" priority="1">
      <formula>LEFT($D$6,3)&lt;&gt;"ALT"</formula>
    </cfRule>
  </conditionalFormatting>
  <dataValidations disablePrompts="1" count="1">
    <dataValidation type="list" showInputMessage="1" showErrorMessage="1" sqref="D8" xr:uid="{00000000-0002-0000-0000-000000000000}">
      <formula1>"BUD,FCST"</formula1>
    </dataValidation>
  </dataValidations>
  <pageMargins left="0.25" right="0.25" top="0.5" bottom="0.5" header="0.3" footer="0.3"/>
  <pageSetup scale="42"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31" r:id="rId7" name="FPMExcelClientSheetOptionstb1">
          <controlPr defaultSize="0" autoLine="0" r:id="rId8">
            <anchor moveWithCells="1" sizeWithCells="1">
              <from>
                <xdr:col>0</xdr:col>
                <xdr:colOff>0</xdr:colOff>
                <xdr:row>0</xdr:row>
                <xdr:rowOff>0</xdr:rowOff>
              </from>
              <to>
                <xdr:col>2</xdr:col>
                <xdr:colOff>419100</xdr:colOff>
                <xdr:row>0</xdr:row>
                <xdr:rowOff>0</xdr:rowOff>
              </to>
            </anchor>
          </controlPr>
        </control>
      </mc:Choice>
      <mc:Fallback>
        <control shapeId="5131" r:id="rId7" name="FPMExcelClientSheetOptionstb1"/>
      </mc:Fallback>
    </mc:AlternateContent>
    <mc:AlternateContent xmlns:mc="http://schemas.openxmlformats.org/markup-compatibility/2006">
      <mc:Choice Requires="x14">
        <control shapeId="5130" r:id="rId9" name="Check Box 10">
          <controlPr defaultSize="0" print="0" autoFill="0" autoLine="0" autoPict="0">
            <anchor moveWithCells="1">
              <from>
                <xdr:col>14</xdr:col>
                <xdr:colOff>50800</xdr:colOff>
                <xdr:row>4</xdr:row>
                <xdr:rowOff>171450</xdr:rowOff>
              </from>
              <to>
                <xdr:col>15</xdr:col>
                <xdr:colOff>0</xdr:colOff>
                <xdr:row>6</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dimension ref="A1:AO114"/>
  <sheetViews>
    <sheetView tabSelected="1" topLeftCell="K25" zoomScale="85" zoomScaleNormal="85" workbookViewId="0">
      <pane xSplit="3" ySplit="8" topLeftCell="N63" activePane="bottomRight" state="frozen"/>
      <selection activeCell="K25" sqref="K25"/>
      <selection pane="topRight" activeCell="N25" sqref="N25"/>
      <selection pane="bottomLeft" activeCell="K33" sqref="K33"/>
      <selection pane="bottomRight" activeCell="N33" sqref="N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38.7265625" style="1" customWidth="1" collapsed="1"/>
    <col min="14" max="25" width="11.7265625" style="1" customWidth="1" outlineLevel="1"/>
    <col min="26" max="26" width="12.7265625" style="1" customWidth="1"/>
    <col min="27" max="27" width="7.7265625" style="1" customWidth="1"/>
    <col min="28" max="28" width="1.7265625" style="1" customWidth="1"/>
    <col min="29" max="29" width="12.7265625" style="1" customWidth="1"/>
    <col min="30" max="30" width="7.7265625" style="1" customWidth="1"/>
    <col min="31" max="31" width="11.7265625" style="1" customWidth="1"/>
    <col min="32" max="32" width="12.7265625" style="1" customWidth="1"/>
    <col min="33" max="33" width="7.7265625" style="1" customWidth="1"/>
    <col min="34" max="34" width="11.7265625" style="1" customWidth="1"/>
    <col min="35" max="38" width="9.1796875" style="1" hidden="1" customWidth="1" outlineLevel="1"/>
    <col min="39" max="39" width="9.1796875" style="1" collapsed="1"/>
    <col min="40" max="40" width="14.26953125" style="1" bestFit="1" customWidth="1"/>
    <col min="41"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55"/>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499</v>
      </c>
      <c r="C6" s="11" t="str">
        <f>IF(_epmOfflineCondition_,"Consolidated Hotel &amp; F&amp;B Departments",_xll.EVDES(B6,$B$1))</f>
        <v>Consolidated Hotel &amp; F&amp;B Departments</v>
      </c>
      <c r="D6" s="11"/>
      <c r="E6" s="58" t="str">
        <f>IF(_epmOfflineCondition_,"",_xll.EVPRO($B$1,$B$6,$F$6))</f>
        <v/>
      </c>
      <c r="F6" s="11" t="s">
        <v>278</v>
      </c>
      <c r="G6" s="11"/>
      <c r="H6" s="11"/>
      <c r="I6" s="59"/>
      <c r="J6" s="59"/>
      <c r="K6" s="11"/>
      <c r="L6" s="59"/>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8" t="str">
        <f>IF(LEFT(SetUp!$D$6,3)="ALT","Y","N")</f>
        <v>N</v>
      </c>
      <c r="M11" s="11" t="s">
        <v>800</v>
      </c>
      <c r="N11" s="60" t="str">
        <f>IF(_epmOfflineCondition_,"ACTUAL_CON",IF(N13&lt;$F$4,_xll.EVPRO($B$1,$B$4,"COMPARISON"),$B$4))</f>
        <v>ACTUAL_CON</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11"/>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11" t="s">
        <v>597</v>
      </c>
      <c r="N12" s="4" t="str">
        <f>IF(_epmOfflineCondition_,"Y",_xll.EVPRO($B$1,N$16,$M$12))</f>
        <v>Y</v>
      </c>
      <c r="O12" s="4" t="str">
        <f>IF(_epmOfflineCondition_,"Y",_xll.EVPRO($B$1,O$16,$M$12))</f>
        <v>Y</v>
      </c>
      <c r="P12" s="4" t="str">
        <f>IF(_epmOfflineCondition_,"Y",_xll.EVPRO($B$1,P$16,$M$12))</f>
        <v>Y</v>
      </c>
      <c r="Q12" s="4" t="str">
        <f>IF(_epmOfflineCondition_,"Y",_xll.EVPRO($B$1,Q$16,$M$12))</f>
        <v>Y</v>
      </c>
      <c r="R12" s="4" t="str">
        <f>IF(_epmOfflineCondition_,"Y",_xll.EVPRO($B$1,R$16,$M$12))</f>
        <v>Y</v>
      </c>
      <c r="S12" s="4" t="str">
        <f>IF(_epmOfflineCondition_,"Y",_xll.EVPRO($B$1,S$16,$M$12))</f>
        <v>Y</v>
      </c>
      <c r="T12" s="4" t="str">
        <f>IF(_epmOfflineCondition_,"Y",_xll.EVPRO($B$1,T$16,$M$12))</f>
        <v>Y</v>
      </c>
      <c r="U12" s="4" t="str">
        <f>IF(_epmOfflineCondition_,"Y",_xll.EVPRO($B$1,U$16,$M$12))</f>
        <v>Y</v>
      </c>
      <c r="V12" s="4" t="str">
        <f>IF(_epmOfflineCondition_,"Y",_xll.EVPRO($B$1,V$16,$M$12))</f>
        <v>Y</v>
      </c>
      <c r="W12" s="4" t="str">
        <f>IF(_epmOfflineCondition_,"Y",_xll.EVPRO($B$1,W$16,$M$12))</f>
        <v>Y</v>
      </c>
      <c r="X12" s="4" t="str">
        <f>IF(_epmOfflineCondition_,"Y",_xll.EVPRO($B$1,X$16,$M$12))</f>
        <v>Y</v>
      </c>
      <c r="Y12" s="4" t="str">
        <f>IF(_epmOfflineCondition_,"Y",_xll.EVPRO($B$1,Y$16,$M$12))</f>
        <v>Y</v>
      </c>
      <c r="Z12" s="4" t="str">
        <f>IF(_epmOfflineCondition_,"",_xll.EVPRO($B$1,Z$16,$M$12))</f>
        <v/>
      </c>
      <c r="AA12" s="11"/>
      <c r="AB12" s="11"/>
      <c r="AC12" s="4" t="str">
        <f>IF(_epmOfflineCondition_,"",_xll.EVPRO($B$1,AC$16,$M$12))</f>
        <v/>
      </c>
      <c r="AD12" s="11"/>
      <c r="AE12" s="11"/>
      <c r="AF12" s="4" t="str">
        <f>IF(_epmOfflineCondition_,"",_xll.EVPRO($B$1,AF$16,$M$12))</f>
        <v/>
      </c>
      <c r="AG12" s="11"/>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11" t="s">
        <v>598</v>
      </c>
      <c r="N13" s="5" t="str">
        <f>IF(_epmOfflineCondition_,"20210100",_xll.EVPRO($B$1,N16,"TIMEID"))</f>
        <v>20210100</v>
      </c>
      <c r="O13" s="5" t="str">
        <f>IF(_epmOfflineCondition_,"20210200",_xll.EVPRO($B$1,O16,"TIMEID"))</f>
        <v>20210200</v>
      </c>
      <c r="P13" s="5" t="str">
        <f>IF(_epmOfflineCondition_,"20210300",_xll.EVPRO($B$1,P16,"TIMEID"))</f>
        <v>20210300</v>
      </c>
      <c r="Q13" s="5" t="str">
        <f>IF(_epmOfflineCondition_,"20210400",_xll.EVPRO($B$1,Q16,"TIMEID"))</f>
        <v>20210400</v>
      </c>
      <c r="R13" s="5" t="str">
        <f>IF(_epmOfflineCondition_,"20210500",_xll.EVPRO($B$1,R16,"TIMEID"))</f>
        <v>20210500</v>
      </c>
      <c r="S13" s="5" t="str">
        <f>IF(_epmOfflineCondition_,"20210600",_xll.EVPRO($B$1,S16,"TIMEID"))</f>
        <v>20210600</v>
      </c>
      <c r="T13" s="5" t="str">
        <f>IF(_epmOfflineCondition_,"20210700",_xll.EVPRO($B$1,T16,"TIMEID"))</f>
        <v>20210700</v>
      </c>
      <c r="U13" s="5" t="str">
        <f>IF(_epmOfflineCondition_,"20210800",_xll.EVPRO($B$1,U16,"TIMEID"))</f>
        <v>20210800</v>
      </c>
      <c r="V13" s="5" t="str">
        <f>IF(_epmOfflineCondition_,"20210900",_xll.EVPRO($B$1,V16,"TIMEID"))</f>
        <v>20210900</v>
      </c>
      <c r="W13" s="5" t="str">
        <f>IF(_epmOfflineCondition_,"20211000",_xll.EVPRO($B$1,W16,"TIMEID"))</f>
        <v>20211000</v>
      </c>
      <c r="X13" s="5" t="str">
        <f>IF(_epmOfflineCondition_,"20211100",_xll.EVPRO($B$1,X16,"TIMEID"))</f>
        <v>20211100</v>
      </c>
      <c r="Y13" s="5" t="str">
        <f>IF(_epmOfflineCondition_,"20211200",_xll.EVPRO($B$1,Y16,"TIMEID"))</f>
        <v>20211200</v>
      </c>
      <c r="Z13" s="5" t="str">
        <f>IF(_epmOfflineCondition_,"10000170",_xll.EVPRO($B$1,Z16,"TIMEID"))</f>
        <v>10000170</v>
      </c>
      <c r="AA13" s="11"/>
      <c r="AB13" s="11"/>
      <c r="AC13" s="5" t="str">
        <f>IF(_epmOfflineCondition_,"10000170",_xll.EVPRO($B$1,AC16,"TIMEID"))</f>
        <v>10000170</v>
      </c>
      <c r="AD13" s="11"/>
      <c r="AE13" s="11"/>
      <c r="AF13" s="5" t="str">
        <f>IF(_epmOfflineCondition_,"10000160",_xll.EVPRO($B$1,AF16,"TIMEID"))</f>
        <v>10000160</v>
      </c>
      <c r="AG13" s="11"/>
      <c r="AH13" s="11"/>
      <c r="AI13" s="11"/>
      <c r="AJ13" s="11"/>
      <c r="AK13" s="11"/>
      <c r="AL13" s="11"/>
      <c r="AM13" s="11"/>
      <c r="AN13" s="11"/>
      <c r="AO13" s="11"/>
    </row>
    <row r="14" spans="1:41" hidden="1" outlineLevel="1" x14ac:dyDescent="0.35">
      <c r="A14" s="61" t="str">
        <f>IF(_epmOfflineCondition_,"Evdre:Ok",_xll.EVDRE($B$1,A17:B24))</f>
        <v>Evdre:Ok</v>
      </c>
      <c r="B14" s="11"/>
      <c r="C14" s="11"/>
      <c r="D14" s="11"/>
      <c r="E14" s="11"/>
      <c r="F14" s="11"/>
      <c r="G14" s="11"/>
      <c r="H14" s="11"/>
      <c r="I14" s="59"/>
      <c r="J14" s="59"/>
      <c r="K14" s="11"/>
      <c r="L14" s="59"/>
      <c r="M14" s="11" t="s">
        <v>599</v>
      </c>
      <c r="N14" s="5" t="s">
        <v>603</v>
      </c>
      <c r="O14" s="5" t="s">
        <v>604</v>
      </c>
      <c r="P14" s="5" t="s">
        <v>605</v>
      </c>
      <c r="Q14" s="5" t="s">
        <v>606</v>
      </c>
      <c r="R14" s="5" t="s">
        <v>607</v>
      </c>
      <c r="S14" s="5" t="s">
        <v>608</v>
      </c>
      <c r="T14" s="5" t="s">
        <v>609</v>
      </c>
      <c r="U14" s="5" t="s">
        <v>610</v>
      </c>
      <c r="V14" s="5" t="s">
        <v>611</v>
      </c>
      <c r="W14" s="5" t="s">
        <v>612</v>
      </c>
      <c r="X14" s="5" t="s">
        <v>613</v>
      </c>
      <c r="Y14" s="5" t="s">
        <v>614</v>
      </c>
      <c r="Z14" s="5" t="s">
        <v>116</v>
      </c>
      <c r="AA14" s="11"/>
      <c r="AB14" s="11"/>
      <c r="AC14" s="5" t="s">
        <v>116</v>
      </c>
      <c r="AD14" s="11"/>
      <c r="AE14" s="11"/>
      <c r="AF14" s="5" t="s">
        <v>116</v>
      </c>
      <c r="AG14" s="11"/>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11" t="s">
        <v>600</v>
      </c>
      <c r="N15" s="6" t="s">
        <v>615</v>
      </c>
      <c r="O15" s="6" t="s">
        <v>616</v>
      </c>
      <c r="P15" s="7" t="s">
        <v>617</v>
      </c>
      <c r="Q15" s="7" t="s">
        <v>618</v>
      </c>
      <c r="R15" s="7" t="s">
        <v>619</v>
      </c>
      <c r="S15" s="7" t="s">
        <v>620</v>
      </c>
      <c r="T15" s="7" t="s">
        <v>621</v>
      </c>
      <c r="U15" s="7" t="s">
        <v>622</v>
      </c>
      <c r="V15" s="7" t="s">
        <v>623</v>
      </c>
      <c r="W15" s="7" t="s">
        <v>624</v>
      </c>
      <c r="X15" s="7" t="s">
        <v>625</v>
      </c>
      <c r="Y15" s="7" t="s">
        <v>626</v>
      </c>
      <c r="Z15" s="5" t="s">
        <v>116</v>
      </c>
      <c r="AA15" s="11"/>
      <c r="AB15" s="11"/>
      <c r="AC15" s="5" t="s">
        <v>116</v>
      </c>
      <c r="AD15" s="11"/>
      <c r="AE15" s="11"/>
      <c r="AF15" s="5" t="s">
        <v>116</v>
      </c>
      <c r="AG15" s="11"/>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11" t="s">
        <v>18</v>
      </c>
      <c r="N16" s="60" t="str">
        <f>IF(_epmOfflineCondition_,"2021.JAN",IF(SetUp!$O$1=TRUE,_xll.EVTIM($B$1,O16,-1),IF($D$10="FY",LEFT($B$10,6)&amp;"."&amp;N15,$B$12&amp;"."&amp;N14)))</f>
        <v>2021.JAN</v>
      </c>
      <c r="O16" s="60" t="str">
        <f>IF(_epmOfflineCondition_,"2021.FEB",IF(SetUp!$O$1=TRUE,_xll.EVTIM($B$1,P16,-1),IF($D$10="FY",LEFT($B$10,6)&amp;"."&amp;O15,$B$12&amp;"."&amp;O14)))</f>
        <v>2021.FEB</v>
      </c>
      <c r="P16" s="60" t="str">
        <f>IF(_epmOfflineCondition_,"2021.MAR",IF(SetUp!$O$1=TRUE,_xll.EVTIM($B$1,Q16,-1),IF($D$10="FY",LEFT($B$10,6)&amp;"."&amp;P15,$B$12&amp;"."&amp;P14)))</f>
        <v>2021.MAR</v>
      </c>
      <c r="Q16" s="60" t="str">
        <f>IF(_epmOfflineCondition_,"2021.APR",IF(SetUp!$O$1=TRUE,_xll.EVTIM($B$1,R16,-1),IF($D$10="FY",LEFT($B$10,6)&amp;"."&amp;Q15,$B$12&amp;"."&amp;Q14)))</f>
        <v>2021.APR</v>
      </c>
      <c r="R16" s="60" t="str">
        <f>IF(_epmOfflineCondition_,"2021.MAY",IF(SetUp!$O$1=TRUE,_xll.EVTIM($B$1,S16,-1),IF($D$10="FY",LEFT($B$10,6)&amp;"."&amp;R15,$B$12&amp;"."&amp;R14)))</f>
        <v>2021.MAY</v>
      </c>
      <c r="S16" s="60" t="str">
        <f>IF(_epmOfflineCondition_,"2021.JUN",IF(SetUp!$O$1=TRUE,_xll.EVTIM($B$1,T16,-1),IF($D$10="FY",LEFT($B$10,6)&amp;"."&amp;S15,$B$12&amp;"."&amp;S14)))</f>
        <v>2021.JUN</v>
      </c>
      <c r="T16" s="60" t="str">
        <f>IF(_epmOfflineCondition_,"2021.JUL",IF(SetUp!$O$1=TRUE,_xll.EVTIM($B$1,U16,-1),IF($D$10="FY",LEFT($B$10,6)&amp;"."&amp;T15,$B$12&amp;"."&amp;T14)))</f>
        <v>2021.JUL</v>
      </c>
      <c r="U16" s="60" t="str">
        <f>IF(_epmOfflineCondition_,"2021.AUG",IF(SetUp!$O$1=TRUE,_xll.EVTIM($B$1,V16,-1),IF($D$10="FY",LEFT($B$10,6)&amp;"."&amp;U15,$B$12&amp;"."&amp;U14)))</f>
        <v>2021.AUG</v>
      </c>
      <c r="V16" s="60" t="str">
        <f>IF(_epmOfflineCondition_,"2021.SEP",IF(SetUp!$O$1=TRUE,_xll.EVTIM($B$1,W16,-1),IF($D$10="FY",LEFT($B$10,6)&amp;"."&amp;V15,$B$12&amp;"."&amp;V14)))</f>
        <v>2021.SEP</v>
      </c>
      <c r="W16" s="60" t="str">
        <f>IF(_epmOfflineCondition_,"2021.OCT",IF(SetUp!$O$1=TRUE,_xll.EVTIM($B$1,X16,-1),IF($D$10="FY",LEFT($B$10,6)&amp;"."&amp;W15,$B$12&amp;"."&amp;W14)))</f>
        <v>2021.OCT</v>
      </c>
      <c r="X16" s="60" t="str">
        <f>IF(_epmOfflineCondition_,"2021.NOV",IF(SetUp!$O$1=TRUE,_xll.EVTIM($B$1,Y16,-1),IF($D$10="FY",LEFT($B$10,6)&amp;"."&amp;X15,$B$12&amp;"."&amp;X14)))</f>
        <v>2021.NOV</v>
      </c>
      <c r="Y16" s="60" t="str">
        <f>IF(SetUp!$O$1=TRUE,SetUp!$Q$6,IF($D$10="FY",LEFT($B$10,6)&amp;"."&amp;Y15,$B$12&amp;"."&amp;Y14))</f>
        <v>2021.DEC</v>
      </c>
      <c r="Z16" s="60" t="str">
        <f>IF($D$10="FY",LEFT($B$10,6)&amp;"."&amp;Z15,$B$12&amp;"."&amp;Z14)</f>
        <v>2021.TOTAL</v>
      </c>
      <c r="AA16" s="64"/>
      <c r="AB16" s="64"/>
      <c r="AC16" s="60" t="str">
        <f>IF(SetUp!$O$1=TRUE,SetUp!$Q$6,SetUp!$G$7)</f>
        <v>2021.TOTAL</v>
      </c>
      <c r="AD16" s="64"/>
      <c r="AE16" s="64"/>
      <c r="AF16" s="60" t="str">
        <f>IF(_epmOfflineCondition_,"2020.TOTAL",IF(SetUp!$O$1=TRUE,_xll.EVTIM($B$1,AC16,-1,"YEAR"),SetUp!$J$7))</f>
        <v>2020.TOTAL</v>
      </c>
      <c r="AG16" s="64"/>
      <c r="AH16" s="64"/>
      <c r="AI16" s="11"/>
      <c r="AJ16" s="11"/>
      <c r="AK16" s="11"/>
      <c r="AL16" s="11"/>
      <c r="AM16" s="11"/>
      <c r="AN16" s="11"/>
      <c r="AO16" s="11"/>
    </row>
    <row r="17" spans="1:41" hidden="1" outlineLevel="1" x14ac:dyDescent="0.35">
      <c r="A17" s="65" t="s">
        <v>2</v>
      </c>
      <c r="B17" s="66" t="str">
        <f>IF(_epmOfflineCondition_,"'Summary'!$B$2:$B$10",_xll.EVRNG($B$2:$B$10))</f>
        <v>'Summary'!$B$2:$B$10</v>
      </c>
      <c r="C17" s="11"/>
      <c r="D17" s="11"/>
      <c r="E17" s="11"/>
      <c r="F17" s="11"/>
      <c r="G17" s="11"/>
      <c r="H17" s="11"/>
      <c r="I17" s="59"/>
      <c r="J17" s="59"/>
      <c r="K17" s="11"/>
      <c r="L17" s="59"/>
      <c r="M17" s="11" t="s">
        <v>19</v>
      </c>
      <c r="N17" s="60" t="str">
        <f>IF(_epmOfflineCondition_,"ACTUAL_CON",IF($L$11="Y",N11,IF(N13&lt;$E$4,_xll.EVPRO($B$1,$B$4,"COMPARISON"),$B$4)))</f>
        <v>ACTUAL_CON</v>
      </c>
      <c r="O17" s="60" t="str">
        <f>IF(_epmOfflineCondition_,"ACTUAL_CON",IF($L$11="y",O11,IF(O13&lt;$E$4,_xll.EVPRO($B$1,$B$4,"COMPARISON"),$B$4)))</f>
        <v>ACTUAL_CON</v>
      </c>
      <c r="P17" s="60" t="str">
        <f>IF(_epmOfflineCondition_,"ACTUAL_CON",IF($L$11="y",P11,IF(P13&lt;$E$4,_xll.EVPRO($B$1,$B$4,"COMPARISON"),$B$4)))</f>
        <v>ACTUAL_CON</v>
      </c>
      <c r="Q17" s="60" t="str">
        <f>IF(_epmOfflineCondition_,"ACTUAL_CON",IF($L$11="y",Q11,IF(Q13&lt;$E$4,_xll.EVPRO($B$1,$B$4,"COMPARISON"),$B$4)))</f>
        <v>ACTUAL_CON</v>
      </c>
      <c r="R17" s="60" t="str">
        <f>IF(_epmOfflineCondition_,"ACTUAL_CON",IF($L$11="y",R11,IF(R13&lt;$E$4,_xll.EVPRO($B$1,$B$4,"COMPARISON"),$B$4)))</f>
        <v>ACTUAL_CON</v>
      </c>
      <c r="S17" s="60" t="str">
        <f>IF(_epmOfflineCondition_,"ACTUAL_CON",IF($L$11="y",S11,IF(S13&lt;$E$4,_xll.EVPRO($B$1,$B$4,"COMPARISON"),$B$4)))</f>
        <v>ACTUAL_CON</v>
      </c>
      <c r="T17" s="60" t="str">
        <f>IF(_epmOfflineCondition_,"ACTUAL_CON",IF($L$11="y",T11,IF(T13&lt;$E$4,_xll.EVPRO($B$1,$B$4,"COMPARISON"),$B$4)))</f>
        <v>ACTUAL_CON</v>
      </c>
      <c r="U17" s="60" t="str">
        <f>IF(_epmOfflineCondition_,"ACTUAL_CON",IF($L$11="y",U11,IF(U13&lt;$E$4,_xll.EVPRO($B$1,$B$4,"COMPARISON"),$B$4)))</f>
        <v>ACTUAL_CON</v>
      </c>
      <c r="V17" s="60" t="str">
        <f>IF(_epmOfflineCondition_,"ACTUAL_CON",IF($L$11="y",V11,IF(V13&lt;$E$4,_xll.EVPRO($B$1,$B$4,"COMPARISON"),$B$4)))</f>
        <v>ACTUAL_CON</v>
      </c>
      <c r="W17" s="60" t="str">
        <f>IF(_epmOfflineCondition_,"ACTUAL_CON",IF($L$11="y",W11,IF(W13&lt;$E$4,_xll.EVPRO($B$1,$B$4,"COMPARISON"),$B$4)))</f>
        <v>ACTUAL_CON</v>
      </c>
      <c r="X17" s="60" t="str">
        <f>IF(_epmOfflineCondition_,"ACTUAL_CON",IF($L$11="y",X11,IF(X13&lt;$E$4,_xll.EVPRO($B$1,$B$4,"COMPARISON"),$B$4)))</f>
        <v>ACTUAL_CON</v>
      </c>
      <c r="Y17" s="60" t="str">
        <f>IF(_epmOfflineCondition_,"ACTUAL_CON",IF($L$11="y",Y11,IF(Y13&lt;$E$4,_xll.EVPRO($B$1,$B$4,"COMPARISON"),$B$4)))</f>
        <v>ACTUAL_CON</v>
      </c>
      <c r="Z17" s="60"/>
      <c r="AA17" s="64"/>
      <c r="AB17" s="64"/>
      <c r="AC17" s="60" t="str">
        <f>SetUp!$G$6</f>
        <v>BUDGET</v>
      </c>
      <c r="AD17" s="64"/>
      <c r="AE17" s="64"/>
      <c r="AF17" s="60" t="str">
        <f>SetUp!$J$6</f>
        <v>ACTUAL_CON</v>
      </c>
      <c r="AG17" s="64"/>
      <c r="AH17" s="64"/>
      <c r="AI17" s="11"/>
      <c r="AJ17" s="11"/>
      <c r="AK17" s="11"/>
      <c r="AL17" s="11"/>
      <c r="AM17" s="11"/>
      <c r="AN17" s="11"/>
      <c r="AO17" s="11"/>
    </row>
    <row r="18" spans="1:41" hidden="1" outlineLevel="1" x14ac:dyDescent="0.35">
      <c r="A18" s="65" t="s">
        <v>3</v>
      </c>
      <c r="B18" s="66" t="str">
        <f>IF(_epmOfflineCondition_,"'Summary'!$N$16:$AH$18",_xll.EVRNG(N16:AH18))</f>
        <v>'Summary'!$N$16:$AH$18</v>
      </c>
      <c r="C18" s="11"/>
      <c r="D18" s="11"/>
      <c r="E18" s="11"/>
      <c r="F18" s="11"/>
      <c r="G18" s="11"/>
      <c r="H18" s="11"/>
      <c r="I18" s="59"/>
      <c r="J18" s="59"/>
      <c r="K18" s="11"/>
      <c r="L18" s="59"/>
      <c r="M18" s="11" t="s">
        <v>601</v>
      </c>
      <c r="N18" s="64" t="s">
        <v>55</v>
      </c>
      <c r="O18" s="64" t="s">
        <v>55</v>
      </c>
      <c r="P18" s="64" t="s">
        <v>55</v>
      </c>
      <c r="Q18" s="64" t="s">
        <v>55</v>
      </c>
      <c r="R18" s="64" t="s">
        <v>55</v>
      </c>
      <c r="S18" s="64" t="s">
        <v>55</v>
      </c>
      <c r="T18" s="64" t="s">
        <v>55</v>
      </c>
      <c r="U18" s="64" t="s">
        <v>55</v>
      </c>
      <c r="V18" s="64" t="s">
        <v>55</v>
      </c>
      <c r="W18" s="64" t="s">
        <v>55</v>
      </c>
      <c r="X18" s="64" t="s">
        <v>55</v>
      </c>
      <c r="Y18" s="64" t="s">
        <v>55</v>
      </c>
      <c r="Z18" s="64"/>
      <c r="AA18" s="64"/>
      <c r="AB18" s="64"/>
      <c r="AC18" s="60" t="str">
        <f>IF(SetUp!$O$1=TRUE,"TRAILING12",IF(AC17="CURRENT","ROLLINGFORECAST","PERIODIC"))</f>
        <v>PERIODIC</v>
      </c>
      <c r="AD18" s="64"/>
      <c r="AE18" s="64"/>
      <c r="AF18" s="60" t="str">
        <f>IF(SetUp!$O$1=TRUE,"TRAILING12",IF(AF17="CURRENT","ROLLINGFORECAST","PERIODIC"))</f>
        <v>PERIODIC</v>
      </c>
      <c r="AG18" s="64"/>
      <c r="AH18" s="64"/>
      <c r="AI18" s="11"/>
      <c r="AJ18" s="11"/>
      <c r="AK18" s="11"/>
      <c r="AL18" s="11"/>
      <c r="AM18" s="11"/>
      <c r="AN18" s="11"/>
      <c r="AO18" s="11"/>
    </row>
    <row r="19" spans="1:41" hidden="1" outlineLevel="1" x14ac:dyDescent="0.35">
      <c r="A19" s="65" t="s">
        <v>4</v>
      </c>
      <c r="B19" s="66" t="str">
        <f>IF(_epmOfflineCondition_,"'Summary'!$G$33:$H$88",_xll.EVRNG(G33:H88))</f>
        <v>'Summary'!$G$33:$H$88</v>
      </c>
      <c r="C19" s="11"/>
      <c r="D19" s="11"/>
      <c r="E19" s="11"/>
      <c r="F19" s="11"/>
      <c r="G19" s="67" t="s">
        <v>499</v>
      </c>
      <c r="H19" s="67">
        <v>400000</v>
      </c>
      <c r="I19" s="68"/>
      <c r="J19" s="68"/>
      <c r="K19" s="67"/>
      <c r="L19" s="68"/>
      <c r="M19" s="67" t="str">
        <f>IF(_epmOfflineCondition_,"Total Revenue",_xll.EVDES(H19))</f>
        <v>Total Revenue</v>
      </c>
      <c r="N19" s="69">
        <f>IF(_epmOfflineCondition_,733802.28,_xll.EVGTS($B$1,1,$B$3,$B$5,$B$7,$B$9,N$16,N$17,N$18,$G$19,$H$19))</f>
        <v>733802.28</v>
      </c>
      <c r="O19" s="69">
        <f>IF(_epmOfflineCondition_,862208.75,_xll.EVGTS($B$1,1,$B$3,$B$5,$B$7,$B$9,O$16,O$17,O$18,$G$19,$H$19))</f>
        <v>862208.75</v>
      </c>
      <c r="P19" s="69">
        <f>IF(_epmOfflineCondition_,1089812.5,_xll.EVGTS($B$1,1,$B$3,$B$5,$B$7,$B$9,P$16,P$17,P$18,$G$19,$H$19))</f>
        <v>1089812.5</v>
      </c>
      <c r="Q19" s="69">
        <f>IF(_epmOfflineCondition_,1100470.49,_xll.EVGTS($B$1,1,$B$3,$B$5,$B$7,$B$9,Q$16,Q$17,Q$18,$G$19,$H$19))</f>
        <v>1100470.49</v>
      </c>
      <c r="R19" s="69">
        <f>IF(_epmOfflineCondition_,1246058.9,_xll.EVGTS($B$1,1,$B$3,$B$5,$B$7,$B$9,R$16,R$17,R$18,$G$19,$H$19))</f>
        <v>1246058.8999999999</v>
      </c>
      <c r="S19" s="69">
        <f>IF(_epmOfflineCondition_,1071568.71,_xll.EVGTS($B$1,1,$B$3,$B$5,$B$7,$B$9,S$16,S$17,S$18,$G$19,$H$19))</f>
        <v>1071568.71</v>
      </c>
      <c r="T19" s="69">
        <f>IF(_epmOfflineCondition_,1192075.01,_xll.EVGTS($B$1,1,$B$3,$B$5,$B$7,$B$9,T$16,T$17,T$18,$G$19,$H$19))</f>
        <v>1192075.01</v>
      </c>
      <c r="U19" s="69">
        <f>IF(_epmOfflineCondition_,701156.28,_xll.EVGTS($B$1,1,$B$3,$B$5,$B$7,$B$9,U$16,U$17,U$18,$G$19,$H$19))</f>
        <v>701156.28</v>
      </c>
      <c r="V19" s="69">
        <f>IF(_epmOfflineCondition_,573367.35,_xll.EVGTS($B$1,1,$B$3,$B$5,$B$7,$B$9,V$16,V$17,V$18,$G$19,$H$19))</f>
        <v>573367.35</v>
      </c>
      <c r="W19" s="69">
        <f>IF(_epmOfflineCondition_,743025.95,_xll.EVGTS($B$1,1,$B$3,$B$5,$B$7,$B$9,W$16,W$17,W$18,$G$19,$H$19))</f>
        <v>743025.95</v>
      </c>
      <c r="X19" s="69">
        <f>IF(_epmOfflineCondition_,998687.28,_xll.EVGTS($B$1,1,$B$3,$B$5,$B$7,$B$9,X$16,X$17,X$18,$G$19,$H$19))</f>
        <v>998687.28</v>
      </c>
      <c r="Y19" s="69">
        <f>IF(_epmOfflineCondition_,1594290.92,_xll.EVGTS($B$1,1,$B$3,$B$5,$B$7,$B$9,Y$16,Y$17,Y$18,$G$19,$H$19))</f>
        <v>1594290.92</v>
      </c>
      <c r="Z19" s="69">
        <f>SUM(N19:Y19)</f>
        <v>11906524.419999998</v>
      </c>
      <c r="AA19" s="67"/>
      <c r="AB19" s="67"/>
      <c r="AC19" s="69">
        <f>IF(_epmOfflineCondition_,8332668.18454148,_xll.EVGTS($B$1,1,$B$3,$B$5,$B$7,$B$9,AC$16,AC$17,AC$18,$G$19,$H$19))</f>
        <v>8332668.1845414797</v>
      </c>
      <c r="AD19" s="67"/>
      <c r="AE19" s="67"/>
      <c r="AF19" s="69">
        <f>IF(_epmOfflineCondition_,5213345.47,_xll.EVGTS($B$1,1,$B$3,$B$5,$B$7,$B$9,AF$16,AF$17,AF$18,$G$19,$H$19))</f>
        <v>5213345.47</v>
      </c>
      <c r="AG19" s="67"/>
      <c r="AH19" s="67"/>
      <c r="AI19" s="11"/>
      <c r="AJ19" s="11"/>
      <c r="AK19" s="11"/>
      <c r="AL19" s="11"/>
      <c r="AM19" s="11"/>
      <c r="AN19" s="11"/>
      <c r="AO19" s="11"/>
    </row>
    <row r="20" spans="1:41" hidden="1" outlineLevel="1" x14ac:dyDescent="0.35">
      <c r="A20" s="65" t="s">
        <v>5</v>
      </c>
      <c r="B20" s="66"/>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IF(_epmOfflineCondition_,"'Summary'!$A$58:$B$79",_xll.EVRNG($A$58:$B$79))</f>
        <v>'Summary'!$A$58:$B$79</v>
      </c>
      <c r="C23" s="11"/>
      <c r="D23" s="11"/>
      <c r="E23" s="11"/>
      <c r="F23" s="11"/>
      <c r="G23" s="11"/>
      <c r="H23" s="11"/>
      <c r="I23" s="59"/>
      <c r="J23" s="59"/>
      <c r="K23" s="6"/>
      <c r="L23" s="59"/>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70" t="str">
        <f>IF(_epmOfflineCondition_,"Anglers Boutique Resorts LLC",IF(_xll.EVDES(B3,$B$1)="#NODATA","",_xll.EVDES(B3,$B$1)))</f>
        <v>Anglers Boutique Resorts LLC</v>
      </c>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71" t="str">
        <f>IF(_epmOfflineCondition_,"Consolidated Hotel &amp; F&amp;B Departments",IF(_xll.EVDES(B6,$B$1)="#NODATA","",_xll.EVDES(B6,$B$1)))</f>
        <v>Consolidated Hotel &amp; F&amp;B Departments</v>
      </c>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72" t="str">
        <f>IF(_epmOfflineCondition_,"For the Period ended 2021 TOTAL","For the Period ended"&amp;" "&amp;IF(_xll.EVDES($B$10,$B$1)="#NODATA","",_xll.EVDES($B$10,$B$1)))</f>
        <v>For the Period ended 2021 TOTAL</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293</v>
      </c>
      <c r="C29" s="11"/>
      <c r="D29" s="11"/>
      <c r="E29" s="11"/>
      <c r="F29" s="11"/>
      <c r="G29" s="11"/>
      <c r="H29" s="11"/>
      <c r="I29" s="59"/>
      <c r="J29" s="59"/>
      <c r="K29" s="11"/>
      <c r="L29" s="59"/>
      <c r="M29" s="72" t="str">
        <f>IF(_epmOfflineCondition_,"Local Currency",_xll.EVDES(B9,B1))</f>
        <v>Local Currency</v>
      </c>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11"/>
      <c r="N30" s="73"/>
      <c r="O30" s="74"/>
      <c r="P30" s="74"/>
      <c r="Q30" s="74"/>
      <c r="R30" s="74"/>
      <c r="S30" s="74"/>
      <c r="T30" s="74"/>
      <c r="U30" s="74"/>
      <c r="V30" s="74"/>
      <c r="W30" s="74"/>
      <c r="X30" s="74"/>
      <c r="Y30" s="74"/>
      <c r="Z30" s="74"/>
      <c r="AA30" s="75"/>
      <c r="AB30" s="11"/>
      <c r="AC30" s="74"/>
      <c r="AD30" s="74"/>
      <c r="AE30" s="74"/>
      <c r="AF30" s="74"/>
      <c r="AG30" s="74"/>
      <c r="AH30" s="74"/>
      <c r="AI30" s="73"/>
      <c r="AJ30" s="74"/>
      <c r="AK30" s="74"/>
      <c r="AL30" s="75"/>
      <c r="AM30" s="11"/>
      <c r="AN30" s="11"/>
      <c r="AO30" s="11"/>
    </row>
    <row r="31" spans="1:41" x14ac:dyDescent="0.35">
      <c r="A31" s="65" t="s">
        <v>15</v>
      </c>
      <c r="B31" s="66"/>
      <c r="C31" s="11"/>
      <c r="D31" s="11"/>
      <c r="E31" s="11"/>
      <c r="F31" s="11"/>
      <c r="G31" s="76"/>
      <c r="H31" s="11"/>
      <c r="I31" s="59"/>
      <c r="J31" s="59"/>
      <c r="K31" s="11"/>
      <c r="L31" s="59"/>
      <c r="M31" s="11"/>
      <c r="N31" s="77" t="str">
        <f>IF(_epmOfflineCondition_,"JAN",IF($D$10="FY",_xll.EVPRO($B$1,N$16,"PERIOD")&amp;" "&amp;LEFT(N$13,4),_xll.EVPRO($B$1,N$16,"PERIOD")))</f>
        <v>JAN</v>
      </c>
      <c r="O31" s="77" t="str">
        <f>IF(_epmOfflineCondition_,"FEB",IF($D$10="FY",_xll.EVPRO($B$1,O$16,"PERIOD")&amp;" "&amp;LEFT(O$13,4),_xll.EVPRO($B$1,O$16,"PERIOD")))</f>
        <v>FEB</v>
      </c>
      <c r="P31" s="77" t="str">
        <f>IF(_epmOfflineCondition_,"MAR",IF($D$10="FY",_xll.EVPRO($B$1,P$16,"PERIOD")&amp;" "&amp;LEFT(P$13,4),_xll.EVPRO($B$1,P$16,"PERIOD")))</f>
        <v>MAR</v>
      </c>
      <c r="Q31" s="77" t="str">
        <f>IF(_epmOfflineCondition_,"APR",IF($D$10="FY",_xll.EVPRO($B$1,Q$16,"PERIOD")&amp;" "&amp;LEFT(Q$13,4),_xll.EVPRO($B$1,Q$16,"PERIOD")))</f>
        <v>APR</v>
      </c>
      <c r="R31" s="77" t="str">
        <f>IF(_epmOfflineCondition_,"MAY",IF($D$10="FY",_xll.EVPRO($B$1,R$16,"PERIOD")&amp;" "&amp;LEFT(R$13,4),_xll.EVPRO($B$1,R$16,"PERIOD")))</f>
        <v>MAY</v>
      </c>
      <c r="S31" s="77" t="str">
        <f>IF(_epmOfflineCondition_,"JUN",IF($D$10="FY",_xll.EVPRO($B$1,S$16,"PERIOD")&amp;" "&amp;LEFT(S$13,4),_xll.EVPRO($B$1,S$16,"PERIOD")))</f>
        <v>JUN</v>
      </c>
      <c r="T31" s="77" t="str">
        <f>IF(_epmOfflineCondition_,"JUL",IF($D$10="FY",_xll.EVPRO($B$1,T$16,"PERIOD")&amp;" "&amp;LEFT(T$13,4),_xll.EVPRO($B$1,T$16,"PERIOD")))</f>
        <v>JUL</v>
      </c>
      <c r="U31" s="77" t="str">
        <f>IF(_epmOfflineCondition_,"AUG",IF($D$10="FY",_xll.EVPRO($B$1,U$16,"PERIOD")&amp;" "&amp;LEFT(U$13,4),_xll.EVPRO($B$1,U$16,"PERIOD")))</f>
        <v>AUG</v>
      </c>
      <c r="V31" s="77" t="str">
        <f>IF(_epmOfflineCondition_,"SEP",IF($D$10="FY",_xll.EVPRO($B$1,V$16,"PERIOD")&amp;" "&amp;LEFT(V$13,4),_xll.EVPRO($B$1,V$16,"PERIOD")))</f>
        <v>SEP</v>
      </c>
      <c r="W31" s="77" t="str">
        <f>IF(_epmOfflineCondition_,"OCT",IF($D$10="FY",_xll.EVPRO($B$1,W$16,"PERIOD")&amp;" "&amp;LEFT(W$13,4),_xll.EVPRO($B$1,W$16,"PERIOD")))</f>
        <v>OCT</v>
      </c>
      <c r="X31" s="77" t="str">
        <f>IF(_epmOfflineCondition_,"NOV",IF($D$10="FY",_xll.EVPRO($B$1,X$16,"PERIOD")&amp;" "&amp;LEFT(X$13,4),_xll.EVPRO($B$1,X$16,"PERIOD")))</f>
        <v>NOV</v>
      </c>
      <c r="Y31" s="77" t="str">
        <f>IF(_epmOfflineCondition_,"DEC",IF($D$10="FY",_xll.EVPRO($B$1,Y$16,"PERIOD")&amp;" "&amp;LEFT(Y$13,4),_xll.EVPRO($B$1,Y$16,"PERIOD")))</f>
        <v>DEC</v>
      </c>
      <c r="Z31" s="77" t="str">
        <f>Z14</f>
        <v>TOTAL</v>
      </c>
      <c r="AA31" s="78"/>
      <c r="AB31" s="11"/>
      <c r="AC31" s="624" t="str">
        <f>IF(_epmOfflineCondition_,"2021 TOTAL",IF(_xll.EVDES(AC16,$B$1)="#NODATA","",_xll.EVDES(AC16,$B$1)))</f>
        <v>2021 TOTAL</v>
      </c>
      <c r="AD31" s="625"/>
      <c r="AE31" s="77" t="s">
        <v>631</v>
      </c>
      <c r="AF31" s="624" t="str">
        <f>IF(_epmOfflineCondition_,"2020 TOTAL",IF(_xll.EVDES(AF16,$B$1)="#NODATA","",_xll.EVDES(AF16,$B$1)))</f>
        <v>2020 TOTAL</v>
      </c>
      <c r="AG31" s="625"/>
      <c r="AH31" s="77" t="s">
        <v>631</v>
      </c>
      <c r="AI31" s="79" t="str">
        <f>IF(_epmOfflineCondition_,"2021 vs 2021",_xll.EVPRO($B$1,Z$16,"YEAR")&amp;" vs "&amp;_xll.EVPRO($B$1,AC$16,"YEAR"))</f>
        <v>2021 vs 2021</v>
      </c>
      <c r="AJ31" s="80"/>
      <c r="AK31" s="79" t="str">
        <f>IF(_epmOfflineCondition_,"2021 vs 2020",_xll.EVPRO($B$1,Z$16,"YEAR")&amp;" vs "&amp;_xll.EVPRO($B$1,AF$16,"YEAR"))</f>
        <v>2021 vs 2020</v>
      </c>
      <c r="AL31" s="80"/>
      <c r="AM31" s="11"/>
      <c r="AN31" s="11"/>
      <c r="AO31" s="11"/>
    </row>
    <row r="32" spans="1:41" s="8" customFormat="1" ht="30" customHeight="1" x14ac:dyDescent="0.35">
      <c r="A32" s="81" t="s">
        <v>16</v>
      </c>
      <c r="B32" s="82"/>
      <c r="C32" s="83"/>
      <c r="D32" s="83"/>
      <c r="E32" s="83"/>
      <c r="F32" s="83"/>
      <c r="G32" s="83"/>
      <c r="H32" s="84"/>
      <c r="I32" s="85"/>
      <c r="J32" s="85"/>
      <c r="K32" s="83"/>
      <c r="L32" s="85"/>
      <c r="M32" s="86"/>
      <c r="N32" s="87" t="str">
        <f>IF(_epmOfflineCondition_,"Actual",IF(_xll.EVDES(N17,$B$1)="#NODATA","",_xll.EVDES(N17,$B$1)))</f>
        <v>Actual</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0"/>
      <c r="AA32" s="80" t="s">
        <v>58</v>
      </c>
      <c r="AB32" s="83"/>
      <c r="AC32" s="87" t="str">
        <f>IF(_epmOfflineCondition_,"Budget",IF(_xll.EVDES(AC17,$B$1)="#NODATA","",_xll.EVDES(AC17,$B$1)))</f>
        <v>Budget</v>
      </c>
      <c r="AD32" s="80" t="s">
        <v>58</v>
      </c>
      <c r="AE32" s="87" t="s">
        <v>57</v>
      </c>
      <c r="AF32" s="87" t="str">
        <f>IF(_epmOfflineCondition_,"Actual",IF(_xll.EVDES(AF17,$B$1)="#NODATA","",_xll.EVDES(AF17,$B$1)))</f>
        <v>Actual</v>
      </c>
      <c r="AG32" s="80" t="s">
        <v>58</v>
      </c>
      <c r="AH32" s="87" t="s">
        <v>57</v>
      </c>
      <c r="AI32" s="80" t="s">
        <v>750</v>
      </c>
      <c r="AJ32" s="80"/>
      <c r="AK32" s="80" t="s">
        <v>750</v>
      </c>
      <c r="AL32" s="80"/>
      <c r="AM32" s="83"/>
      <c r="AN32" s="83"/>
      <c r="AO32" s="83"/>
    </row>
    <row r="33" spans="1:41" x14ac:dyDescent="0.35">
      <c r="A33" s="65" t="s">
        <v>17</v>
      </c>
      <c r="B33" s="66"/>
      <c r="C33" s="11"/>
      <c r="D33" s="11"/>
      <c r="E33" s="11"/>
      <c r="F33" s="11"/>
      <c r="G33" s="88" t="s">
        <v>60</v>
      </c>
      <c r="H33" s="88" t="s">
        <v>211</v>
      </c>
      <c r="I33" s="89" t="str">
        <f>IF(_epmOfflineCondition_,"N",_xll.EVPRO($B$1,$H33,"STYLE"))</f>
        <v>N</v>
      </c>
      <c r="J33" s="89" t="str">
        <f>IF(_epmOfflineCondition_,"N",_xll.EVPRO($B$1,$H33,"CALC"))</f>
        <v>N</v>
      </c>
      <c r="K33" s="11"/>
      <c r="L33" s="59"/>
      <c r="M33" s="90" t="str">
        <f>IF(_epmOfflineCondition_,"Available rooms",IF(_xll.EVDES(H33,$B$1)="#NODATA","",_xll.EVDES(H33,$B$1)))</f>
        <v>Available rooms</v>
      </c>
      <c r="N33" s="143">
        <v>4092</v>
      </c>
      <c r="O33" s="143">
        <v>3696</v>
      </c>
      <c r="P33" s="143">
        <v>4092</v>
      </c>
      <c r="Q33" s="143">
        <v>3960</v>
      </c>
      <c r="R33" s="143">
        <v>4092</v>
      </c>
      <c r="S33" s="143">
        <v>3960</v>
      </c>
      <c r="T33" s="143">
        <v>4092</v>
      </c>
      <c r="U33" s="143">
        <v>4092</v>
      </c>
      <c r="V33" s="143">
        <v>3960</v>
      </c>
      <c r="W33" s="143">
        <v>4092</v>
      </c>
      <c r="X33" s="143">
        <v>3960</v>
      </c>
      <c r="Y33" s="143">
        <v>4092</v>
      </c>
      <c r="Z33" s="143">
        <f>SUM(N33:Y33)</f>
        <v>48180</v>
      </c>
      <c r="AA33" s="146"/>
      <c r="AB33" s="140"/>
      <c r="AC33" s="143">
        <v>48180</v>
      </c>
      <c r="AD33" s="146"/>
      <c r="AE33" s="145">
        <f>IF(AND($Z33="",AC33=""),"",$Z33-AC33)</f>
        <v>0</v>
      </c>
      <c r="AF33" s="143">
        <v>48312</v>
      </c>
      <c r="AG33" s="146"/>
      <c r="AH33" s="145">
        <f>IF(AND($Z33="",AF33=""),"",$Z33-AF33)</f>
        <v>-132</v>
      </c>
      <c r="AI33" s="93"/>
      <c r="AJ33" s="94"/>
      <c r="AK33" s="93"/>
      <c r="AL33" s="94"/>
      <c r="AM33" s="11"/>
      <c r="AN33" s="11"/>
      <c r="AO33" s="11"/>
    </row>
    <row r="34" spans="1:41" x14ac:dyDescent="0.35">
      <c r="A34" s="11"/>
      <c r="B34" s="11"/>
      <c r="C34" s="11"/>
      <c r="D34" s="11"/>
      <c r="E34" s="11"/>
      <c r="F34" s="11"/>
      <c r="G34" s="88" t="s">
        <v>60</v>
      </c>
      <c r="H34" s="88" t="s">
        <v>257</v>
      </c>
      <c r="I34" s="89" t="str">
        <f>IF(_epmOfflineCondition_,"T2",_xll.EVPRO($B$1,$H34,"STYLE"))</f>
        <v>T2</v>
      </c>
      <c r="J34" s="89" t="str">
        <f>IF(_epmOfflineCondition_,"Y",_xll.EVPRO($B$1,$H34,"CALC"))</f>
        <v>Y</v>
      </c>
      <c r="K34" s="11"/>
      <c r="L34" s="59"/>
      <c r="M34" s="90" t="str">
        <f>IF(_epmOfflineCondition_,"Total Rooms Sold",IF(_xll.EVDES(H34,$B$1)="#NODATA","",_xll.EVDES(H34,$B$1)))</f>
        <v>Total Rooms Sold</v>
      </c>
      <c r="N34" s="143">
        <v>3493</v>
      </c>
      <c r="O34" s="143">
        <v>3373</v>
      </c>
      <c r="P34" s="143">
        <v>3665</v>
      </c>
      <c r="Q34" s="143">
        <v>3573</v>
      </c>
      <c r="R34" s="143">
        <v>3767</v>
      </c>
      <c r="S34" s="143">
        <v>3625</v>
      </c>
      <c r="T34" s="143">
        <v>3558</v>
      </c>
      <c r="U34" s="143">
        <v>2598</v>
      </c>
      <c r="V34" s="143">
        <v>2342</v>
      </c>
      <c r="W34" s="143">
        <v>3002</v>
      </c>
      <c r="X34" s="143">
        <v>3341</v>
      </c>
      <c r="Y34" s="143">
        <v>3831</v>
      </c>
      <c r="Z34" s="143">
        <f>SUM(N34:Y34)</f>
        <v>40168</v>
      </c>
      <c r="AA34" s="146"/>
      <c r="AB34" s="140"/>
      <c r="AC34" s="143">
        <v>37460</v>
      </c>
      <c r="AD34" s="146"/>
      <c r="AE34" s="145">
        <f>IF(AND($Z34="",AC34=""),"",$Z34-AC34)</f>
        <v>2708</v>
      </c>
      <c r="AF34" s="143">
        <v>19863</v>
      </c>
      <c r="AG34" s="146"/>
      <c r="AH34" s="145">
        <f>IF(AND($Z34="",AF34=""),"",$Z34-AF34)</f>
        <v>20305</v>
      </c>
      <c r="AI34" s="95">
        <f>IFERROR((Z34-AC34)/AC34,0)</f>
        <v>7.229044313934864E-2</v>
      </c>
      <c r="AJ34" s="96" t="s">
        <v>753</v>
      </c>
      <c r="AK34" s="95">
        <f>IFERROR((Z34-AF34)/AF34,0)</f>
        <v>1.0222524291396062</v>
      </c>
      <c r="AL34" s="96" t="s">
        <v>753</v>
      </c>
      <c r="AM34" s="11"/>
      <c r="AN34" s="11"/>
      <c r="AO34" s="11"/>
    </row>
    <row r="35" spans="1:41" x14ac:dyDescent="0.35">
      <c r="A35" s="97" t="s">
        <v>92</v>
      </c>
      <c r="B35" s="98" t="s">
        <v>93</v>
      </c>
      <c r="C35" s="98" t="s">
        <v>94</v>
      </c>
      <c r="D35" s="98" t="s">
        <v>95</v>
      </c>
      <c r="E35" s="98" t="s">
        <v>96</v>
      </c>
      <c r="F35" s="99" t="s">
        <v>97</v>
      </c>
      <c r="G35" s="88" t="s">
        <v>60</v>
      </c>
      <c r="H35" s="88" t="s">
        <v>495</v>
      </c>
      <c r="I35" s="89" t="str">
        <f>IF(_epmOfflineCondition_,"T2",_xll.EVPRO($B$1,$H35,"STYLE"))</f>
        <v>T2</v>
      </c>
      <c r="J35" s="89" t="str">
        <f>IF(_epmOfflineCondition_,"Y",_xll.EVPRO($B$1,$H35,"CALC"))</f>
        <v>Y</v>
      </c>
      <c r="K35" s="11"/>
      <c r="L35" s="59"/>
      <c r="M35" s="90" t="str">
        <f>IF(_epmOfflineCondition_,"Total Occupancy",IF(_xll.EVDES(H35,$B$1)="#NODATA","",_xll.EVDES(H35,$B$1)))</f>
        <v>Total Occupancy</v>
      </c>
      <c r="N35" s="144">
        <v>0.853616813294233</v>
      </c>
      <c r="O35" s="144">
        <v>0.91260822510822504</v>
      </c>
      <c r="P35" s="144">
        <v>0.89565004887585498</v>
      </c>
      <c r="Q35" s="144">
        <v>0.902272727272727</v>
      </c>
      <c r="R35" s="144">
        <v>0.92057673509286397</v>
      </c>
      <c r="S35" s="144">
        <v>0.91540404040404</v>
      </c>
      <c r="T35" s="144">
        <v>0.86950146627566005</v>
      </c>
      <c r="U35" s="144">
        <v>0.63489736070381197</v>
      </c>
      <c r="V35" s="144">
        <v>0.59141414141414095</v>
      </c>
      <c r="W35" s="144">
        <v>0.73362658846529805</v>
      </c>
      <c r="X35" s="144">
        <v>0.84368686868686904</v>
      </c>
      <c r="Y35" s="144">
        <v>0.93621700879765402</v>
      </c>
      <c r="Z35" s="144">
        <f>IFERROR(Z34/Z33,"")</f>
        <v>0.83370693233706927</v>
      </c>
      <c r="AA35" s="146"/>
      <c r="AB35" s="140"/>
      <c r="AC35" s="144">
        <v>0.77750103777501001</v>
      </c>
      <c r="AD35" s="146"/>
      <c r="AE35" s="147">
        <f>IF(AND($Z35="",AC35=""),"",$Z35-AC35)</f>
        <v>5.6205894562059266E-2</v>
      </c>
      <c r="AF35" s="144">
        <v>0.411140089418778</v>
      </c>
      <c r="AG35" s="146"/>
      <c r="AH35" s="147">
        <f>IF(AND($Z35="",AF35=""),"",$Z35-AF35)</f>
        <v>0.42256684291829127</v>
      </c>
      <c r="AI35" s="95">
        <f>IFERROR((Z35-AC35)/AC35,0)</f>
        <v>7.2290443139349084E-2</v>
      </c>
      <c r="AJ35" s="96" t="s">
        <v>753</v>
      </c>
      <c r="AK35" s="95">
        <f>IFERROR((Z35-AF35)/AF35,0)</f>
        <v>1.027792846753687</v>
      </c>
      <c r="AL35" s="96" t="s">
        <v>753</v>
      </c>
      <c r="AM35" s="11"/>
      <c r="AN35" s="101"/>
      <c r="AO35" s="11"/>
    </row>
    <row r="36" spans="1:41" x14ac:dyDescent="0.35">
      <c r="A36" s="11"/>
      <c r="B36" s="11"/>
      <c r="C36" s="11"/>
      <c r="D36" s="11"/>
      <c r="E36" s="11"/>
      <c r="F36" s="11"/>
      <c r="G36" s="88" t="s">
        <v>60</v>
      </c>
      <c r="H36" s="88" t="s">
        <v>208</v>
      </c>
      <c r="I36" s="89" t="str">
        <f>IF(_epmOfflineCondition_,"T2",_xll.EVPRO($B$1,$H36,"STYLE"))</f>
        <v>T2</v>
      </c>
      <c r="J36" s="89" t="str">
        <f>IF(_epmOfflineCondition_,"Y",_xll.EVPRO($B$1,$H36,"CALC"))</f>
        <v>Y</v>
      </c>
      <c r="K36" s="11"/>
      <c r="L36" s="59"/>
      <c r="M36" s="90" t="str">
        <f>IF(_epmOfflineCondition_,"Average Daily Rate",IF(_xll.EVDES(H36,$B$1)="#NODATA","",_xll.EVDES(H36,$B$1)))</f>
        <v>Average Daily Rate</v>
      </c>
      <c r="N36" s="148">
        <v>167.68463212138599</v>
      </c>
      <c r="O36" s="148">
        <v>203.346643937148</v>
      </c>
      <c r="P36" s="148">
        <v>236.42150341064101</v>
      </c>
      <c r="Q36" s="148">
        <v>240.30959697732999</v>
      </c>
      <c r="R36" s="148">
        <v>270.11880541545003</v>
      </c>
      <c r="S36" s="148">
        <v>230.05896275862099</v>
      </c>
      <c r="T36" s="148">
        <v>267.21803541315302</v>
      </c>
      <c r="U36" s="148">
        <v>206.73172055427301</v>
      </c>
      <c r="V36" s="148">
        <v>182.900909479078</v>
      </c>
      <c r="W36" s="148">
        <v>185.161209193871</v>
      </c>
      <c r="X36" s="148">
        <v>232.85914696198699</v>
      </c>
      <c r="Y36" s="148">
        <v>336.98540589924301</v>
      </c>
      <c r="Z36" s="148">
        <f>IFERROR(Z$39/Z34,"")</f>
        <v>233.74962880900219</v>
      </c>
      <c r="AA36" s="146"/>
      <c r="AB36" s="140"/>
      <c r="AC36" s="148">
        <v>158.624143619861</v>
      </c>
      <c r="AD36" s="146"/>
      <c r="AE36" s="149">
        <f>IF(AND($Z36="",AC36=""),"",$Z36-AC36)</f>
        <v>75.125485189141187</v>
      </c>
      <c r="AF36" s="148">
        <v>204.82499169309801</v>
      </c>
      <c r="AG36" s="146"/>
      <c r="AH36" s="150">
        <f>IF(AND($Z36="",AF36=""),"",$Z36-AF36)</f>
        <v>28.924637115904176</v>
      </c>
      <c r="AI36" s="95">
        <f>IFERROR((Z36-AC36)/AC36,0)</f>
        <v>0.47360687644862959</v>
      </c>
      <c r="AJ36" s="96" t="s">
        <v>753</v>
      </c>
      <c r="AK36" s="95">
        <f>IFERROR((Z36-AF36)/AF36,0)</f>
        <v>0.14121634707176628</v>
      </c>
      <c r="AL36" s="96" t="s">
        <v>753</v>
      </c>
      <c r="AM36" s="11"/>
      <c r="AN36" s="103"/>
      <c r="AO36" s="11"/>
    </row>
    <row r="37" spans="1:41" x14ac:dyDescent="0.35">
      <c r="A37" s="11" t="s">
        <v>105</v>
      </c>
      <c r="B37" s="11"/>
      <c r="C37" s="104" t="s">
        <v>101</v>
      </c>
      <c r="D37" s="11" t="s">
        <v>106</v>
      </c>
      <c r="E37" s="11"/>
      <c r="F37" s="11" t="s">
        <v>98</v>
      </c>
      <c r="G37" s="88" t="s">
        <v>60</v>
      </c>
      <c r="H37" s="88" t="s">
        <v>582</v>
      </c>
      <c r="I37" s="89" t="str">
        <f>IF(_epmOfflineCondition_,"N",_xll.EVPRO($B$1,$H37,"STYLE"))</f>
        <v>N</v>
      </c>
      <c r="J37" s="89" t="str">
        <f>IF(_epmOfflineCondition_,"Y",_xll.EVPRO($B$1,$H37,"CALC"))</f>
        <v>Y</v>
      </c>
      <c r="K37" s="11"/>
      <c r="L37" s="59"/>
      <c r="M37" s="90" t="str">
        <f>IF(_epmOfflineCondition_,"Revenue Per Available Room",IF(_xll.EVDES(H37,$B$1)="#NODATA","",_xll.EVDES(H37,$B$1)))</f>
        <v>Revenue Per Available Room</v>
      </c>
      <c r="N37" s="148">
        <v>143.138421309873</v>
      </c>
      <c r="O37" s="148">
        <v>185.57581980519501</v>
      </c>
      <c r="P37" s="148">
        <v>211.75093108504399</v>
      </c>
      <c r="Q37" s="148">
        <v>216.82479545454501</v>
      </c>
      <c r="R37" s="148">
        <v>248.66508797654001</v>
      </c>
      <c r="S37" s="148">
        <v>210.59690404040401</v>
      </c>
      <c r="T37" s="148">
        <v>232.34647360703801</v>
      </c>
      <c r="U37" s="148">
        <v>131.253423753666</v>
      </c>
      <c r="V37" s="148">
        <v>108.170184343434</v>
      </c>
      <c r="W37" s="148">
        <v>135.839186217009</v>
      </c>
      <c r="X37" s="148">
        <v>196.46020454545501</v>
      </c>
      <c r="Y37" s="148">
        <v>315.491468719453</v>
      </c>
      <c r="Z37" s="148">
        <f>IFERROR(Z$39/Z33,"")</f>
        <v>194.87868596928186</v>
      </c>
      <c r="AA37" s="146"/>
      <c r="AB37" s="140"/>
      <c r="AC37" s="148">
        <v>123.33043628061399</v>
      </c>
      <c r="AD37" s="146"/>
      <c r="AE37" s="149">
        <f>IF(AND($Z37="",AC37=""),"",$Z37-AC37)</f>
        <v>71.548249688667866</v>
      </c>
      <c r="AF37" s="148">
        <v>84.2117653999006</v>
      </c>
      <c r="AG37" s="146"/>
      <c r="AH37" s="150">
        <f>IF(AND($Z37="",AF37=""),"",$Z37-AF37)</f>
        <v>110.66692056938126</v>
      </c>
      <c r="AI37" s="95">
        <f>IFERROR((Z37-AC37)/AC37,0)</f>
        <v>0.58013457056029527</v>
      </c>
      <c r="AJ37" s="96" t="s">
        <v>753</v>
      </c>
      <c r="AK37" s="95">
        <f>IFERROR((Z37-AF37)/AF37,0)</f>
        <v>1.3141503451905057</v>
      </c>
      <c r="AL37" s="96" t="s">
        <v>753</v>
      </c>
      <c r="AM37" s="11"/>
      <c r="AN37" s="103"/>
      <c r="AO37" s="101"/>
    </row>
    <row r="38" spans="1:41" x14ac:dyDescent="0.35">
      <c r="A38" s="11" t="s">
        <v>102</v>
      </c>
      <c r="B38" s="11"/>
      <c r="C38" s="104" t="s">
        <v>101</v>
      </c>
      <c r="D38" s="11" t="s">
        <v>106</v>
      </c>
      <c r="E38" s="11"/>
      <c r="F38" s="11" t="s">
        <v>98</v>
      </c>
      <c r="G38" s="11"/>
      <c r="H38" s="11" t="s">
        <v>69</v>
      </c>
      <c r="I38" s="59" t="str">
        <f>IF(_epmOfflineCondition_,"B1",_xll.EVPRO($B$1,$H38,"STYLE"))</f>
        <v>B1</v>
      </c>
      <c r="J38" s="59" t="str">
        <f>IF(_epmOfflineCondition_,"Y",_xll.EVPRO($B$1,$H38,"CALC"))</f>
        <v>Y</v>
      </c>
      <c r="K38" s="11"/>
      <c r="L38" s="59"/>
      <c r="M38" s="105" t="str">
        <f>IF(_epmOfflineCondition_,"Revenues",IF(_xll.EVDES(H38,$B$1)="#NODATA","",_xll.EVDES(H38,$B$1)))</f>
        <v>Revenues</v>
      </c>
      <c r="N38" s="151"/>
      <c r="O38" s="152"/>
      <c r="P38" s="152"/>
      <c r="Q38" s="152"/>
      <c r="R38" s="152"/>
      <c r="S38" s="152"/>
      <c r="T38" s="152"/>
      <c r="U38" s="152"/>
      <c r="V38" s="152"/>
      <c r="W38" s="152"/>
      <c r="X38" s="152"/>
      <c r="Y38" s="152"/>
      <c r="Z38" s="152"/>
      <c r="AA38" s="153"/>
      <c r="AB38" s="140"/>
      <c r="AC38" s="151"/>
      <c r="AD38" s="152"/>
      <c r="AE38" s="153"/>
      <c r="AF38" s="151"/>
      <c r="AG38" s="152"/>
      <c r="AH38" s="153"/>
      <c r="AI38" s="11"/>
      <c r="AJ38" s="11"/>
      <c r="AK38" s="11"/>
      <c r="AL38" s="11"/>
      <c r="AM38" s="11"/>
      <c r="AN38" s="11"/>
      <c r="AO38" s="11"/>
    </row>
    <row r="39" spans="1:41" x14ac:dyDescent="0.35">
      <c r="A39" s="11" t="s">
        <v>108</v>
      </c>
      <c r="B39" s="11"/>
      <c r="C39" s="106" t="s">
        <v>101</v>
      </c>
      <c r="D39" s="11" t="s">
        <v>106</v>
      </c>
      <c r="E39" s="11"/>
      <c r="F39" s="11" t="s">
        <v>98</v>
      </c>
      <c r="G39" s="88" t="s">
        <v>60</v>
      </c>
      <c r="H39" s="88" t="s">
        <v>280</v>
      </c>
      <c r="I39" s="89" t="str">
        <f>IF(_epmOfflineCondition_,"T3",_xll.EVPRO($B$1,$H39,"STYLE"))</f>
        <v>T3</v>
      </c>
      <c r="J39" s="89" t="str">
        <f>IF(_epmOfflineCondition_,"Y",_xll.EVPRO($B$1,$H39,"CALC"))</f>
        <v>Y</v>
      </c>
      <c r="K39" s="107"/>
      <c r="L39" s="106"/>
      <c r="M39" s="90" t="str">
        <f>IF(_epmOfflineCondition_,"Rooms",IF(_xll.EVDES(G39,$B$1)="#NODATA","",_xll.EVDES(G39,$B$1)))</f>
        <v>Rooms</v>
      </c>
      <c r="N39" s="143">
        <v>585722.42000000004</v>
      </c>
      <c r="O39" s="143">
        <v>685888.23</v>
      </c>
      <c r="P39" s="143">
        <v>866484.81</v>
      </c>
      <c r="Q39" s="143">
        <v>858626.19</v>
      </c>
      <c r="R39" s="143">
        <v>1017537.54</v>
      </c>
      <c r="S39" s="143">
        <v>833963.74</v>
      </c>
      <c r="T39" s="143">
        <v>950761.77</v>
      </c>
      <c r="U39" s="143">
        <v>537089.01</v>
      </c>
      <c r="V39" s="143">
        <v>428353.93</v>
      </c>
      <c r="W39" s="143">
        <v>555853.94999999995</v>
      </c>
      <c r="X39" s="143">
        <v>777982.41</v>
      </c>
      <c r="Y39" s="143">
        <v>1290991.0900000001</v>
      </c>
      <c r="Z39" s="143">
        <f>SUM(N39:Y39)</f>
        <v>9389255.0899999999</v>
      </c>
      <c r="AA39" s="144">
        <f>IF(Z39=0,"",IFERROR(Z39/Z$19,""))</f>
        <v>0.78858067718136016</v>
      </c>
      <c r="AB39" s="140"/>
      <c r="AC39" s="143">
        <v>5942060.4199999999</v>
      </c>
      <c r="AD39" s="144">
        <f>IF(AC39=0,"",IFERROR(AC39/AC$19,""))</f>
        <v>0.71310416884516481</v>
      </c>
      <c r="AE39" s="145">
        <f>IF(AND($Z39="",AC39=""),"",$Z39-AC39)</f>
        <v>3447194.67</v>
      </c>
      <c r="AF39" s="143">
        <v>4068438.81</v>
      </c>
      <c r="AG39" s="144">
        <f>IF(AF39=0,"",IFERROR(AF39/AF$19,""))</f>
        <v>0.78038925933676906</v>
      </c>
      <c r="AH39" s="145">
        <f>IF(AND($Z39="",AF39=""),"",$Z39-AF39)</f>
        <v>5320816.2799999993</v>
      </c>
      <c r="AI39" s="95">
        <f>IFERROR((Z39-AC39)/AC39,0)</f>
        <v>0.58013457056029061</v>
      </c>
      <c r="AJ39" s="96" t="s">
        <v>753</v>
      </c>
      <c r="AK39" s="95">
        <f>IFERROR((Z39-AF39)/AF39,0)</f>
        <v>1.3078275300397106</v>
      </c>
      <c r="AL39" s="96" t="s">
        <v>753</v>
      </c>
      <c r="AM39" s="11"/>
      <c r="AN39" s="108"/>
      <c r="AO39" s="11"/>
    </row>
    <row r="40" spans="1:41" x14ac:dyDescent="0.35">
      <c r="A40" s="11" t="s">
        <v>108</v>
      </c>
      <c r="B40" s="11"/>
      <c r="C40" s="109" t="s">
        <v>101</v>
      </c>
      <c r="D40" s="11" t="s">
        <v>107</v>
      </c>
      <c r="E40" s="11"/>
      <c r="F40" s="11" t="s">
        <v>99</v>
      </c>
      <c r="G40" s="88" t="s">
        <v>358</v>
      </c>
      <c r="H40" s="88" t="s">
        <v>280</v>
      </c>
      <c r="I40" s="89" t="str">
        <f>IF(_epmOfflineCondition_,"T3",_xll.EVPRO($B$1,$H40,"STYLE"))</f>
        <v>T3</v>
      </c>
      <c r="J40" s="89" t="str">
        <f>IF(_epmOfflineCondition_,"Y",_xll.EVPRO($B$1,$H40,"CALC"))</f>
        <v>Y</v>
      </c>
      <c r="K40" s="107"/>
      <c r="L40" s="106"/>
      <c r="M40" s="90" t="str">
        <f>IF(_epmOfflineCondition_,"Food &amp; Beverage",IF(_xll.EVDES(G40,$B$1)="#NODATA","",_xll.EVDES(G40,$B$1)))</f>
        <v>Food &amp; Beverage</v>
      </c>
      <c r="N40" s="143">
        <v>65388.88</v>
      </c>
      <c r="O40" s="143">
        <v>114538.68</v>
      </c>
      <c r="P40" s="143">
        <v>142726.34</v>
      </c>
      <c r="Q40" s="143">
        <v>157584.81</v>
      </c>
      <c r="R40" s="143">
        <v>143360.60999999999</v>
      </c>
      <c r="S40" s="143">
        <v>137761.79</v>
      </c>
      <c r="T40" s="143">
        <v>150256.85999999999</v>
      </c>
      <c r="U40" s="143">
        <v>99219.09</v>
      </c>
      <c r="V40" s="143">
        <v>89830.45</v>
      </c>
      <c r="W40" s="143">
        <v>118367.09</v>
      </c>
      <c r="X40" s="143">
        <v>151108.96</v>
      </c>
      <c r="Y40" s="143">
        <v>213801.07</v>
      </c>
      <c r="Z40" s="143">
        <f>SUM(N40:Y40)</f>
        <v>1583944.6300000001</v>
      </c>
      <c r="AA40" s="144">
        <f>IF(Z40=0,"",IFERROR(Z40/Z$19,""))</f>
        <v>0.13303165341343165</v>
      </c>
      <c r="AB40" s="140"/>
      <c r="AC40" s="143">
        <v>1525404.4374414801</v>
      </c>
      <c r="AD40" s="144">
        <f>IF(AC40=0,"",IFERROR(AC40/AC$19,""))</f>
        <v>0.18306314420048136</v>
      </c>
      <c r="AE40" s="145">
        <f>IF(AND($Z40="",AC40=""),"",$Z40-AC40)</f>
        <v>58540.192558520008</v>
      </c>
      <c r="AF40" s="143">
        <v>613235.89</v>
      </c>
      <c r="AG40" s="144">
        <f>IF(AF40=0,"",IFERROR(AF40/AF$19,""))</f>
        <v>0.11762809380825477</v>
      </c>
      <c r="AH40" s="145">
        <f>IF(AND($Z40="",AF40=""),"",$Z40-AF40)</f>
        <v>970708.74000000011</v>
      </c>
      <c r="AI40" s="95">
        <f>IFERROR((Z40-AC40)/AC40,0)</f>
        <v>3.8376833790196588E-2</v>
      </c>
      <c r="AJ40" s="96" t="s">
        <v>753</v>
      </c>
      <c r="AK40" s="95">
        <f>IFERROR((Z40-AF40)/AF40,0)</f>
        <v>1.5829287812883881</v>
      </c>
      <c r="AL40" s="96" t="s">
        <v>753</v>
      </c>
      <c r="AM40" s="11"/>
      <c r="AN40" s="108"/>
      <c r="AO40" s="11"/>
    </row>
    <row r="41" spans="1:41" x14ac:dyDescent="0.35">
      <c r="A41" s="11"/>
      <c r="B41" s="11"/>
      <c r="C41" s="11"/>
      <c r="D41" s="11"/>
      <c r="E41" s="11"/>
      <c r="F41" s="11"/>
      <c r="G41" s="88" t="s">
        <v>463</v>
      </c>
      <c r="H41" s="88" t="s">
        <v>280</v>
      </c>
      <c r="I41" s="89" t="str">
        <f>IF(_epmOfflineCondition_,"T3",_xll.EVPRO($B$1,$H41,"STYLE"))</f>
        <v>T3</v>
      </c>
      <c r="J41" s="89" t="str">
        <f>IF(_epmOfflineCondition_,"Y",_xll.EVPRO($B$1,$H41,"CALC"))</f>
        <v>Y</v>
      </c>
      <c r="K41" s="107"/>
      <c r="L41" s="106"/>
      <c r="M41" s="90" t="str">
        <f>IF(_epmOfflineCondition_,"Other Operated Departments",IF(_xll.EVDES(G41,$B$1)="#NODATA","",_xll.EVDES(G41,$B$1)))</f>
        <v>Other Operated Departments</v>
      </c>
      <c r="N41" s="143">
        <v>824.59</v>
      </c>
      <c r="O41" s="143">
        <v>828.99</v>
      </c>
      <c r="P41" s="143">
        <v>672.8</v>
      </c>
      <c r="Q41" s="143">
        <v>2811.43</v>
      </c>
      <c r="R41" s="143">
        <v>3214.58</v>
      </c>
      <c r="S41" s="143">
        <v>1023.07</v>
      </c>
      <c r="T41" s="143">
        <v>1081.2</v>
      </c>
      <c r="U41" s="143">
        <v>62.99</v>
      </c>
      <c r="V41" s="143">
        <v>2723.58</v>
      </c>
      <c r="W41" s="143">
        <v>1445.04</v>
      </c>
      <c r="X41" s="143">
        <v>1543.33</v>
      </c>
      <c r="Y41" s="143">
        <v>3350.25</v>
      </c>
      <c r="Z41" s="143">
        <f>SUM(N41:Y41)</f>
        <v>19581.849999999999</v>
      </c>
      <c r="AA41" s="144">
        <f>IF(Z41=0,"",IFERROR(Z41/Z$19,""))</f>
        <v>1.644631910140575E-3</v>
      </c>
      <c r="AB41" s="140"/>
      <c r="AC41" s="143">
        <v>15760.5</v>
      </c>
      <c r="AD41" s="144">
        <f>IF(AC41=0,"",IFERROR(AC41/AC$19,""))</f>
        <v>1.8914109683664609E-3</v>
      </c>
      <c r="AE41" s="145">
        <f>IF(AND($Z41="",AC41=""),"",$Z41-AC41)</f>
        <v>3821.3499999999985</v>
      </c>
      <c r="AF41" s="143">
        <v>68413.37</v>
      </c>
      <c r="AG41" s="144">
        <f>IF(AF41=0,"",IFERROR(AF41/AF$19,""))</f>
        <v>1.3122738631783018E-2</v>
      </c>
      <c r="AH41" s="145">
        <f>IF(AND($Z41="",AF41=""),"",$Z41-AF41)</f>
        <v>-48831.519999999997</v>
      </c>
      <c r="AI41" s="95">
        <f>IFERROR((Z41-AC41)/AC41,0)</f>
        <v>0.24246375432251505</v>
      </c>
      <c r="AJ41" s="96" t="s">
        <v>753</v>
      </c>
      <c r="AK41" s="95">
        <f>IFERROR((Z41-AF41)/AF41,0)</f>
        <v>-0.71377159172249516</v>
      </c>
      <c r="AL41" s="96" t="s">
        <v>753</v>
      </c>
      <c r="AM41" s="11"/>
      <c r="AN41" s="108"/>
      <c r="AO41" s="11"/>
    </row>
    <row r="42" spans="1:41" x14ac:dyDescent="0.35">
      <c r="A42" s="11"/>
      <c r="B42" s="11"/>
      <c r="C42" s="11"/>
      <c r="D42" s="11"/>
      <c r="E42" s="11"/>
      <c r="F42" s="11"/>
      <c r="G42" s="88" t="s">
        <v>472</v>
      </c>
      <c r="H42" s="88" t="s">
        <v>280</v>
      </c>
      <c r="I42" s="89" t="str">
        <f>IF(_epmOfflineCondition_,"T3",_xll.EVPRO($B$1,$H42,"STYLE"))</f>
        <v>T3</v>
      </c>
      <c r="J42" s="89" t="str">
        <f>IF(_epmOfflineCondition_,"Y",_xll.EVPRO($B$1,$H42,"CALC"))</f>
        <v>Y</v>
      </c>
      <c r="K42" s="107"/>
      <c r="L42" s="106"/>
      <c r="M42" s="90" t="str">
        <f>IF(_epmOfflineCondition_,"Miscellaneous Income",IF(_xll.EVDES(G42,$B$1)="#NODATA","",_xll.EVDES(G42,$B$1)))</f>
        <v>Miscellaneous Income</v>
      </c>
      <c r="N42" s="143">
        <v>81866.39</v>
      </c>
      <c r="O42" s="143">
        <v>60952.85</v>
      </c>
      <c r="P42" s="143">
        <v>79928.55</v>
      </c>
      <c r="Q42" s="143">
        <v>81448.06</v>
      </c>
      <c r="R42" s="143">
        <v>81946.17</v>
      </c>
      <c r="S42" s="143">
        <v>98820.11</v>
      </c>
      <c r="T42" s="143">
        <v>89975.18</v>
      </c>
      <c r="U42" s="143">
        <v>64785.19</v>
      </c>
      <c r="V42" s="143">
        <v>52459.39</v>
      </c>
      <c r="W42" s="143">
        <v>67359.87</v>
      </c>
      <c r="X42" s="143">
        <v>68052.58</v>
      </c>
      <c r="Y42" s="143">
        <v>86148.51</v>
      </c>
      <c r="Z42" s="143">
        <f>SUM(N42:Y42)</f>
        <v>913742.85</v>
      </c>
      <c r="AA42" s="144">
        <f>IF(Z42=0,"",IFERROR(Z42/Z$19,""))</f>
        <v>7.6743037495067778E-2</v>
      </c>
      <c r="AB42" s="140"/>
      <c r="AC42" s="143">
        <v>849442.82710000104</v>
      </c>
      <c r="AD42" s="144">
        <f>IF(AC42=0,"",IFERROR(AC42/AC$19,""))</f>
        <v>0.10194127598598758</v>
      </c>
      <c r="AE42" s="145">
        <f>IF(AND($Z42="",AC42=""),"",$Z42-AC42)</f>
        <v>64300.022899998934</v>
      </c>
      <c r="AF42" s="143">
        <v>463257.4</v>
      </c>
      <c r="AG42" s="144">
        <f>IF(AF42=0,"",IFERROR(AF42/AF$19,""))</f>
        <v>8.8859908223193201E-2</v>
      </c>
      <c r="AH42" s="145">
        <f>IF(AND($Z42="",AF42=""),"",$Z42-AF42)</f>
        <v>450485.44999999995</v>
      </c>
      <c r="AI42" s="110">
        <f>IFERROR((Z42-AC42)/AC42,0)</f>
        <v>7.5696704767664352E-2</v>
      </c>
      <c r="AJ42" s="111" t="s">
        <v>753</v>
      </c>
      <c r="AK42" s="110">
        <f>IFERROR((Z42-AF42)/AF42,0)</f>
        <v>0.97243012200128898</v>
      </c>
      <c r="AL42" s="111" t="s">
        <v>753</v>
      </c>
      <c r="AM42" s="11"/>
      <c r="AN42" s="108"/>
      <c r="AO42" s="11"/>
    </row>
    <row r="43" spans="1:41" x14ac:dyDescent="0.35">
      <c r="A43" s="11"/>
      <c r="B43" s="11"/>
      <c r="C43" s="11"/>
      <c r="D43" s="11"/>
      <c r="E43" s="11"/>
      <c r="F43" s="11"/>
      <c r="G43" s="107"/>
      <c r="H43" s="107"/>
      <c r="I43" s="107"/>
      <c r="J43" s="107"/>
      <c r="K43" s="107"/>
      <c r="L43" s="106"/>
      <c r="M43" s="106" t="str">
        <f>"Total "&amp;M38</f>
        <v>Total Revenues</v>
      </c>
      <c r="N43" s="154">
        <f t="shared" ref="N43:Y43" si="0">SUM(N39:N42)</f>
        <v>733802.28</v>
      </c>
      <c r="O43" s="154">
        <f t="shared" si="0"/>
        <v>862208.74999999988</v>
      </c>
      <c r="P43" s="154">
        <f t="shared" si="0"/>
        <v>1089812.5</v>
      </c>
      <c r="Q43" s="154">
        <f t="shared" si="0"/>
        <v>1100470.49</v>
      </c>
      <c r="R43" s="154">
        <f t="shared" si="0"/>
        <v>1246058.8999999999</v>
      </c>
      <c r="S43" s="154">
        <f t="shared" si="0"/>
        <v>1071568.71</v>
      </c>
      <c r="T43" s="154">
        <f t="shared" si="0"/>
        <v>1192075.0099999998</v>
      </c>
      <c r="U43" s="154">
        <f t="shared" si="0"/>
        <v>701156.28</v>
      </c>
      <c r="V43" s="154">
        <f t="shared" si="0"/>
        <v>573367.35</v>
      </c>
      <c r="W43" s="154">
        <f t="shared" si="0"/>
        <v>743025.95</v>
      </c>
      <c r="X43" s="154">
        <f t="shared" si="0"/>
        <v>998687.27999999991</v>
      </c>
      <c r="Y43" s="154">
        <f t="shared" si="0"/>
        <v>1594290.9200000002</v>
      </c>
      <c r="Z43" s="154">
        <f>SUM(N43:Y43)</f>
        <v>11906524.419999998</v>
      </c>
      <c r="AA43" s="155">
        <f>IF(Z43=0,"",IFERROR(Z43/Z$19,""))</f>
        <v>1</v>
      </c>
      <c r="AB43" s="140"/>
      <c r="AC43" s="154">
        <f>SUM(AC39:AC42)</f>
        <v>8332668.1845414815</v>
      </c>
      <c r="AD43" s="155">
        <f>IF(AC43=0,"",IFERROR(AC43/AC$19,""))</f>
        <v>1.0000000000000002</v>
      </c>
      <c r="AE43" s="156">
        <f>IF(AND($Z43="",AC43=""),"",$Z43-AC43)</f>
        <v>3573856.2354585165</v>
      </c>
      <c r="AF43" s="154">
        <f>SUM(AF39:AF42)</f>
        <v>5213345.4700000007</v>
      </c>
      <c r="AG43" s="155">
        <f>IF(AF43=0,"",IFERROR(AF43/AF$19,""))</f>
        <v>1.0000000000000002</v>
      </c>
      <c r="AH43" s="156">
        <f>IF(AND($Z43="",AF43=""),"",$Z43-AF43)</f>
        <v>6693178.9499999974</v>
      </c>
      <c r="AI43" s="115">
        <f>IFERROR((Z43-AC43)/AC43,0)</f>
        <v>0.42889698189214209</v>
      </c>
      <c r="AJ43" s="116" t="s">
        <v>753</v>
      </c>
      <c r="AK43" s="115">
        <f>IFERROR((Z43-AF43)/AF43,0)</f>
        <v>1.2838548660386393</v>
      </c>
      <c r="AL43" s="116" t="s">
        <v>753</v>
      </c>
      <c r="AM43" s="11"/>
      <c r="AN43" s="108"/>
      <c r="AO43" s="11"/>
    </row>
    <row r="44" spans="1:41" x14ac:dyDescent="0.35">
      <c r="A44" s="61" t="str">
        <f>IF(_epmOfflineCondition_,"Evdre:Ok",_xll.EVDRE($B$1,A47:B54))</f>
        <v>Evdre:Ok</v>
      </c>
      <c r="B44" s="11"/>
      <c r="C44" s="11"/>
      <c r="D44" s="11"/>
      <c r="E44" s="11"/>
      <c r="F44" s="11"/>
      <c r="G44" s="107"/>
      <c r="H44" s="107"/>
      <c r="I44" s="107"/>
      <c r="J44" s="107"/>
      <c r="K44" s="107"/>
      <c r="L44" s="11">
        <f>COUNTIF(N44:AH44,FALSE)</f>
        <v>0</v>
      </c>
      <c r="M44" s="117" t="str">
        <f>IF(L44=0,"","Revenue - database validation failed")</f>
        <v/>
      </c>
      <c r="N44" s="157" t="str">
        <f t="shared" ref="N44:Z44" si="1">IF(ROUND(N43,2)&lt;&gt;ROUND(N97,2),N43-N97,"")</f>
        <v/>
      </c>
      <c r="O44" s="158" t="str">
        <f t="shared" si="1"/>
        <v/>
      </c>
      <c r="P44" s="158" t="str">
        <f t="shared" si="1"/>
        <v/>
      </c>
      <c r="Q44" s="158" t="str">
        <f t="shared" si="1"/>
        <v/>
      </c>
      <c r="R44" s="158" t="str">
        <f t="shared" si="1"/>
        <v/>
      </c>
      <c r="S44" s="158" t="str">
        <f t="shared" si="1"/>
        <v/>
      </c>
      <c r="T44" s="158" t="str">
        <f t="shared" si="1"/>
        <v/>
      </c>
      <c r="U44" s="158" t="str">
        <f t="shared" si="1"/>
        <v/>
      </c>
      <c r="V44" s="158" t="str">
        <f t="shared" si="1"/>
        <v/>
      </c>
      <c r="W44" s="158" t="str">
        <f t="shared" si="1"/>
        <v/>
      </c>
      <c r="X44" s="158" t="str">
        <f t="shared" si="1"/>
        <v/>
      </c>
      <c r="Y44" s="158" t="str">
        <f t="shared" si="1"/>
        <v/>
      </c>
      <c r="Z44" s="158" t="str">
        <f t="shared" si="1"/>
        <v/>
      </c>
      <c r="AA44" s="159" t="b">
        <f>Z44=""</f>
        <v>1</v>
      </c>
      <c r="AB44" s="140"/>
      <c r="AC44" s="157" t="str">
        <f>IF(ROUND(AC43,2)&lt;&gt;ROUND(AC97,2),AC43-AC97,"")</f>
        <v/>
      </c>
      <c r="AD44" s="160" t="b">
        <f>AC44=""</f>
        <v>1</v>
      </c>
      <c r="AE44" s="161"/>
      <c r="AF44" s="158" t="str">
        <f>IF(ROUND(AF43,2)&lt;&gt;ROUND(AF97,2),AF43-AF97,"")</f>
        <v/>
      </c>
      <c r="AG44" s="160" t="b">
        <f>AF44=""</f>
        <v>1</v>
      </c>
      <c r="AH44" s="161"/>
      <c r="AI44" s="11"/>
      <c r="AJ44" s="11"/>
      <c r="AK44" s="11"/>
      <c r="AL44" s="11"/>
      <c r="AM44" s="11"/>
      <c r="AN44" s="11"/>
      <c r="AO44" s="11"/>
    </row>
    <row r="45" spans="1:41" x14ac:dyDescent="0.35">
      <c r="A45" s="11"/>
      <c r="B45" s="11"/>
      <c r="C45" s="11"/>
      <c r="D45" s="11"/>
      <c r="E45" s="11"/>
      <c r="F45" s="11"/>
      <c r="G45" s="11"/>
      <c r="H45" s="11" t="s">
        <v>564</v>
      </c>
      <c r="I45" s="59" t="str">
        <f>IF(_epmOfflineCondition_,"B1",_xll.EVPRO($B$1,$H45,"STYLE"))</f>
        <v>B1</v>
      </c>
      <c r="J45" s="59" t="str">
        <f>IF(_epmOfflineCondition_,"Y",_xll.EVPRO($B$1,$H45,"CALC"))</f>
        <v>Y</v>
      </c>
      <c r="K45" s="11"/>
      <c r="L45" s="59"/>
      <c r="M45" s="105" t="str">
        <f>IF(_epmOfflineCondition_,"Departmental Expense",IF(_xll.EVDES(H45,$B$1)="#NODATA","",_xll.EVDES(H45,$B$1)))</f>
        <v>Departmental Expense</v>
      </c>
      <c r="N45" s="162"/>
      <c r="O45" s="163"/>
      <c r="P45" s="163"/>
      <c r="Q45" s="163"/>
      <c r="R45" s="163"/>
      <c r="S45" s="163"/>
      <c r="T45" s="163"/>
      <c r="U45" s="163"/>
      <c r="V45" s="163"/>
      <c r="W45" s="163"/>
      <c r="X45" s="163"/>
      <c r="Y45" s="163"/>
      <c r="Z45" s="163"/>
      <c r="AA45" s="164"/>
      <c r="AB45" s="140"/>
      <c r="AC45" s="162"/>
      <c r="AD45" s="163"/>
      <c r="AE45" s="164"/>
      <c r="AF45" s="162"/>
      <c r="AG45" s="163"/>
      <c r="AH45" s="164"/>
      <c r="AI45" s="11"/>
      <c r="AJ45" s="11"/>
      <c r="AK45" s="11"/>
      <c r="AL45" s="11"/>
      <c r="AM45" s="11"/>
      <c r="AN45" s="11"/>
      <c r="AO45" s="11"/>
    </row>
    <row r="46" spans="1:41" x14ac:dyDescent="0.35">
      <c r="A46" s="62" t="s">
        <v>0</v>
      </c>
      <c r="B46" s="63" t="s">
        <v>1</v>
      </c>
      <c r="C46" s="11"/>
      <c r="D46" s="11"/>
      <c r="E46" s="11"/>
      <c r="F46" s="11"/>
      <c r="G46" s="88" t="s">
        <v>60</v>
      </c>
      <c r="H46" s="88" t="s">
        <v>464</v>
      </c>
      <c r="I46" s="89" t="str">
        <f>IF(_epmOfflineCondition_,"T3",_xll.EVPRO($B$1,$H46,"STYLE"))</f>
        <v>T3</v>
      </c>
      <c r="J46" s="89" t="str">
        <f>IF(_epmOfflineCondition_,"Y",_xll.EVPRO($B$1,$H46,"CALC"))</f>
        <v>Y</v>
      </c>
      <c r="K46" s="107"/>
      <c r="L46" s="106"/>
      <c r="M46" s="90" t="str">
        <f>IF(_epmOfflineCondition_,"Rooms",IF(_xll.EVDES(G46,$B$1)="#NODATA","",_xll.EVDES(G46,$B$1)))</f>
        <v>Rooms</v>
      </c>
      <c r="N46" s="143">
        <v>153856.82</v>
      </c>
      <c r="O46" s="143">
        <v>149676.49</v>
      </c>
      <c r="P46" s="143">
        <v>224862.81</v>
      </c>
      <c r="Q46" s="143">
        <v>196765.79</v>
      </c>
      <c r="R46" s="143">
        <v>219565.3</v>
      </c>
      <c r="S46" s="143">
        <v>231516.48</v>
      </c>
      <c r="T46" s="143">
        <v>258313.69</v>
      </c>
      <c r="U46" s="143">
        <v>214232.45</v>
      </c>
      <c r="V46" s="143">
        <v>156923.23000000001</v>
      </c>
      <c r="W46" s="143">
        <v>192234.93</v>
      </c>
      <c r="X46" s="143">
        <v>229058.57</v>
      </c>
      <c r="Y46" s="143">
        <v>262775.40000000002</v>
      </c>
      <c r="Z46" s="143">
        <f>SUM(N46:Y46)</f>
        <v>2489781.9599999995</v>
      </c>
      <c r="AA46" s="144">
        <f>IF(Z46=0,"",IFERROR(Z46/Z39,""))</f>
        <v>0.26517353465577209</v>
      </c>
      <c r="AB46" s="140"/>
      <c r="AC46" s="143">
        <v>1854541.8046917301</v>
      </c>
      <c r="AD46" s="144">
        <f>IF(AC46=0,"",IFERROR(AC46/AC39,""))</f>
        <v>0.31210416481960479</v>
      </c>
      <c r="AE46" s="145">
        <f>IF(AND($Z46="",AC46=""),"",$Z46-AC46)</f>
        <v>635240.15530826943</v>
      </c>
      <c r="AF46" s="143">
        <v>1039824.8</v>
      </c>
      <c r="AG46" s="144">
        <f>IF(AF46=0,"",IFERROR(AF46/AF39,""))</f>
        <v>0.25558324668523158</v>
      </c>
      <c r="AH46" s="145">
        <f>IF(AND($Z46="",AF46=""),"",$Z46-AF46)</f>
        <v>1449957.1599999995</v>
      </c>
      <c r="AI46" s="622" t="str">
        <f>+IFERROR(ROUND(($AA46-AD46)*100,2)&amp;" pts.",0)</f>
        <v>-4.69 pts.</v>
      </c>
      <c r="AJ46" s="623"/>
      <c r="AK46" s="622" t="str">
        <f>+IFERROR(ROUND(($AA46-AG46)*100,2)&amp;" pts.",0)</f>
        <v>0.96 pts.</v>
      </c>
      <c r="AL46" s="623"/>
      <c r="AM46" s="11"/>
      <c r="AN46" s="11"/>
      <c r="AO46" s="11"/>
    </row>
    <row r="47" spans="1:41" x14ac:dyDescent="0.35">
      <c r="A47" s="65" t="s">
        <v>2</v>
      </c>
      <c r="B47" s="66" t="str">
        <f>IF(_epmOfflineCondition_,"'Summary'!$B$2:$B$10",_xll.EVRNG($B$2:$B$10))</f>
        <v>'Summary'!$B$2:$B$10</v>
      </c>
      <c r="C47" s="11"/>
      <c r="D47" s="11"/>
      <c r="E47" s="11"/>
      <c r="F47" s="11"/>
      <c r="G47" s="88" t="s">
        <v>358</v>
      </c>
      <c r="H47" s="88" t="s">
        <v>464</v>
      </c>
      <c r="I47" s="89" t="str">
        <f>IF(_epmOfflineCondition_,"T3",_xll.EVPRO($B$1,$H47,"STYLE"))</f>
        <v>T3</v>
      </c>
      <c r="J47" s="89" t="str">
        <f>IF(_epmOfflineCondition_,"Y",_xll.EVPRO($B$1,$H47,"CALC"))</f>
        <v>Y</v>
      </c>
      <c r="K47" s="107"/>
      <c r="L47" s="106"/>
      <c r="M47" s="90" t="str">
        <f>IF(_epmOfflineCondition_,"Food &amp; Beverage",IF(_xll.EVDES(G47,$B$1)="#NODATA","",_xll.EVDES(G47,$B$1)))</f>
        <v>Food &amp; Beverage</v>
      </c>
      <c r="N47" s="143">
        <v>64002.59</v>
      </c>
      <c r="O47" s="143">
        <v>100903.9</v>
      </c>
      <c r="P47" s="143">
        <v>129400.29</v>
      </c>
      <c r="Q47" s="143">
        <v>154606.35</v>
      </c>
      <c r="R47" s="143">
        <v>146091.95000000001</v>
      </c>
      <c r="S47" s="143">
        <v>126022.35</v>
      </c>
      <c r="T47" s="143">
        <v>152218.34</v>
      </c>
      <c r="U47" s="143">
        <v>131231.43</v>
      </c>
      <c r="V47" s="143">
        <v>130976.86</v>
      </c>
      <c r="W47" s="143">
        <v>145143.67000000001</v>
      </c>
      <c r="X47" s="143">
        <v>162877</v>
      </c>
      <c r="Y47" s="143">
        <v>193691.11</v>
      </c>
      <c r="Z47" s="143">
        <f>SUM(N47:Y47)</f>
        <v>1637165.8399999999</v>
      </c>
      <c r="AA47" s="144">
        <f>IF(Z47=0,"",IFERROR(Z47/Z40,""))</f>
        <v>1.0336004232673208</v>
      </c>
      <c r="AB47" s="140"/>
      <c r="AC47" s="143">
        <v>1273677.31335001</v>
      </c>
      <c r="AD47" s="144">
        <f>IF(AC47=0,"",IFERROR(AC47/AC40,""))</f>
        <v>0.83497679834097949</v>
      </c>
      <c r="AE47" s="145">
        <f>IF(AND($Z47="",AC47=""),"",$Z47-AC47)</f>
        <v>363488.52664998989</v>
      </c>
      <c r="AF47" s="143">
        <v>761691.48</v>
      </c>
      <c r="AG47" s="144">
        <f>IF(AF47=0,"",IFERROR(AF47/AF40,""))</f>
        <v>1.242085618961408</v>
      </c>
      <c r="AH47" s="145">
        <f>IF(AND($Z47="",AF47=""),"",$Z47-AF47)</f>
        <v>875474.35999999987</v>
      </c>
      <c r="AI47" s="622" t="str">
        <f>+IFERROR(ROUND(($AA47-AD47)*100,2)&amp;" pts.",0)</f>
        <v>19.86 pts.</v>
      </c>
      <c r="AJ47" s="623"/>
      <c r="AK47" s="622" t="str">
        <f>+IFERROR(ROUND(($AA47-AG47)*100,2)&amp;" pts.",0)</f>
        <v>-20.85 pts.</v>
      </c>
      <c r="AL47" s="623"/>
      <c r="AM47" s="11"/>
      <c r="AN47" s="11"/>
      <c r="AO47" s="11"/>
    </row>
    <row r="48" spans="1:41" x14ac:dyDescent="0.35">
      <c r="A48" s="65" t="s">
        <v>3</v>
      </c>
      <c r="B48" s="66" t="str">
        <f>IF(_epmOfflineCondition_,"'Summary'!$N$16:$AH$18",_xll.EVRNG(N16:AH18))</f>
        <v>'Summary'!$N$16:$AH$18</v>
      </c>
      <c r="C48" s="11"/>
      <c r="D48" s="11"/>
      <c r="E48" s="11"/>
      <c r="F48" s="11"/>
      <c r="G48" s="88" t="s">
        <v>463</v>
      </c>
      <c r="H48" s="88" t="s">
        <v>464</v>
      </c>
      <c r="I48" s="89" t="str">
        <f>IF(_epmOfflineCondition_,"T3",_xll.EVPRO($B$1,$H48,"STYLE"))</f>
        <v>T3</v>
      </c>
      <c r="J48" s="89" t="str">
        <f>IF(_epmOfflineCondition_,"Y",_xll.EVPRO($B$1,$H48,"CALC"))</f>
        <v>Y</v>
      </c>
      <c r="K48" s="107"/>
      <c r="L48" s="106"/>
      <c r="M48" s="90" t="str">
        <f>IF(_epmOfflineCondition_,"Other Operated Departments",IF(_xll.EVDES(G48,$B$1)="#NODATA","",_xll.EVDES(G48,$B$1)))</f>
        <v>Other Operated Departments</v>
      </c>
      <c r="N48" s="143">
        <v>451.57</v>
      </c>
      <c r="O48" s="143">
        <v>474.45</v>
      </c>
      <c r="P48" s="143">
        <v>173.26</v>
      </c>
      <c r="Q48" s="143">
        <v>1264.83</v>
      </c>
      <c r="R48" s="143">
        <v>1699.08</v>
      </c>
      <c r="S48" s="143">
        <v>439.54</v>
      </c>
      <c r="T48" s="143">
        <v>634.97</v>
      </c>
      <c r="U48" s="143">
        <v>134.88999999999999</v>
      </c>
      <c r="V48" s="143">
        <v>1021.36</v>
      </c>
      <c r="W48" s="143">
        <v>200.75</v>
      </c>
      <c r="X48" s="143">
        <v>542.35</v>
      </c>
      <c r="Y48" s="143">
        <v>2048</v>
      </c>
      <c r="Z48" s="143">
        <f>SUM(N48:Y48)</f>
        <v>9085.0499999999993</v>
      </c>
      <c r="AA48" s="144">
        <f>IF(Z48=0,"",IFERROR(Z48/Z41,""))</f>
        <v>0.46395258874927547</v>
      </c>
      <c r="AB48" s="140"/>
      <c r="AC48" s="143">
        <v>5764.9657500000003</v>
      </c>
      <c r="AD48" s="144">
        <f>IF(AC48=0,"",IFERROR(AC48/AC41,""))</f>
        <v>0.36578571428571433</v>
      </c>
      <c r="AE48" s="145">
        <f>IF(AND($Z48="",AC48=""),"",$Z48-AC48)</f>
        <v>3320.084249999999</v>
      </c>
      <c r="AF48" s="143">
        <v>61989.78</v>
      </c>
      <c r="AG48" s="144">
        <f>IF(AF48=0,"",IFERROR(AF48/AF41,""))</f>
        <v>0.90610621871134256</v>
      </c>
      <c r="AH48" s="145">
        <f>IF(AND($Z48="",AF48=""),"",$Z48-AF48)</f>
        <v>-52904.729999999996</v>
      </c>
      <c r="AI48" s="626" t="str">
        <f>+IFERROR(ROUND(($AA48-AD48)*100,2)&amp;" pts.",0)</f>
        <v>9.82 pts.</v>
      </c>
      <c r="AJ48" s="627"/>
      <c r="AK48" s="626" t="str">
        <f>+IFERROR(ROUND(($AA48-AG48)*100,2)&amp;" pts.",0)</f>
        <v>-44.22 pts.</v>
      </c>
      <c r="AL48" s="627"/>
      <c r="AM48" s="11"/>
      <c r="AN48" s="11"/>
      <c r="AO48" s="11"/>
    </row>
    <row r="49" spans="1:41" x14ac:dyDescent="0.35">
      <c r="A49" s="65" t="s">
        <v>4</v>
      </c>
      <c r="B49" s="66" t="str">
        <f>IF(_epmOfflineCondition_,"'Summary'!$G$93:$H$105",_xll.EVRNG(G93:H105))</f>
        <v>'Summary'!$G$93:$H$105</v>
      </c>
      <c r="C49" s="11"/>
      <c r="D49" s="11"/>
      <c r="E49" s="11"/>
      <c r="F49" s="11"/>
      <c r="G49" s="11"/>
      <c r="H49" s="11"/>
      <c r="I49" s="11"/>
      <c r="J49" s="11"/>
      <c r="K49" s="11"/>
      <c r="L49" s="11"/>
      <c r="M49" s="106" t="str">
        <f>"Total "&amp;M45</f>
        <v>Total Departmental Expense</v>
      </c>
      <c r="N49" s="154">
        <f t="shared" ref="N49:Y49" si="2">SUM(N46:N48)</f>
        <v>218310.98</v>
      </c>
      <c r="O49" s="154">
        <f t="shared" si="2"/>
        <v>251054.84</v>
      </c>
      <c r="P49" s="154">
        <f t="shared" si="2"/>
        <v>354436.36</v>
      </c>
      <c r="Q49" s="154">
        <f t="shared" si="2"/>
        <v>352636.97000000003</v>
      </c>
      <c r="R49" s="154">
        <f t="shared" si="2"/>
        <v>367356.33</v>
      </c>
      <c r="S49" s="154">
        <f t="shared" si="2"/>
        <v>357978.37</v>
      </c>
      <c r="T49" s="154">
        <f t="shared" si="2"/>
        <v>411167</v>
      </c>
      <c r="U49" s="154">
        <f t="shared" si="2"/>
        <v>345598.77</v>
      </c>
      <c r="V49" s="154">
        <f t="shared" si="2"/>
        <v>288921.45</v>
      </c>
      <c r="W49" s="154">
        <f t="shared" si="2"/>
        <v>337579.35</v>
      </c>
      <c r="X49" s="154">
        <f t="shared" si="2"/>
        <v>392477.92</v>
      </c>
      <c r="Y49" s="154">
        <f t="shared" si="2"/>
        <v>458514.51</v>
      </c>
      <c r="Z49" s="154">
        <f>SUM(N49:Y49)</f>
        <v>4136032.8500000006</v>
      </c>
      <c r="AA49" s="155">
        <f>IF(Z49=0,"",IFERROR(Z49/Z$43,""))</f>
        <v>0.34737533003774757</v>
      </c>
      <c r="AB49" s="140"/>
      <c r="AC49" s="154">
        <f>SUM(AC46:AC48)</f>
        <v>3133984.0837917398</v>
      </c>
      <c r="AD49" s="155">
        <f>IF(AC49=0,"",IFERROR(AC49/AC$43,""))</f>
        <v>0.37610811019762119</v>
      </c>
      <c r="AE49" s="156">
        <f>IF(AND($Z49="",AC49=""),"",$Z49-AC49)</f>
        <v>1002048.7662082608</v>
      </c>
      <c r="AF49" s="154">
        <f>SUM(AF46:AF48)</f>
        <v>1863506.06</v>
      </c>
      <c r="AG49" s="155">
        <f>IF(AF49=0,"",IFERROR(AF49/AF$43,""))</f>
        <v>0.35744917936543341</v>
      </c>
      <c r="AH49" s="156">
        <f>IF(AND($Z49="",AF49=""),"",$Z49-AF49)</f>
        <v>2272526.7900000005</v>
      </c>
      <c r="AI49" s="628" t="str">
        <f>+IFERROR(ROUND(($AA49-AD49)*100,2)&amp;" pts.",0)</f>
        <v>-2.87 pts.</v>
      </c>
      <c r="AJ49" s="629"/>
      <c r="AK49" s="628" t="str">
        <f>+IFERROR(ROUND(($AA49-AG49)*100,2)&amp;" pts.",0)</f>
        <v>-1.01 pts.</v>
      </c>
      <c r="AL49" s="629"/>
      <c r="AM49" s="11"/>
      <c r="AN49" s="11"/>
      <c r="AO49" s="11"/>
    </row>
    <row r="50" spans="1:41" x14ac:dyDescent="0.35">
      <c r="A50" s="65" t="s">
        <v>5</v>
      </c>
      <c r="B50" s="66"/>
      <c r="C50" s="11"/>
      <c r="D50" s="11"/>
      <c r="E50" s="11"/>
      <c r="F50" s="11"/>
      <c r="G50" s="11"/>
      <c r="H50" s="11"/>
      <c r="I50" s="11"/>
      <c r="J50" s="11"/>
      <c r="K50" s="11"/>
      <c r="L50" s="11">
        <f>COUNTIF(N50:AH50,FALSE)</f>
        <v>0</v>
      </c>
      <c r="M50" s="117" t="str">
        <f>IF(L50=0,"","Expense - database validation failed")</f>
        <v/>
      </c>
      <c r="N50" s="157" t="str">
        <f t="shared" ref="N50:Z50" si="3">IF(ROUND(N49,2)&lt;&gt;ROUND(N98,2),N49-N98,"")</f>
        <v/>
      </c>
      <c r="O50" s="158" t="str">
        <f t="shared" si="3"/>
        <v/>
      </c>
      <c r="P50" s="158" t="str">
        <f t="shared" si="3"/>
        <v/>
      </c>
      <c r="Q50" s="158" t="str">
        <f t="shared" si="3"/>
        <v/>
      </c>
      <c r="R50" s="158" t="str">
        <f t="shared" si="3"/>
        <v/>
      </c>
      <c r="S50" s="158" t="str">
        <f t="shared" si="3"/>
        <v/>
      </c>
      <c r="T50" s="158" t="str">
        <f t="shared" si="3"/>
        <v/>
      </c>
      <c r="U50" s="158" t="str">
        <f t="shared" si="3"/>
        <v/>
      </c>
      <c r="V50" s="158" t="str">
        <f t="shared" si="3"/>
        <v/>
      </c>
      <c r="W50" s="158" t="str">
        <f t="shared" si="3"/>
        <v/>
      </c>
      <c r="X50" s="158" t="str">
        <f t="shared" si="3"/>
        <v/>
      </c>
      <c r="Y50" s="158" t="str">
        <f t="shared" si="3"/>
        <v/>
      </c>
      <c r="Z50" s="158" t="str">
        <f t="shared" si="3"/>
        <v/>
      </c>
      <c r="AA50" s="165" t="b">
        <f>Z50=""</f>
        <v>1</v>
      </c>
      <c r="AB50" s="140"/>
      <c r="AC50" s="157" t="str">
        <f>IF(ROUND(AC49,2)&lt;&gt;ROUND(AC98,2),AC49-AC98,"")</f>
        <v/>
      </c>
      <c r="AD50" s="160" t="b">
        <f>AC50=""</f>
        <v>1</v>
      </c>
      <c r="AE50" s="161"/>
      <c r="AF50" s="157" t="str">
        <f>IF(ROUND(AF49,2)&lt;&gt;ROUND(AF98,2),AF49-AF98,"")</f>
        <v/>
      </c>
      <c r="AG50" s="160" t="b">
        <f>AF50=""</f>
        <v>1</v>
      </c>
      <c r="AH50" s="161"/>
      <c r="AI50" s="11"/>
      <c r="AJ50" s="11"/>
      <c r="AK50" s="11"/>
      <c r="AL50" s="11"/>
      <c r="AM50" s="11"/>
      <c r="AN50" s="11"/>
      <c r="AO50" s="11"/>
    </row>
    <row r="51" spans="1:41" x14ac:dyDescent="0.35">
      <c r="A51" s="65" t="s">
        <v>6</v>
      </c>
      <c r="B51" s="66"/>
      <c r="C51" s="11"/>
      <c r="D51" s="11"/>
      <c r="E51" s="11"/>
      <c r="F51" s="11"/>
      <c r="G51" s="88"/>
      <c r="H51" s="88"/>
      <c r="I51" s="122"/>
      <c r="J51" s="122"/>
      <c r="K51" s="11"/>
      <c r="L51" s="11"/>
      <c r="M51" s="106" t="s">
        <v>471</v>
      </c>
      <c r="N51" s="166">
        <f t="shared" ref="N51:Y51" si="4">N43-N49</f>
        <v>515491.30000000005</v>
      </c>
      <c r="O51" s="166">
        <f t="shared" si="4"/>
        <v>611153.90999999992</v>
      </c>
      <c r="P51" s="166">
        <f t="shared" si="4"/>
        <v>735376.14</v>
      </c>
      <c r="Q51" s="166">
        <f t="shared" si="4"/>
        <v>747833.52</v>
      </c>
      <c r="R51" s="166">
        <f t="shared" si="4"/>
        <v>878702.56999999983</v>
      </c>
      <c r="S51" s="166">
        <f t="shared" si="4"/>
        <v>713590.34</v>
      </c>
      <c r="T51" s="166">
        <f t="shared" si="4"/>
        <v>780908.00999999978</v>
      </c>
      <c r="U51" s="166">
        <f t="shared" si="4"/>
        <v>355557.51</v>
      </c>
      <c r="V51" s="166">
        <f t="shared" si="4"/>
        <v>284445.89999999997</v>
      </c>
      <c r="W51" s="166">
        <f t="shared" si="4"/>
        <v>405446.6</v>
      </c>
      <c r="X51" s="166">
        <f t="shared" si="4"/>
        <v>606209.35999999987</v>
      </c>
      <c r="Y51" s="166">
        <f t="shared" si="4"/>
        <v>1135776.4100000001</v>
      </c>
      <c r="Z51" s="166">
        <f>SUM(N51:Y51)</f>
        <v>7770491.5700000003</v>
      </c>
      <c r="AA51" s="167">
        <f>IF(Z51=0,"",IFERROR(Z51/Z43,""))</f>
        <v>0.65262466996225266</v>
      </c>
      <c r="AB51" s="140"/>
      <c r="AC51" s="166">
        <f>AC43-AC49</f>
        <v>5198684.1007497422</v>
      </c>
      <c r="AD51" s="167">
        <f>IF(AC51=0,"",IFERROR(AC51/AC43,""))</f>
        <v>0.62389188980237886</v>
      </c>
      <c r="AE51" s="168">
        <f>IF(AND($Z51="",AC51=""),"",$Z51-AC51)</f>
        <v>2571807.4692502581</v>
      </c>
      <c r="AF51" s="166">
        <f>AF43-AF49</f>
        <v>3349839.4100000006</v>
      </c>
      <c r="AG51" s="167">
        <f>IF(AF51=0,"",IFERROR(AF51/AF43,""))</f>
        <v>0.64255082063456659</v>
      </c>
      <c r="AH51" s="168">
        <f>IF(AND($Z51="",AF51=""),"",$Z51-AF51)</f>
        <v>4420652.16</v>
      </c>
      <c r="AI51" s="630" t="str">
        <f>+IFERROR(ROUND(($AA51-AD51)*100,2)&amp;" pts.",0)</f>
        <v>2.87 pts.</v>
      </c>
      <c r="AJ51" s="631"/>
      <c r="AK51" s="630" t="str">
        <f>+IFERROR(ROUND(($AA51-AG51)*100,2)&amp;" pts.",0)</f>
        <v>1.01 pts.</v>
      </c>
      <c r="AL51" s="631"/>
      <c r="AM51" s="11"/>
      <c r="AN51" s="11"/>
      <c r="AO51" s="11"/>
    </row>
    <row r="52" spans="1:41" x14ac:dyDescent="0.35">
      <c r="A52" s="65" t="s">
        <v>7</v>
      </c>
      <c r="B52" s="66"/>
      <c r="C52" s="11"/>
      <c r="D52" s="11"/>
      <c r="E52" s="11"/>
      <c r="F52" s="11"/>
      <c r="G52" s="11"/>
      <c r="H52" s="11"/>
      <c r="I52" s="11"/>
      <c r="J52" s="11"/>
      <c r="K52" s="11"/>
      <c r="L52" s="11">
        <f>COUNTIF(N52:AH52,FALSE)</f>
        <v>0</v>
      </c>
      <c r="M52" s="117" t="str">
        <f>IF(L52=0,"","Profit - database validation failed")</f>
        <v/>
      </c>
      <c r="N52" s="157" t="str">
        <f t="shared" ref="N52:Z52" si="5">IF(ROUND(N51,2)&lt;&gt;ROUND(N99,2),N51-N99,"")</f>
        <v/>
      </c>
      <c r="O52" s="158" t="str">
        <f t="shared" si="5"/>
        <v/>
      </c>
      <c r="P52" s="158" t="str">
        <f t="shared" si="5"/>
        <v/>
      </c>
      <c r="Q52" s="158" t="str">
        <f t="shared" si="5"/>
        <v/>
      </c>
      <c r="R52" s="158" t="str">
        <f t="shared" si="5"/>
        <v/>
      </c>
      <c r="S52" s="158" t="str">
        <f t="shared" si="5"/>
        <v/>
      </c>
      <c r="T52" s="158" t="str">
        <f t="shared" si="5"/>
        <v/>
      </c>
      <c r="U52" s="158" t="str">
        <f t="shared" si="5"/>
        <v/>
      </c>
      <c r="V52" s="158" t="str">
        <f t="shared" si="5"/>
        <v/>
      </c>
      <c r="W52" s="158" t="str">
        <f t="shared" si="5"/>
        <v/>
      </c>
      <c r="X52" s="158" t="str">
        <f t="shared" si="5"/>
        <v/>
      </c>
      <c r="Y52" s="158" t="str">
        <f t="shared" si="5"/>
        <v/>
      </c>
      <c r="Z52" s="158" t="str">
        <f t="shared" si="5"/>
        <v/>
      </c>
      <c r="AA52" s="165" t="b">
        <f>Z52=""</f>
        <v>1</v>
      </c>
      <c r="AB52" s="140"/>
      <c r="AC52" s="157" t="str">
        <f>IF(ROUND(AC51,2)&lt;&gt;ROUND(AC99,2),AC51-AC99,"")</f>
        <v/>
      </c>
      <c r="AD52" s="160" t="b">
        <f>AC52=""</f>
        <v>1</v>
      </c>
      <c r="AE52" s="161"/>
      <c r="AF52" s="157" t="str">
        <f>IF(ROUND(AF51,2)&lt;&gt;ROUND(AF99,2),AF51-AF99,"")</f>
        <v/>
      </c>
      <c r="AG52" s="160" t="b">
        <f>AF52=""</f>
        <v>1</v>
      </c>
      <c r="AH52" s="161"/>
      <c r="AI52" s="11"/>
      <c r="AJ52" s="11"/>
      <c r="AK52" s="11"/>
      <c r="AL52" s="11"/>
      <c r="AM52" s="11"/>
      <c r="AN52" s="11"/>
      <c r="AO52" s="11"/>
    </row>
    <row r="53" spans="1:41" x14ac:dyDescent="0.35">
      <c r="A53" s="65" t="s">
        <v>47</v>
      </c>
      <c r="B53" s="66" t="str">
        <f>IF(_epmOfflineCondition_,"'Summary'!$A$58:$B$79",_xll.EVRNG($A$58:$B$79))</f>
        <v>'Summary'!$A$58:$B$79</v>
      </c>
      <c r="C53" s="11"/>
      <c r="D53" s="11"/>
      <c r="E53" s="11"/>
      <c r="F53" s="11"/>
      <c r="G53" s="11"/>
      <c r="H53" s="11" t="s">
        <v>565</v>
      </c>
      <c r="I53" s="59" t="str">
        <f>IF(_epmOfflineCondition_,"B1",_xll.EVPRO($B$1,$H53,"STYLE"))</f>
        <v>B1</v>
      </c>
      <c r="J53" s="59" t="str">
        <f>IF(_epmOfflineCondition_,"Y",_xll.EVPRO($B$1,$H53,"CALC"))</f>
        <v>Y</v>
      </c>
      <c r="K53" s="11"/>
      <c r="L53" s="11"/>
      <c r="M53" s="105" t="str">
        <f>IF(_epmOfflineCondition_,"Undistributed Expenses",IF(_xll.EVDES(H53,$B$1)="#NODATA","",_xll.EVDES(H53,$B$1)))</f>
        <v>Undistributed Expenses</v>
      </c>
      <c r="N53" s="162"/>
      <c r="O53" s="163"/>
      <c r="P53" s="163"/>
      <c r="Q53" s="163"/>
      <c r="R53" s="163"/>
      <c r="S53" s="163"/>
      <c r="T53" s="163"/>
      <c r="U53" s="163"/>
      <c r="V53" s="163"/>
      <c r="W53" s="163"/>
      <c r="X53" s="163"/>
      <c r="Y53" s="163"/>
      <c r="Z53" s="163"/>
      <c r="AA53" s="164"/>
      <c r="AB53" s="140"/>
      <c r="AC53" s="162"/>
      <c r="AD53" s="163"/>
      <c r="AE53" s="164"/>
      <c r="AF53" s="162"/>
      <c r="AG53" s="163"/>
      <c r="AH53" s="164"/>
      <c r="AI53" s="11"/>
      <c r="AJ53" s="11"/>
      <c r="AK53" s="11"/>
      <c r="AL53" s="11"/>
      <c r="AM53" s="11"/>
      <c r="AN53" s="11"/>
      <c r="AO53" s="11"/>
    </row>
    <row r="54" spans="1:41" x14ac:dyDescent="0.35">
      <c r="A54" s="65" t="s">
        <v>8</v>
      </c>
      <c r="B54" s="66"/>
      <c r="C54" s="11"/>
      <c r="D54" s="11"/>
      <c r="E54" s="11"/>
      <c r="F54" s="11"/>
      <c r="G54" s="88" t="s">
        <v>497</v>
      </c>
      <c r="H54" s="88" t="s">
        <v>464</v>
      </c>
      <c r="I54" s="122" t="str">
        <f>IF(_epmOfflineCondition_,"T3",_xll.EVPRO($B$1,$H54,"STYLE"))</f>
        <v>T3</v>
      </c>
      <c r="J54" s="122" t="str">
        <f>IF(_epmOfflineCondition_,"Y",_xll.EVPRO($B$1,$H54,"CALC"))</f>
        <v>Y</v>
      </c>
      <c r="K54" s="11"/>
      <c r="L54" s="11"/>
      <c r="M54" s="90" t="str">
        <f>IF(_epmOfflineCondition_,"Administrative &amp; General",IF(_xll.EVDES(G54,$B$1)="#NODATA","",_xll.EVDES(G54,$B$1)))</f>
        <v>Administrative &amp; General</v>
      </c>
      <c r="N54" s="143">
        <v>69728.78</v>
      </c>
      <c r="O54" s="143">
        <v>79328.509999999995</v>
      </c>
      <c r="P54" s="143">
        <v>88565.5</v>
      </c>
      <c r="Q54" s="143">
        <v>93968.42</v>
      </c>
      <c r="R54" s="143">
        <v>92690.69</v>
      </c>
      <c r="S54" s="143">
        <v>90646.9</v>
      </c>
      <c r="T54" s="143">
        <v>95015.66</v>
      </c>
      <c r="U54" s="143">
        <v>80169.19</v>
      </c>
      <c r="V54" s="143">
        <v>68590.55</v>
      </c>
      <c r="W54" s="143">
        <v>108952.84</v>
      </c>
      <c r="X54" s="143">
        <v>99534.86</v>
      </c>
      <c r="Y54" s="143">
        <v>120249.03</v>
      </c>
      <c r="Z54" s="143">
        <f t="shared" ref="Z54:Z59" si="6">SUM(N54:Y54)</f>
        <v>1087440.93</v>
      </c>
      <c r="AA54" s="144">
        <f t="shared" ref="AA54:AA59" si="7">IF(Z54=0,"",IFERROR(Z54/Z$43,""))</f>
        <v>9.1331516372096785E-2</v>
      </c>
      <c r="AB54" s="140"/>
      <c r="AC54" s="143">
        <v>901901.202860274</v>
      </c>
      <c r="AD54" s="144">
        <f t="shared" ref="AD54:AD59" si="8">IF(AC54=0,"",IFERROR(AC54/AC$43,""))</f>
        <v>0.10823678357113203</v>
      </c>
      <c r="AE54" s="145">
        <f t="shared" ref="AE54:AE59" si="9">IF(AND($Z54="",AC54=""),"",$Z54-AC54)</f>
        <v>185539.72713972593</v>
      </c>
      <c r="AF54" s="143">
        <v>673951.1</v>
      </c>
      <c r="AG54" s="144">
        <f t="shared" ref="AG54:AG59" si="10">IF(AF54=0,"",IFERROR(AF54/AF$43,""))</f>
        <v>0.12927420672161977</v>
      </c>
      <c r="AH54" s="145">
        <f t="shared" ref="AH54:AH59" si="11">IF(AND($Z54="",AF54=""),"",$Z54-AF54)</f>
        <v>413489.82999999996</v>
      </c>
      <c r="AI54" s="622" t="str">
        <f t="shared" ref="AI54:AI59" si="12">+IFERROR(ROUND(($AA54-AD54)*100,2)&amp;" pts.",0)</f>
        <v>-1.69 pts.</v>
      </c>
      <c r="AJ54" s="623"/>
      <c r="AK54" s="622" t="str">
        <f t="shared" ref="AK54:AK59" si="13">+IFERROR(ROUND(($AA54-AG54)*100,2)&amp;" pts.",0)</f>
        <v>-3.79 pts.</v>
      </c>
      <c r="AL54" s="623"/>
      <c r="AM54" s="11"/>
      <c r="AN54" s="11"/>
      <c r="AO54" s="11"/>
    </row>
    <row r="55" spans="1:41" x14ac:dyDescent="0.35">
      <c r="A55" s="11"/>
      <c r="B55" s="11"/>
      <c r="C55" s="11"/>
      <c r="D55" s="11" t="s">
        <v>569</v>
      </c>
      <c r="E55" s="11"/>
      <c r="F55" s="11"/>
      <c r="G55" s="88" t="s">
        <v>500</v>
      </c>
      <c r="H55" s="88" t="s">
        <v>464</v>
      </c>
      <c r="I55" s="122" t="str">
        <f>IF(_epmOfflineCondition_,"T3",_xll.EVPRO($B$1,$H55,"STYLE"))</f>
        <v>T3</v>
      </c>
      <c r="J55" s="122" t="str">
        <f>IF(_epmOfflineCondition_,"Y",_xll.EVPRO($B$1,$H55,"CALC"))</f>
        <v>Y</v>
      </c>
      <c r="K55" s="11"/>
      <c r="L55" s="11"/>
      <c r="M55" s="90" t="str">
        <f>IF(_epmOfflineCondition_,"Information &amp; Telecom Systems",IF(_xll.EVDES(G55,$B$1)="#NODATA","",_xll.EVDES(G55,$B$1)))</f>
        <v>Information &amp; Telecom Systems</v>
      </c>
      <c r="N55" s="143">
        <v>26760.67</v>
      </c>
      <c r="O55" s="143">
        <v>16914.04</v>
      </c>
      <c r="P55" s="143">
        <v>18903.21</v>
      </c>
      <c r="Q55" s="143">
        <v>4661.1400000000003</v>
      </c>
      <c r="R55" s="143">
        <v>15661.61</v>
      </c>
      <c r="S55" s="143">
        <v>15895.3</v>
      </c>
      <c r="T55" s="143">
        <v>14704.58</v>
      </c>
      <c r="U55" s="143">
        <v>12850.48</v>
      </c>
      <c r="V55" s="143">
        <v>9838.23</v>
      </c>
      <c r="W55" s="143">
        <v>11750</v>
      </c>
      <c r="X55" s="143">
        <v>17450.560000000001</v>
      </c>
      <c r="Y55" s="143">
        <v>16717.22</v>
      </c>
      <c r="Z55" s="143">
        <f t="shared" si="6"/>
        <v>182107.04</v>
      </c>
      <c r="AA55" s="144">
        <f t="shared" si="7"/>
        <v>1.5294726956096903E-2</v>
      </c>
      <c r="AB55" s="140"/>
      <c r="AC55" s="143">
        <v>164138.652116065</v>
      </c>
      <c r="AD55" s="144">
        <f t="shared" si="8"/>
        <v>1.9698210522839509E-2</v>
      </c>
      <c r="AE55" s="145">
        <f t="shared" si="9"/>
        <v>17968.387883935007</v>
      </c>
      <c r="AF55" s="143">
        <v>124354.04</v>
      </c>
      <c r="AG55" s="144">
        <f t="shared" si="10"/>
        <v>2.3853021196387353E-2</v>
      </c>
      <c r="AH55" s="145">
        <f t="shared" si="11"/>
        <v>57753.000000000015</v>
      </c>
      <c r="AI55" s="622" t="str">
        <f t="shared" si="12"/>
        <v>-0.44 pts.</v>
      </c>
      <c r="AJ55" s="623"/>
      <c r="AK55" s="622" t="str">
        <f t="shared" si="13"/>
        <v>-0.86 pts.</v>
      </c>
      <c r="AL55" s="623"/>
      <c r="AM55" s="11"/>
      <c r="AN55" s="11"/>
      <c r="AO55" s="11"/>
    </row>
    <row r="56" spans="1:41" x14ac:dyDescent="0.35">
      <c r="A56" s="11"/>
      <c r="B56" s="11"/>
      <c r="C56" s="11"/>
      <c r="D56" s="11"/>
      <c r="E56" s="11"/>
      <c r="F56" s="11"/>
      <c r="G56" s="88" t="s">
        <v>512</v>
      </c>
      <c r="H56" s="88" t="s">
        <v>464</v>
      </c>
      <c r="I56" s="122" t="str">
        <f>IF(_epmOfflineCondition_,"T3",_xll.EVPRO($B$1,$H56,"STYLE"))</f>
        <v>T3</v>
      </c>
      <c r="J56" s="122" t="str">
        <f>IF(_epmOfflineCondition_,"Y",_xll.EVPRO($B$1,$H56,"CALC"))</f>
        <v>Y</v>
      </c>
      <c r="K56" s="11"/>
      <c r="L56" s="11"/>
      <c r="M56" s="90" t="str">
        <f>IF(_epmOfflineCondition_,"Sales &amp; Marketing",IF(_xll.EVDES(G56,$B$1)="#NODATA","",_xll.EVDES(G56,$B$1)))</f>
        <v>Sales &amp; Marketing</v>
      </c>
      <c r="N56" s="143">
        <v>49707.3</v>
      </c>
      <c r="O56" s="143">
        <v>57797.13</v>
      </c>
      <c r="P56" s="143">
        <v>70843.45</v>
      </c>
      <c r="Q56" s="143">
        <v>67854.66</v>
      </c>
      <c r="R56" s="143">
        <v>75548.259999999995</v>
      </c>
      <c r="S56" s="143">
        <v>84969.82</v>
      </c>
      <c r="T56" s="143">
        <v>74344.84</v>
      </c>
      <c r="U56" s="143">
        <v>48816.32</v>
      </c>
      <c r="V56" s="143">
        <v>60365.4</v>
      </c>
      <c r="W56" s="143">
        <v>67411.94</v>
      </c>
      <c r="X56" s="143">
        <v>59512.06</v>
      </c>
      <c r="Y56" s="143">
        <v>102415.1</v>
      </c>
      <c r="Z56" s="143">
        <f t="shared" si="6"/>
        <v>819586.27999999991</v>
      </c>
      <c r="AA56" s="144">
        <f t="shared" si="7"/>
        <v>6.8835056401790842E-2</v>
      </c>
      <c r="AB56" s="140"/>
      <c r="AC56" s="143">
        <v>698355.00784313597</v>
      </c>
      <c r="AD56" s="144">
        <f t="shared" si="8"/>
        <v>8.3809290418968493E-2</v>
      </c>
      <c r="AE56" s="145">
        <f t="shared" si="9"/>
        <v>121231.27215686394</v>
      </c>
      <c r="AF56" s="143">
        <v>511272.33</v>
      </c>
      <c r="AG56" s="144">
        <f t="shared" si="10"/>
        <v>9.8069911718319316E-2</v>
      </c>
      <c r="AH56" s="145">
        <f t="shared" si="11"/>
        <v>308313.9499999999</v>
      </c>
      <c r="AI56" s="622" t="str">
        <f t="shared" si="12"/>
        <v>-1.5 pts.</v>
      </c>
      <c r="AJ56" s="623"/>
      <c r="AK56" s="622" t="str">
        <f t="shared" si="13"/>
        <v>-2.92 pts.</v>
      </c>
      <c r="AL56" s="623"/>
      <c r="AM56" s="11"/>
      <c r="AN56" s="11"/>
      <c r="AO56" s="11"/>
    </row>
    <row r="57" spans="1:41" x14ac:dyDescent="0.35">
      <c r="A57" s="62" t="s">
        <v>23</v>
      </c>
      <c r="B57" s="63" t="s">
        <v>24</v>
      </c>
      <c r="C57" s="11"/>
      <c r="D57" s="11"/>
      <c r="E57" s="11"/>
      <c r="F57" s="11"/>
      <c r="G57" s="88" t="s">
        <v>513</v>
      </c>
      <c r="H57" s="88" t="s">
        <v>464</v>
      </c>
      <c r="I57" s="122" t="str">
        <f>IF(_epmOfflineCondition_,"T3",_xll.EVPRO($B$1,$H57,"STYLE"))</f>
        <v>T3</v>
      </c>
      <c r="J57" s="122" t="str">
        <f>IF(_epmOfflineCondition_,"Y",_xll.EVPRO($B$1,$H57,"CALC"))</f>
        <v>Y</v>
      </c>
      <c r="K57" s="11"/>
      <c r="L57" s="11"/>
      <c r="M57" s="90" t="str">
        <f>IF(_epmOfflineCondition_,"Property Operation &amp; Maintenance",IF(_xll.EVDES(G57,$B$1)="#NODATA","",_xll.EVDES(G57,$B$1)))</f>
        <v>Property Operation &amp; Maintenance</v>
      </c>
      <c r="N57" s="143">
        <v>40703.46</v>
      </c>
      <c r="O57" s="143">
        <v>51963.32</v>
      </c>
      <c r="P57" s="143">
        <v>56699.88</v>
      </c>
      <c r="Q57" s="143">
        <v>37249.93</v>
      </c>
      <c r="R57" s="143">
        <v>55603.360000000001</v>
      </c>
      <c r="S57" s="143">
        <v>51726.46</v>
      </c>
      <c r="T57" s="143">
        <v>62997.4</v>
      </c>
      <c r="U57" s="143">
        <v>53035.16</v>
      </c>
      <c r="V57" s="143">
        <v>48237.14</v>
      </c>
      <c r="W57" s="143">
        <v>58297.2</v>
      </c>
      <c r="X57" s="143">
        <v>64934.89</v>
      </c>
      <c r="Y57" s="143">
        <v>60702.559999999998</v>
      </c>
      <c r="Z57" s="143">
        <f t="shared" si="6"/>
        <v>642150.76</v>
      </c>
      <c r="AA57" s="144">
        <f t="shared" si="7"/>
        <v>5.3932679037834629E-2</v>
      </c>
      <c r="AB57" s="140"/>
      <c r="AC57" s="143">
        <v>539705.76302027504</v>
      </c>
      <c r="AD57" s="144">
        <f t="shared" si="8"/>
        <v>6.4769861353836361E-2</v>
      </c>
      <c r="AE57" s="145">
        <f t="shared" si="9"/>
        <v>102444.99697972497</v>
      </c>
      <c r="AF57" s="143">
        <v>350157.54</v>
      </c>
      <c r="AG57" s="144">
        <f t="shared" si="10"/>
        <v>6.7165612180310766E-2</v>
      </c>
      <c r="AH57" s="145">
        <f t="shared" si="11"/>
        <v>291993.22000000003</v>
      </c>
      <c r="AI57" s="622" t="str">
        <f t="shared" si="12"/>
        <v>-1.08 pts.</v>
      </c>
      <c r="AJ57" s="623"/>
      <c r="AK57" s="622" t="str">
        <f t="shared" si="13"/>
        <v>-1.32 pts.</v>
      </c>
      <c r="AL57" s="623"/>
      <c r="AM57" s="11"/>
      <c r="AN57" s="11"/>
      <c r="AO57" s="11"/>
    </row>
    <row r="58" spans="1:41" x14ac:dyDescent="0.35">
      <c r="A58" s="65" t="s">
        <v>25</v>
      </c>
      <c r="B58" s="66"/>
      <c r="C58" s="11"/>
      <c r="D58" s="11"/>
      <c r="E58" s="11"/>
      <c r="F58" s="11"/>
      <c r="G58" s="88" t="s">
        <v>514</v>
      </c>
      <c r="H58" s="88" t="s">
        <v>464</v>
      </c>
      <c r="I58" s="122" t="str">
        <f>IF(_epmOfflineCondition_,"T3",_xll.EVPRO($B$1,$H58,"STYLE"))</f>
        <v>T3</v>
      </c>
      <c r="J58" s="122" t="str">
        <f>IF(_epmOfflineCondition_,"Y",_xll.EVPRO($B$1,$H58,"CALC"))</f>
        <v>Y</v>
      </c>
      <c r="K58" s="11"/>
      <c r="L58" s="11"/>
      <c r="M58" s="90" t="str">
        <f>IF(_epmOfflineCondition_,"Utilities",IF(_xll.EVDES(G58,$B$1)="#NODATA","",_xll.EVDES(G58,$B$1)))</f>
        <v>Utilities</v>
      </c>
      <c r="N58" s="143">
        <v>13030.76</v>
      </c>
      <c r="O58" s="143">
        <v>10563.41</v>
      </c>
      <c r="P58" s="143">
        <v>17716.5</v>
      </c>
      <c r="Q58" s="143">
        <v>14766.79</v>
      </c>
      <c r="R58" s="143">
        <v>18282.87</v>
      </c>
      <c r="S58" s="143">
        <v>15608.78</v>
      </c>
      <c r="T58" s="143">
        <v>17989.27</v>
      </c>
      <c r="U58" s="143">
        <v>17816.02</v>
      </c>
      <c r="V58" s="143">
        <v>16458.96</v>
      </c>
      <c r="W58" s="143">
        <v>14728.34</v>
      </c>
      <c r="X58" s="143">
        <v>13371.37</v>
      </c>
      <c r="Y58" s="143">
        <v>19492.28</v>
      </c>
      <c r="Z58" s="143">
        <f t="shared" si="6"/>
        <v>189825.35</v>
      </c>
      <c r="AA58" s="144">
        <f t="shared" si="7"/>
        <v>1.5942969023029142E-2</v>
      </c>
      <c r="AB58" s="140"/>
      <c r="AC58" s="143">
        <v>233314.70916716199</v>
      </c>
      <c r="AD58" s="144">
        <f t="shared" si="8"/>
        <v>2.800000000000006E-2</v>
      </c>
      <c r="AE58" s="145">
        <f t="shared" si="9"/>
        <v>-43489.35916716198</v>
      </c>
      <c r="AF58" s="143">
        <v>143531.39000000001</v>
      </c>
      <c r="AG58" s="144">
        <f t="shared" si="10"/>
        <v>2.7531532453766199E-2</v>
      </c>
      <c r="AH58" s="145">
        <f t="shared" si="11"/>
        <v>46293.959999999992</v>
      </c>
      <c r="AI58" s="622" t="str">
        <f t="shared" si="12"/>
        <v>-1.21 pts.</v>
      </c>
      <c r="AJ58" s="623"/>
      <c r="AK58" s="622" t="str">
        <f t="shared" si="13"/>
        <v>-1.16 pts.</v>
      </c>
      <c r="AL58" s="623"/>
      <c r="AM58" s="11"/>
      <c r="AN58" s="11"/>
      <c r="AO58" s="11"/>
    </row>
    <row r="59" spans="1:41" x14ac:dyDescent="0.35">
      <c r="A59" s="65" t="s">
        <v>26</v>
      </c>
      <c r="B59" s="66"/>
      <c r="C59" s="11"/>
      <c r="D59" s="11"/>
      <c r="E59" s="11"/>
      <c r="F59" s="11"/>
      <c r="G59" s="11"/>
      <c r="H59" s="11"/>
      <c r="I59" s="11"/>
      <c r="J59" s="11"/>
      <c r="K59" s="11"/>
      <c r="L59" s="11"/>
      <c r="M59" s="106" t="str">
        <f>"Total "&amp;M53</f>
        <v>Total Undistributed Expenses</v>
      </c>
      <c r="N59" s="154">
        <f t="shared" ref="N59:Y59" si="14">SUM(N54:N58)</f>
        <v>199930.97</v>
      </c>
      <c r="O59" s="154">
        <f t="shared" si="14"/>
        <v>216566.41</v>
      </c>
      <c r="P59" s="154">
        <f t="shared" si="14"/>
        <v>252728.53999999998</v>
      </c>
      <c r="Q59" s="154">
        <f t="shared" si="14"/>
        <v>218500.94</v>
      </c>
      <c r="R59" s="154">
        <f t="shared" si="14"/>
        <v>257786.78999999998</v>
      </c>
      <c r="S59" s="154">
        <f t="shared" si="14"/>
        <v>258847.26</v>
      </c>
      <c r="T59" s="154">
        <f t="shared" si="14"/>
        <v>265051.75</v>
      </c>
      <c r="U59" s="154">
        <f t="shared" si="14"/>
        <v>212687.16999999998</v>
      </c>
      <c r="V59" s="154">
        <f t="shared" si="14"/>
        <v>203490.28</v>
      </c>
      <c r="W59" s="154">
        <f t="shared" si="14"/>
        <v>261140.31999999998</v>
      </c>
      <c r="X59" s="154">
        <f t="shared" si="14"/>
        <v>254803.74</v>
      </c>
      <c r="Y59" s="154">
        <f t="shared" si="14"/>
        <v>319576.19000000006</v>
      </c>
      <c r="Z59" s="154">
        <f t="shared" si="6"/>
        <v>2921110.36</v>
      </c>
      <c r="AA59" s="155">
        <f t="shared" si="7"/>
        <v>0.2453369477908483</v>
      </c>
      <c r="AB59" s="140"/>
      <c r="AC59" s="154">
        <f>SUM(AC54:AC58)</f>
        <v>2537415.3350069122</v>
      </c>
      <c r="AD59" s="155">
        <f t="shared" si="8"/>
        <v>0.3045141458667765</v>
      </c>
      <c r="AE59" s="156">
        <f t="shared" si="9"/>
        <v>383695.02499308763</v>
      </c>
      <c r="AF59" s="154">
        <f>SUM(AF54:AF58)</f>
        <v>1803266.4</v>
      </c>
      <c r="AG59" s="155">
        <f t="shared" si="10"/>
        <v>0.34589428427040336</v>
      </c>
      <c r="AH59" s="156">
        <f t="shared" si="11"/>
        <v>1117843.96</v>
      </c>
      <c r="AI59" s="628" t="str">
        <f t="shared" si="12"/>
        <v>-5.92 pts.</v>
      </c>
      <c r="AJ59" s="629"/>
      <c r="AK59" s="628" t="str">
        <f t="shared" si="13"/>
        <v>-10.06 pts.</v>
      </c>
      <c r="AL59" s="629"/>
      <c r="AM59" s="11"/>
      <c r="AN59" s="11"/>
      <c r="AO59" s="11"/>
    </row>
    <row r="60" spans="1:41" x14ac:dyDescent="0.35">
      <c r="A60" s="65" t="s">
        <v>27</v>
      </c>
      <c r="B60" s="66"/>
      <c r="C60" s="11"/>
      <c r="D60" s="11"/>
      <c r="E60" s="11"/>
      <c r="F60" s="11"/>
      <c r="G60" s="106"/>
      <c r="H60" s="106"/>
      <c r="I60" s="106"/>
      <c r="J60" s="106"/>
      <c r="K60" s="11"/>
      <c r="L60" s="11">
        <f>COUNTIF(N60:AH60,FALSE)</f>
        <v>0</v>
      </c>
      <c r="M60" s="117" t="str">
        <f>IF(L60=0,"","Expense - database validation failed")</f>
        <v/>
      </c>
      <c r="N60" s="157" t="str">
        <f t="shared" ref="N60:Z60" si="15">IF(ROUND(N59,2)&lt;&gt;ROUND(N100,2),N59-N100,"")</f>
        <v/>
      </c>
      <c r="O60" s="158" t="str">
        <f t="shared" si="15"/>
        <v/>
      </c>
      <c r="P60" s="158" t="str">
        <f t="shared" si="15"/>
        <v/>
      </c>
      <c r="Q60" s="158" t="str">
        <f t="shared" si="15"/>
        <v/>
      </c>
      <c r="R60" s="158" t="str">
        <f t="shared" si="15"/>
        <v/>
      </c>
      <c r="S60" s="158" t="str">
        <f t="shared" si="15"/>
        <v/>
      </c>
      <c r="T60" s="158" t="str">
        <f t="shared" si="15"/>
        <v/>
      </c>
      <c r="U60" s="158" t="str">
        <f t="shared" si="15"/>
        <v/>
      </c>
      <c r="V60" s="158" t="str">
        <f t="shared" si="15"/>
        <v/>
      </c>
      <c r="W60" s="158" t="str">
        <f t="shared" si="15"/>
        <v/>
      </c>
      <c r="X60" s="158" t="str">
        <f t="shared" si="15"/>
        <v/>
      </c>
      <c r="Y60" s="158" t="str">
        <f t="shared" si="15"/>
        <v/>
      </c>
      <c r="Z60" s="158" t="str">
        <f t="shared" si="15"/>
        <v/>
      </c>
      <c r="AA60" s="165" t="b">
        <f>Z60=""</f>
        <v>1</v>
      </c>
      <c r="AB60" s="140"/>
      <c r="AC60" s="157" t="str">
        <f>IF(ROUND(AC59,2)&lt;&gt;ROUND(AC100,2),AC59-AC100,"")</f>
        <v/>
      </c>
      <c r="AD60" s="160" t="b">
        <f>AC60=""</f>
        <v>1</v>
      </c>
      <c r="AE60" s="161"/>
      <c r="AF60" s="157" t="str">
        <f>IF(ROUND(AF59,2)&lt;&gt;ROUND(AF100,2),AF59-AF100,"")</f>
        <v/>
      </c>
      <c r="AG60" s="160" t="b">
        <f>AF60=""</f>
        <v>1</v>
      </c>
      <c r="AH60" s="161"/>
      <c r="AI60" s="11"/>
      <c r="AJ60" s="11"/>
      <c r="AK60" s="11"/>
      <c r="AL60" s="11"/>
      <c r="AM60" s="11"/>
      <c r="AN60" s="11"/>
      <c r="AO60" s="11"/>
    </row>
    <row r="61" spans="1:41" ht="15" thickBot="1" x14ac:dyDescent="0.4">
      <c r="A61" s="65" t="s">
        <v>28</v>
      </c>
      <c r="B61" s="66"/>
      <c r="C61" s="11"/>
      <c r="D61" s="11"/>
      <c r="E61" s="11"/>
      <c r="F61" s="88" t="s">
        <v>567</v>
      </c>
      <c r="G61" s="11"/>
      <c r="H61" s="11"/>
      <c r="I61" s="11"/>
      <c r="J61" s="11"/>
      <c r="K61" s="11"/>
      <c r="L61" s="11"/>
      <c r="M61" s="106" t="str">
        <f>IF(_epmOfflineCondition_,"Gross Operating Profit",IF(_xll.EVDES(F61,$B$1)="#NODATA","",_xll.EVDES(F61,$B$1)))</f>
        <v>Gross Operating Profit</v>
      </c>
      <c r="N61" s="169">
        <f t="shared" ref="N61:Y61" si="16">N43-N49-N59</f>
        <v>315560.33000000007</v>
      </c>
      <c r="O61" s="169">
        <f t="shared" si="16"/>
        <v>394587.49999999988</v>
      </c>
      <c r="P61" s="169">
        <f t="shared" si="16"/>
        <v>482647.60000000003</v>
      </c>
      <c r="Q61" s="169">
        <f t="shared" si="16"/>
        <v>529332.58000000007</v>
      </c>
      <c r="R61" s="169">
        <f t="shared" si="16"/>
        <v>620915.7799999998</v>
      </c>
      <c r="S61" s="169">
        <f t="shared" si="16"/>
        <v>454743.07999999996</v>
      </c>
      <c r="T61" s="169">
        <f t="shared" si="16"/>
        <v>515856.25999999978</v>
      </c>
      <c r="U61" s="169">
        <f t="shared" si="16"/>
        <v>142870.34000000003</v>
      </c>
      <c r="V61" s="169">
        <f t="shared" si="16"/>
        <v>80955.619999999966</v>
      </c>
      <c r="W61" s="169">
        <f t="shared" si="16"/>
        <v>144306.28</v>
      </c>
      <c r="X61" s="169">
        <f t="shared" si="16"/>
        <v>351405.61999999988</v>
      </c>
      <c r="Y61" s="169">
        <f t="shared" si="16"/>
        <v>816200.22000000009</v>
      </c>
      <c r="Z61" s="169">
        <f>SUM(N61:Y61)</f>
        <v>4849381.209999999</v>
      </c>
      <c r="AA61" s="170">
        <f>IF(Z61=0,"",IFERROR(Z61/Z$43,""))</f>
        <v>0.40728772217140424</v>
      </c>
      <c r="AB61" s="140"/>
      <c r="AC61" s="169">
        <f>AC43-AC49-AC59</f>
        <v>2661268.76574283</v>
      </c>
      <c r="AD61" s="170">
        <f>IF(AC61=0,"",IFERROR(AC61/AC$43,""))</f>
        <v>0.31937774393560237</v>
      </c>
      <c r="AE61" s="171">
        <f>IF(AND($Z61="",AC61=""),"",$Z61-AC61)</f>
        <v>2188112.444257169</v>
      </c>
      <c r="AF61" s="169">
        <f>AF43-AF49-AF59</f>
        <v>1546573.0100000007</v>
      </c>
      <c r="AG61" s="170">
        <f>IF(AF61=0,"",IFERROR(AF61/AF$43,""))</f>
        <v>0.29665653636416323</v>
      </c>
      <c r="AH61" s="171">
        <f>IF(AND($Z61="",AF61=""),"",$Z61-AF61)</f>
        <v>3302808.1999999983</v>
      </c>
      <c r="AI61" s="632" t="str">
        <f>+IFERROR(ROUND(($AA61-AD61)*100,2)&amp;" pts.",0)</f>
        <v>8.79 pts.</v>
      </c>
      <c r="AJ61" s="633"/>
      <c r="AK61" s="632" t="str">
        <f>+IFERROR(ROUND(($AA61-AG61)*100,2)&amp;" pts.",0)</f>
        <v>11.06 pts.</v>
      </c>
      <c r="AL61" s="633"/>
      <c r="AM61" s="11"/>
      <c r="AN61" s="11"/>
      <c r="AO61" s="11"/>
    </row>
    <row r="62" spans="1:41" ht="15" thickTop="1" x14ac:dyDescent="0.35">
      <c r="A62" s="65" t="s">
        <v>29</v>
      </c>
      <c r="B62" s="66"/>
      <c r="C62" s="11"/>
      <c r="D62" s="11"/>
      <c r="E62" s="11"/>
      <c r="F62" s="11"/>
      <c r="G62" s="11"/>
      <c r="H62" s="11"/>
      <c r="I62" s="11"/>
      <c r="J62" s="11"/>
      <c r="K62" s="11"/>
      <c r="L62" s="11">
        <f>COUNTIF(N62:AH62,FALSE)</f>
        <v>0</v>
      </c>
      <c r="M62" s="117" t="str">
        <f>IF(L62=0,"","GOP - database validation failed")</f>
        <v/>
      </c>
      <c r="N62" s="157" t="str">
        <f t="shared" ref="N62:Z62" si="17">IF(ROUND(N61,2)&lt;&gt;ROUND(N101,2),N61-N101,"")</f>
        <v/>
      </c>
      <c r="O62" s="158" t="str">
        <f t="shared" si="17"/>
        <v/>
      </c>
      <c r="P62" s="158" t="str">
        <f t="shared" si="17"/>
        <v/>
      </c>
      <c r="Q62" s="158" t="str">
        <f t="shared" si="17"/>
        <v/>
      </c>
      <c r="R62" s="158" t="str">
        <f t="shared" si="17"/>
        <v/>
      </c>
      <c r="S62" s="158" t="str">
        <f t="shared" si="17"/>
        <v/>
      </c>
      <c r="T62" s="158" t="str">
        <f t="shared" si="17"/>
        <v/>
      </c>
      <c r="U62" s="158" t="str">
        <f t="shared" si="17"/>
        <v/>
      </c>
      <c r="V62" s="158" t="str">
        <f t="shared" si="17"/>
        <v/>
      </c>
      <c r="W62" s="158" t="str">
        <f t="shared" si="17"/>
        <v/>
      </c>
      <c r="X62" s="158" t="str">
        <f t="shared" si="17"/>
        <v/>
      </c>
      <c r="Y62" s="158" t="str">
        <f t="shared" si="17"/>
        <v/>
      </c>
      <c r="Z62" s="158" t="str">
        <f t="shared" si="17"/>
        <v/>
      </c>
      <c r="AA62" s="165" t="b">
        <f>Z62=""</f>
        <v>1</v>
      </c>
      <c r="AB62" s="140"/>
      <c r="AC62" s="157" t="str">
        <f>IF(ROUND(AC61,2)&lt;&gt;ROUND(AC101,2),AC61-AC101,"")</f>
        <v/>
      </c>
      <c r="AD62" s="160" t="b">
        <f>AC62=""</f>
        <v>1</v>
      </c>
      <c r="AE62" s="161"/>
      <c r="AF62" s="157" t="str">
        <f>IF(ROUND(AF61,2)&lt;&gt;ROUND(AF101,2),AF61-AF101,"")</f>
        <v/>
      </c>
      <c r="AG62" s="160" t="b">
        <f>AF62=""</f>
        <v>1</v>
      </c>
      <c r="AH62" s="161"/>
      <c r="AI62" s="11"/>
      <c r="AJ62" s="11"/>
      <c r="AK62" s="11"/>
      <c r="AL62" s="11"/>
      <c r="AM62" s="11"/>
      <c r="AN62" s="11"/>
      <c r="AO62" s="11"/>
    </row>
    <row r="63" spans="1:41" x14ac:dyDescent="0.35">
      <c r="A63" s="65" t="s">
        <v>30</v>
      </c>
      <c r="B63" s="66" t="s">
        <v>78</v>
      </c>
      <c r="C63" s="11"/>
      <c r="D63" s="11"/>
      <c r="E63" s="11"/>
      <c r="F63" s="11"/>
      <c r="G63" s="88" t="s">
        <v>516</v>
      </c>
      <c r="H63" s="88" t="s">
        <v>79</v>
      </c>
      <c r="I63" s="122" t="str">
        <f>IF(_epmOfflineCondition_,"T3",_xll.EVPRO($B$1,$H63,"STYLE"))</f>
        <v>T3</v>
      </c>
      <c r="J63" s="122" t="str">
        <f>IF(_epmOfflineCondition_,"Y",_xll.EVPRO($B$1,$H63,"CALC"))</f>
        <v>Y</v>
      </c>
      <c r="K63" s="11"/>
      <c r="L63" s="11"/>
      <c r="M63" s="90" t="str">
        <f>IF(_epmOfflineCondition_,"Management Fees",IF(_xll.EVDES(G63,$B$1)="#NODATA","",_xll.EVDES(G63,$B$1)))</f>
        <v>Management Fees</v>
      </c>
      <c r="N63" s="143">
        <v>23392.05</v>
      </c>
      <c r="O63" s="143">
        <v>27392.42</v>
      </c>
      <c r="P63" s="143">
        <v>35007.519999999997</v>
      </c>
      <c r="Q63" s="143">
        <v>34620.400000000001</v>
      </c>
      <c r="R63" s="143">
        <v>39547.480000000003</v>
      </c>
      <c r="S63" s="143">
        <v>33491.18</v>
      </c>
      <c r="T63" s="143">
        <v>38537.96</v>
      </c>
      <c r="U63" s="143">
        <v>24552.51</v>
      </c>
      <c r="V63" s="143">
        <v>18231.64</v>
      </c>
      <c r="W63" s="143">
        <v>23723.67</v>
      </c>
      <c r="X63" s="143">
        <v>29131.19</v>
      </c>
      <c r="Y63" s="143">
        <v>42480.82</v>
      </c>
      <c r="Z63" s="143">
        <f>SUM(N63:Y63)</f>
        <v>370108.83999999997</v>
      </c>
      <c r="AA63" s="144">
        <f>IF(Z63=0,"",IFERROR(Z63/Z$43,""))</f>
        <v>3.1084540453997576E-2</v>
      </c>
      <c r="AB63" s="140"/>
      <c r="AC63" s="143">
        <v>275178.260580328</v>
      </c>
      <c r="AD63" s="144">
        <f>IF(AC63=0,"",IFERROR(AC63/AC$43,""))</f>
        <v>3.3024027176652794E-2</v>
      </c>
      <c r="AE63" s="145">
        <f>IF(AND($Z63="",AC63=""),"",$Z63-AC63)</f>
        <v>94930.579419671965</v>
      </c>
      <c r="AF63" s="143">
        <v>166266.94</v>
      </c>
      <c r="AG63" s="144">
        <f>IF(AF63=0,"",IFERROR(AF63/AF$43,""))</f>
        <v>3.189256130382627E-2</v>
      </c>
      <c r="AH63" s="145">
        <f>IF(AND($Z63="",AF63=""),"",$Z63-AF63)</f>
        <v>203841.89999999997</v>
      </c>
      <c r="AI63" s="622" t="str">
        <f>+IFERROR(ROUND(($AA63-AD63)*100,2)&amp;" pts.",0)</f>
        <v>-0.19 pts.</v>
      </c>
      <c r="AJ63" s="623"/>
      <c r="AK63" s="622" t="str">
        <f>+IFERROR(ROUND(($AA63-AG63)*100,2)&amp;" pts.",0)</f>
        <v>-0.08 pts.</v>
      </c>
      <c r="AL63" s="623"/>
      <c r="AM63" s="11"/>
      <c r="AN63" s="11"/>
      <c r="AO63" s="11"/>
    </row>
    <row r="64" spans="1:41" x14ac:dyDescent="0.35">
      <c r="A64" s="65" t="s">
        <v>31</v>
      </c>
      <c r="B64" s="66" t="s">
        <v>78</v>
      </c>
      <c r="C64" s="11"/>
      <c r="D64" s="11"/>
      <c r="E64" s="11"/>
      <c r="F64" s="88" t="s">
        <v>574</v>
      </c>
      <c r="G64" s="11"/>
      <c r="H64" s="11"/>
      <c r="I64" s="11"/>
      <c r="J64" s="11"/>
      <c r="K64" s="11"/>
      <c r="L64" s="11"/>
      <c r="M64" s="106" t="str">
        <f>IF(_epmOfflineCondition_,"Income Before Non-Operataing Inc. &amp; Exp.",IF(_xll.EVDES(F64,$B$1)="#NODATA","",_xll.EVDES(F64,$B$1)))</f>
        <v>Income Before Non-Operataing Inc. &amp; Exp.</v>
      </c>
      <c r="N64" s="166">
        <f t="shared" ref="N64:Y64" si="18">N61-N63</f>
        <v>292168.28000000009</v>
      </c>
      <c r="O64" s="166">
        <f t="shared" si="18"/>
        <v>367195.0799999999</v>
      </c>
      <c r="P64" s="166">
        <f t="shared" si="18"/>
        <v>447640.08</v>
      </c>
      <c r="Q64" s="166">
        <f t="shared" si="18"/>
        <v>494712.18000000005</v>
      </c>
      <c r="R64" s="166">
        <f t="shared" si="18"/>
        <v>581368.29999999981</v>
      </c>
      <c r="S64" s="166">
        <f t="shared" si="18"/>
        <v>421251.89999999997</v>
      </c>
      <c r="T64" s="166">
        <f t="shared" si="18"/>
        <v>477318.29999999976</v>
      </c>
      <c r="U64" s="166">
        <f t="shared" si="18"/>
        <v>118317.83000000003</v>
      </c>
      <c r="V64" s="166">
        <f t="shared" si="18"/>
        <v>62723.979999999967</v>
      </c>
      <c r="W64" s="166">
        <f t="shared" si="18"/>
        <v>120582.61</v>
      </c>
      <c r="X64" s="166">
        <f t="shared" si="18"/>
        <v>322274.42999999988</v>
      </c>
      <c r="Y64" s="166">
        <f t="shared" si="18"/>
        <v>773719.40000000014</v>
      </c>
      <c r="Z64" s="166">
        <f>SUM(N64:Y64)</f>
        <v>4479272.3699999992</v>
      </c>
      <c r="AA64" s="167">
        <f>IF(Z64=0,"",IFERROR(Z64/Z$43,""))</f>
        <v>0.37620318171740663</v>
      </c>
      <c r="AB64" s="140"/>
      <c r="AC64" s="166">
        <f>AC61-AC63</f>
        <v>2386090.5051625022</v>
      </c>
      <c r="AD64" s="167">
        <f>IF(AC64=0,"",IFERROR(AC64/AC$43,""))</f>
        <v>0.28635371675894961</v>
      </c>
      <c r="AE64" s="168">
        <f>IF(AND($Z64="",AC64=""),"",$Z64-AC64)</f>
        <v>2093181.864837497</v>
      </c>
      <c r="AF64" s="166">
        <f>AF61-AF63</f>
        <v>1380306.0700000008</v>
      </c>
      <c r="AG64" s="167">
        <f>IF(AF64=0,"",IFERROR(AF64/AF$43,""))</f>
        <v>0.26476397506033694</v>
      </c>
      <c r="AH64" s="168">
        <f>IF(AND($Z64="",AF64=""),"",$Z64-AF64)</f>
        <v>3098966.2999999984</v>
      </c>
      <c r="AI64" s="630" t="str">
        <f>+IFERROR(ROUND(($AA64-AD64)*100,2)&amp;" pts.",0)</f>
        <v>8.98 pts.</v>
      </c>
      <c r="AJ64" s="631"/>
      <c r="AK64" s="630" t="str">
        <f>+IFERROR(ROUND(($AA64-AG64)*100,2)&amp;" pts.",0)</f>
        <v>11.14 pts.</v>
      </c>
      <c r="AL64" s="631"/>
      <c r="AM64" s="11"/>
      <c r="AN64" s="11"/>
      <c r="AO64" s="11"/>
    </row>
    <row r="65" spans="1:41" x14ac:dyDescent="0.35">
      <c r="A65" s="65" t="s">
        <v>32</v>
      </c>
      <c r="B65" s="66"/>
      <c r="C65" s="11"/>
      <c r="D65" s="11"/>
      <c r="E65" s="11"/>
      <c r="F65" s="11"/>
      <c r="G65" s="11"/>
      <c r="H65" s="11"/>
      <c r="I65" s="11"/>
      <c r="J65" s="11"/>
      <c r="K65" s="11"/>
      <c r="L65" s="11"/>
      <c r="M65" s="117"/>
      <c r="N65" s="172"/>
      <c r="O65" s="173"/>
      <c r="P65" s="173"/>
      <c r="Q65" s="173"/>
      <c r="R65" s="173"/>
      <c r="S65" s="173"/>
      <c r="T65" s="173"/>
      <c r="U65" s="173"/>
      <c r="V65" s="173"/>
      <c r="W65" s="173"/>
      <c r="X65" s="173"/>
      <c r="Y65" s="173"/>
      <c r="Z65" s="173"/>
      <c r="AA65" s="165"/>
      <c r="AB65" s="140"/>
      <c r="AC65" s="172"/>
      <c r="AD65" s="160"/>
      <c r="AE65" s="161"/>
      <c r="AF65" s="172"/>
      <c r="AG65" s="160"/>
      <c r="AH65" s="161"/>
      <c r="AI65" s="11"/>
      <c r="AJ65" s="11"/>
      <c r="AK65" s="11"/>
      <c r="AL65" s="11"/>
      <c r="AM65" s="11"/>
      <c r="AN65" s="11"/>
      <c r="AO65" s="11"/>
    </row>
    <row r="66" spans="1:41" x14ac:dyDescent="0.35">
      <c r="A66" s="65" t="s">
        <v>33</v>
      </c>
      <c r="B66" s="66"/>
      <c r="C66" s="11"/>
      <c r="D66" s="11"/>
      <c r="E66" s="11"/>
      <c r="F66" s="11"/>
      <c r="G66" s="11"/>
      <c r="H66" s="11" t="s">
        <v>575</v>
      </c>
      <c r="I66" s="59" t="str">
        <f>IF(_epmOfflineCondition_,"B1",_xll.EVPRO($B$1,$H66,"STYLE"))</f>
        <v>B1</v>
      </c>
      <c r="J66" s="59" t="str">
        <f>IF(_epmOfflineCondition_,"Y",_xll.EVPRO($B$1,$H66,"CALC"))</f>
        <v>Y</v>
      </c>
      <c r="K66" s="11"/>
      <c r="L66" s="11"/>
      <c r="M66" s="105" t="str">
        <f>IF(_epmOfflineCondition_,"Non-Operating Income &amp; Expenses",IF(_xll.EVDES(H66,$B$1)="#NODATA","",_xll.EVDES(H66,$B$1)))</f>
        <v>Non-Operating Income &amp; Expenses</v>
      </c>
      <c r="N66" s="162"/>
      <c r="O66" s="163"/>
      <c r="P66" s="163"/>
      <c r="Q66" s="163"/>
      <c r="R66" s="163"/>
      <c r="S66" s="163"/>
      <c r="T66" s="163"/>
      <c r="U66" s="163"/>
      <c r="V66" s="163"/>
      <c r="W66" s="163"/>
      <c r="X66" s="163"/>
      <c r="Y66" s="163"/>
      <c r="Z66" s="163"/>
      <c r="AA66" s="164"/>
      <c r="AB66" s="140"/>
      <c r="AC66" s="162"/>
      <c r="AD66" s="163"/>
      <c r="AE66" s="164"/>
      <c r="AF66" s="162"/>
      <c r="AG66" s="163"/>
      <c r="AH66" s="164"/>
      <c r="AI66" s="11"/>
      <c r="AJ66" s="11"/>
      <c r="AK66" s="11"/>
      <c r="AL66" s="11"/>
      <c r="AM66" s="11"/>
      <c r="AN66" s="11"/>
      <c r="AO66" s="11"/>
    </row>
    <row r="67" spans="1:41" x14ac:dyDescent="0.35">
      <c r="A67" s="65" t="s">
        <v>34</v>
      </c>
      <c r="B67" s="66"/>
      <c r="C67" s="11"/>
      <c r="D67" s="11"/>
      <c r="E67" s="11"/>
      <c r="F67" s="11"/>
      <c r="G67" s="88" t="s">
        <v>519</v>
      </c>
      <c r="H67" s="88" t="s">
        <v>525</v>
      </c>
      <c r="I67" s="122" t="str">
        <f>IF(_epmOfflineCondition_,"T3",_xll.EVPRO($B$1,$H67,"STYLE"))</f>
        <v>T3</v>
      </c>
      <c r="J67" s="122" t="str">
        <f>IF(_epmOfflineCondition_,"Y",_xll.EVPRO($B$1,$H67,"CALC"))</f>
        <v>Y</v>
      </c>
      <c r="K67" s="11"/>
      <c r="L67" s="11"/>
      <c r="M67" s="90" t="str">
        <f>IF(_epmOfflineCondition_,"Income ",IF(_xll.EVDES(H67,$B$1)="#NODATA","",REPLACE(_xll.EVDES(H67,$B$1),1,6,"")))</f>
        <v xml:space="preserve">Income </v>
      </c>
      <c r="N67" s="143"/>
      <c r="O67" s="143"/>
      <c r="P67" s="143"/>
      <c r="Q67" s="143"/>
      <c r="R67" s="143"/>
      <c r="S67" s="143"/>
      <c r="T67" s="143"/>
      <c r="U67" s="143"/>
      <c r="V67" s="143"/>
      <c r="W67" s="143"/>
      <c r="X67" s="143"/>
      <c r="Y67" s="143"/>
      <c r="Z67" s="143">
        <f t="shared" ref="Z67:Z72" si="19">SUM(N67:Y67)</f>
        <v>0</v>
      </c>
      <c r="AA67" s="144" t="str">
        <f t="shared" ref="AA67:AA72" si="20">IF(Z67=0,"",IFERROR(Z67/Z$43,""))</f>
        <v/>
      </c>
      <c r="AB67" s="140"/>
      <c r="AC67" s="143"/>
      <c r="AD67" s="144" t="str">
        <f t="shared" ref="AD67:AD72" si="21">IF(AC67=0,"",IFERROR(AC67/AC$43,""))</f>
        <v/>
      </c>
      <c r="AE67" s="145">
        <f t="shared" ref="AE67:AE72" si="22">IF(AND($Z67="",AC67=""),"",$Z67-AC67)</f>
        <v>0</v>
      </c>
      <c r="AF67" s="143"/>
      <c r="AG67" s="144" t="str">
        <f t="shared" ref="AG67:AG72" si="23">IF(AF67=0,"",IFERROR(AF67/AF$43,""))</f>
        <v/>
      </c>
      <c r="AH67" s="145">
        <f t="shared" ref="AH67:AH72" si="24">IF(AND($Z67="",AF67=""),"",$Z67-AF67)</f>
        <v>0</v>
      </c>
      <c r="AI67" s="622">
        <f t="shared" ref="AI67:AI72" si="25">+IFERROR(ROUND(($AA67-AD67)*100,2)&amp;" pts.",0)</f>
        <v>0</v>
      </c>
      <c r="AJ67" s="623"/>
      <c r="AK67" s="622">
        <f t="shared" ref="AK67:AK72" si="26">+IFERROR(ROUND(($AA67-AG67)*100,2)&amp;" pts.",0)</f>
        <v>0</v>
      </c>
      <c r="AL67" s="623"/>
      <c r="AM67" s="11"/>
      <c r="AN67" s="11"/>
      <c r="AO67" s="11"/>
    </row>
    <row r="68" spans="1:41" x14ac:dyDescent="0.35">
      <c r="A68" s="65" t="s">
        <v>35</v>
      </c>
      <c r="B68" s="66"/>
      <c r="C68" s="11"/>
      <c r="D68" s="11"/>
      <c r="E68" s="11"/>
      <c r="F68" s="11"/>
      <c r="G68" s="88" t="s">
        <v>519</v>
      </c>
      <c r="H68" s="88" t="s">
        <v>520</v>
      </c>
      <c r="I68" s="122" t="str">
        <f>IF(_epmOfflineCondition_,"T3",_xll.EVPRO($B$1,$H68,"STYLE"))</f>
        <v>T3</v>
      </c>
      <c r="J68" s="122" t="str">
        <f>IF(_epmOfflineCondition_,"Y",_xll.EVPRO($B$1,$H68,"CALC"))</f>
        <v>Y</v>
      </c>
      <c r="K68" s="11"/>
      <c r="L68" s="11"/>
      <c r="M68" s="90" t="str">
        <f>IF(_epmOfflineCondition_,"Rent",IF(_xll.EVDES(H68,$B$1)="#NODATA","",REPLACE(_xll.EVDES(H68,$B$1),1,6,"")))</f>
        <v>Rent</v>
      </c>
      <c r="N68" s="143">
        <v>2028.88</v>
      </c>
      <c r="O68" s="143">
        <v>564.04</v>
      </c>
      <c r="P68" s="143">
        <v>1305.9100000000001</v>
      </c>
      <c r="Q68" s="143">
        <v>1624.1</v>
      </c>
      <c r="R68" s="143">
        <v>1890.03</v>
      </c>
      <c r="S68" s="143">
        <v>888.32</v>
      </c>
      <c r="T68" s="143">
        <v>1009.09</v>
      </c>
      <c r="U68" s="143">
        <v>557</v>
      </c>
      <c r="V68" s="143">
        <v>1301.6400000000001</v>
      </c>
      <c r="W68" s="143">
        <v>1183.77</v>
      </c>
      <c r="X68" s="143">
        <v>1147.25</v>
      </c>
      <c r="Y68" s="143">
        <v>1304.96</v>
      </c>
      <c r="Z68" s="143">
        <f t="shared" si="19"/>
        <v>14804.990000000002</v>
      </c>
      <c r="AA68" s="144">
        <f t="shared" si="20"/>
        <v>1.2434350678466087E-3</v>
      </c>
      <c r="AB68" s="140"/>
      <c r="AC68" s="143">
        <v>7484</v>
      </c>
      <c r="AD68" s="144">
        <f t="shared" si="21"/>
        <v>8.9815168854126396E-4</v>
      </c>
      <c r="AE68" s="145">
        <f t="shared" si="22"/>
        <v>7320.9900000000016</v>
      </c>
      <c r="AF68" s="143">
        <v>7421.55</v>
      </c>
      <c r="AG68" s="144">
        <f t="shared" si="23"/>
        <v>1.4235676577942185E-3</v>
      </c>
      <c r="AH68" s="145">
        <f t="shared" si="24"/>
        <v>7383.4400000000014</v>
      </c>
      <c r="AI68" s="622" t="str">
        <f t="shared" si="25"/>
        <v>0.03 pts.</v>
      </c>
      <c r="AJ68" s="623"/>
      <c r="AK68" s="622" t="str">
        <f t="shared" si="26"/>
        <v>-0.02 pts.</v>
      </c>
      <c r="AL68" s="623"/>
      <c r="AM68" s="11"/>
      <c r="AN68" s="11"/>
      <c r="AO68" s="11"/>
    </row>
    <row r="69" spans="1:41" x14ac:dyDescent="0.35">
      <c r="A69" s="65" t="s">
        <v>36</v>
      </c>
      <c r="B69" s="66"/>
      <c r="C69" s="11"/>
      <c r="D69" s="11"/>
      <c r="E69" s="11"/>
      <c r="F69" s="11"/>
      <c r="G69" s="88" t="s">
        <v>519</v>
      </c>
      <c r="H69" s="88" t="s">
        <v>521</v>
      </c>
      <c r="I69" s="122" t="str">
        <f>IF(_epmOfflineCondition_,"T3",_xll.EVPRO($B$1,$H69,"STYLE"))</f>
        <v>T3</v>
      </c>
      <c r="J69" s="122" t="str">
        <f>IF(_epmOfflineCondition_,"Y",_xll.EVPRO($B$1,$H69,"CALC"))</f>
        <v>Y</v>
      </c>
      <c r="K69" s="11"/>
      <c r="L69" s="11"/>
      <c r="M69" s="90" t="str">
        <f>IF(_epmOfflineCondition_,"Property &amp; Other Taxes",IF(_xll.EVDES(H69,$B$1)="#NODATA","",REPLACE(_xll.EVDES(H69,$B$1),1,6,"")))</f>
        <v>Property &amp; Other Taxes</v>
      </c>
      <c r="N69" s="143">
        <v>46529</v>
      </c>
      <c r="O69" s="143">
        <v>46529</v>
      </c>
      <c r="P69" s="143">
        <v>46529</v>
      </c>
      <c r="Q69" s="143">
        <v>63118.2</v>
      </c>
      <c r="R69" s="143">
        <v>46529</v>
      </c>
      <c r="S69" s="143">
        <v>-16161.3</v>
      </c>
      <c r="T69" s="143">
        <v>46529</v>
      </c>
      <c r="U69" s="143">
        <v>46529</v>
      </c>
      <c r="V69" s="143">
        <v>47172.93</v>
      </c>
      <c r="W69" s="143">
        <v>46529</v>
      </c>
      <c r="X69" s="143">
        <v>38863.879999999997</v>
      </c>
      <c r="Y69" s="143">
        <v>38863.879999999997</v>
      </c>
      <c r="Z69" s="143">
        <f t="shared" si="19"/>
        <v>497560.59</v>
      </c>
      <c r="AA69" s="144">
        <f t="shared" si="20"/>
        <v>4.178890265947148E-2</v>
      </c>
      <c r="AB69" s="140"/>
      <c r="AC69" s="143">
        <v>578366.89</v>
      </c>
      <c r="AD69" s="144">
        <f t="shared" si="21"/>
        <v>6.9409566922749799E-2</v>
      </c>
      <c r="AE69" s="145">
        <f t="shared" si="22"/>
        <v>-80806.299999999988</v>
      </c>
      <c r="AF69" s="143">
        <v>558147.99</v>
      </c>
      <c r="AG69" s="144">
        <f t="shared" si="23"/>
        <v>0.10706138567103245</v>
      </c>
      <c r="AH69" s="145">
        <f t="shared" si="24"/>
        <v>-60587.399999999965</v>
      </c>
      <c r="AI69" s="622" t="str">
        <f t="shared" si="25"/>
        <v>-2.76 pts.</v>
      </c>
      <c r="AJ69" s="623"/>
      <c r="AK69" s="622" t="str">
        <f t="shared" si="26"/>
        <v>-6.53 pts.</v>
      </c>
      <c r="AL69" s="623"/>
      <c r="AM69" s="11"/>
      <c r="AN69" s="11"/>
      <c r="AO69" s="11"/>
    </row>
    <row r="70" spans="1:41" x14ac:dyDescent="0.35">
      <c r="A70" s="65" t="s">
        <v>37</v>
      </c>
      <c r="B70" s="66"/>
      <c r="C70" s="11"/>
      <c r="D70" s="11"/>
      <c r="E70" s="11"/>
      <c r="F70" s="11"/>
      <c r="G70" s="88" t="s">
        <v>519</v>
      </c>
      <c r="H70" s="88" t="s">
        <v>537</v>
      </c>
      <c r="I70" s="122" t="str">
        <f>IF(_epmOfflineCondition_,"T3",_xll.EVPRO($B$1,$H70,"STYLE"))</f>
        <v>T3</v>
      </c>
      <c r="J70" s="122" t="str">
        <f>IF(_epmOfflineCondition_,"Y",_xll.EVPRO($B$1,$H70,"CALC"))</f>
        <v>Y</v>
      </c>
      <c r="K70" s="11"/>
      <c r="L70" s="11"/>
      <c r="M70" s="90" t="str">
        <f>IF(_epmOfflineCondition_,"Insurance",IF(_xll.EVDES(H70,$B$1)="#NODATA","",REPLACE(_xll.EVDES(H70,$B$1),1,6,"")))</f>
        <v>Insurance</v>
      </c>
      <c r="N70" s="143">
        <v>68296.2</v>
      </c>
      <c r="O70" s="143">
        <v>68296.2</v>
      </c>
      <c r="P70" s="143">
        <v>68296.2</v>
      </c>
      <c r="Q70" s="143">
        <v>68296.2</v>
      </c>
      <c r="R70" s="143">
        <v>68296.12</v>
      </c>
      <c r="S70" s="143">
        <v>68298.2</v>
      </c>
      <c r="T70" s="143">
        <v>68298.12</v>
      </c>
      <c r="U70" s="143">
        <v>69443.539999999994</v>
      </c>
      <c r="V70" s="143">
        <v>70888.7</v>
      </c>
      <c r="W70" s="143">
        <v>70888.58</v>
      </c>
      <c r="X70" s="143">
        <v>70888.570000000007</v>
      </c>
      <c r="Y70" s="143">
        <v>71557.460000000006</v>
      </c>
      <c r="Z70" s="143">
        <f t="shared" si="19"/>
        <v>831744.08999999985</v>
      </c>
      <c r="AA70" s="144">
        <f t="shared" si="20"/>
        <v>6.9856161265908698E-2</v>
      </c>
      <c r="AB70" s="140"/>
      <c r="AC70" s="143">
        <v>842595.76</v>
      </c>
      <c r="AD70" s="144">
        <f t="shared" si="21"/>
        <v>0.10111956234656728</v>
      </c>
      <c r="AE70" s="145">
        <f t="shared" si="22"/>
        <v>-10851.670000000158</v>
      </c>
      <c r="AF70" s="143">
        <v>755029.33</v>
      </c>
      <c r="AG70" s="144">
        <f t="shared" si="23"/>
        <v>0.1448262606698113</v>
      </c>
      <c r="AH70" s="145">
        <f t="shared" si="24"/>
        <v>76714.759999999893</v>
      </c>
      <c r="AI70" s="622" t="str">
        <f t="shared" si="25"/>
        <v>-3.13 pts.</v>
      </c>
      <c r="AJ70" s="623"/>
      <c r="AK70" s="622" t="str">
        <f t="shared" si="26"/>
        <v>-7.5 pts.</v>
      </c>
      <c r="AL70" s="623"/>
      <c r="AM70" s="11"/>
      <c r="AN70" s="11"/>
      <c r="AO70" s="11"/>
    </row>
    <row r="71" spans="1:41" x14ac:dyDescent="0.35">
      <c r="A71" s="65" t="s">
        <v>38</v>
      </c>
      <c r="B71" s="66"/>
      <c r="C71" s="11"/>
      <c r="D71" s="11"/>
      <c r="E71" s="11"/>
      <c r="F71" s="11"/>
      <c r="G71" s="11"/>
      <c r="H71" s="11"/>
      <c r="I71" s="11"/>
      <c r="J71" s="11"/>
      <c r="K71" s="11"/>
      <c r="L71" s="11"/>
      <c r="M71" s="104" t="s">
        <v>586</v>
      </c>
      <c r="N71" s="143">
        <f t="shared" ref="N71:Y71" si="27">N95</f>
        <v>0</v>
      </c>
      <c r="O71" s="143">
        <f t="shared" si="27"/>
        <v>0</v>
      </c>
      <c r="P71" s="143">
        <f t="shared" si="27"/>
        <v>0</v>
      </c>
      <c r="Q71" s="143">
        <f t="shared" si="27"/>
        <v>0</v>
      </c>
      <c r="R71" s="143">
        <f t="shared" si="27"/>
        <v>0</v>
      </c>
      <c r="S71" s="143">
        <f t="shared" si="27"/>
        <v>0</v>
      </c>
      <c r="T71" s="143">
        <f t="shared" si="27"/>
        <v>0</v>
      </c>
      <c r="U71" s="143">
        <f t="shared" si="27"/>
        <v>0</v>
      </c>
      <c r="V71" s="143">
        <f t="shared" si="27"/>
        <v>0</v>
      </c>
      <c r="W71" s="143">
        <f t="shared" si="27"/>
        <v>0</v>
      </c>
      <c r="X71" s="143">
        <f t="shared" si="27"/>
        <v>0</v>
      </c>
      <c r="Y71" s="143">
        <f t="shared" si="27"/>
        <v>0</v>
      </c>
      <c r="Z71" s="143">
        <f t="shared" si="19"/>
        <v>0</v>
      </c>
      <c r="AA71" s="144" t="str">
        <f t="shared" si="20"/>
        <v/>
      </c>
      <c r="AB71" s="140"/>
      <c r="AC71" s="143">
        <f>AC95</f>
        <v>0</v>
      </c>
      <c r="AD71" s="144" t="str">
        <f t="shared" si="21"/>
        <v/>
      </c>
      <c r="AE71" s="145">
        <f t="shared" si="22"/>
        <v>0</v>
      </c>
      <c r="AF71" s="143">
        <f>AF95</f>
        <v>34726.980000000003</v>
      </c>
      <c r="AG71" s="144">
        <f t="shared" si="23"/>
        <v>6.6611699147572506E-3</v>
      </c>
      <c r="AH71" s="145">
        <f t="shared" si="24"/>
        <v>-34726.980000000003</v>
      </c>
      <c r="AI71" s="622">
        <f t="shared" si="25"/>
        <v>0</v>
      </c>
      <c r="AJ71" s="623"/>
      <c r="AK71" s="622">
        <f t="shared" si="26"/>
        <v>0</v>
      </c>
      <c r="AL71" s="623"/>
      <c r="AM71" s="11"/>
      <c r="AN71" s="11"/>
      <c r="AO71" s="11"/>
    </row>
    <row r="72" spans="1:41" x14ac:dyDescent="0.35">
      <c r="A72" s="65" t="s">
        <v>39</v>
      </c>
      <c r="B72" s="66"/>
      <c r="C72" s="11"/>
      <c r="D72" s="11"/>
      <c r="E72" s="11"/>
      <c r="F72" s="11"/>
      <c r="G72" s="11"/>
      <c r="H72" s="11"/>
      <c r="I72" s="11"/>
      <c r="J72" s="11"/>
      <c r="K72" s="11"/>
      <c r="L72" s="59"/>
      <c r="M72" s="106" t="str">
        <f>"Total "&amp;M66</f>
        <v>Total Non-Operating Income &amp; Expenses</v>
      </c>
      <c r="N72" s="154">
        <f t="shared" ref="N72:Y72" si="28">SUM(N67:N71)</f>
        <v>116854.07999999999</v>
      </c>
      <c r="O72" s="154">
        <f t="shared" si="28"/>
        <v>115389.23999999999</v>
      </c>
      <c r="P72" s="154">
        <f t="shared" si="28"/>
        <v>116131.11</v>
      </c>
      <c r="Q72" s="154">
        <f t="shared" si="28"/>
        <v>133038.5</v>
      </c>
      <c r="R72" s="154">
        <f t="shared" si="28"/>
        <v>116715.15</v>
      </c>
      <c r="S72" s="154">
        <f t="shared" si="28"/>
        <v>53025.22</v>
      </c>
      <c r="T72" s="154">
        <f t="shared" si="28"/>
        <v>115836.20999999999</v>
      </c>
      <c r="U72" s="154">
        <f t="shared" si="28"/>
        <v>116529.54</v>
      </c>
      <c r="V72" s="154">
        <f t="shared" si="28"/>
        <v>119363.26999999999</v>
      </c>
      <c r="W72" s="154">
        <f t="shared" si="28"/>
        <v>118601.35</v>
      </c>
      <c r="X72" s="154">
        <f t="shared" si="28"/>
        <v>110899.70000000001</v>
      </c>
      <c r="Y72" s="154">
        <f t="shared" si="28"/>
        <v>111726.3</v>
      </c>
      <c r="Z72" s="154">
        <f t="shared" si="19"/>
        <v>1344109.67</v>
      </c>
      <c r="AA72" s="155">
        <f t="shared" si="20"/>
        <v>0.11288849899322678</v>
      </c>
      <c r="AB72" s="140"/>
      <c r="AC72" s="154">
        <f>SUM(AC67:AC71)</f>
        <v>1428446.65</v>
      </c>
      <c r="AD72" s="155">
        <f t="shared" si="21"/>
        <v>0.17142728095785834</v>
      </c>
      <c r="AE72" s="156">
        <f t="shared" si="22"/>
        <v>-84336.979999999981</v>
      </c>
      <c r="AF72" s="154">
        <f>SUM(AF67:AF71)</f>
        <v>1355325.85</v>
      </c>
      <c r="AG72" s="155">
        <f t="shared" si="23"/>
        <v>0.25997238391339522</v>
      </c>
      <c r="AH72" s="156">
        <f t="shared" si="24"/>
        <v>-11216.180000000168</v>
      </c>
      <c r="AI72" s="628" t="str">
        <f t="shared" si="25"/>
        <v>-5.85 pts.</v>
      </c>
      <c r="AJ72" s="629"/>
      <c r="AK72" s="628" t="str">
        <f t="shared" si="26"/>
        <v>-14.71 pts.</v>
      </c>
      <c r="AL72" s="629"/>
      <c r="AM72" s="11"/>
      <c r="AN72" s="11"/>
      <c r="AO72" s="11"/>
    </row>
    <row r="73" spans="1:41" x14ac:dyDescent="0.35">
      <c r="A73" s="65" t="s">
        <v>40</v>
      </c>
      <c r="B73" s="66"/>
      <c r="C73" s="11"/>
      <c r="D73" s="11"/>
      <c r="E73" s="11"/>
      <c r="F73" s="11"/>
      <c r="G73" s="11"/>
      <c r="H73" s="11"/>
      <c r="I73" s="59"/>
      <c r="J73" s="59"/>
      <c r="K73" s="11"/>
      <c r="L73" s="59"/>
      <c r="M73" s="11"/>
      <c r="N73" s="174"/>
      <c r="O73" s="175"/>
      <c r="P73" s="175"/>
      <c r="Q73" s="175"/>
      <c r="R73" s="175"/>
      <c r="S73" s="175"/>
      <c r="T73" s="175"/>
      <c r="U73" s="175"/>
      <c r="V73" s="175"/>
      <c r="W73" s="175"/>
      <c r="X73" s="175"/>
      <c r="Y73" s="175"/>
      <c r="Z73" s="175"/>
      <c r="AA73" s="176"/>
      <c r="AB73" s="140"/>
      <c r="AC73" s="174"/>
      <c r="AD73" s="175"/>
      <c r="AE73" s="176"/>
      <c r="AF73" s="174"/>
      <c r="AG73" s="175"/>
      <c r="AH73" s="176"/>
      <c r="AI73" s="11"/>
      <c r="AJ73" s="11"/>
      <c r="AK73" s="11"/>
      <c r="AL73" s="11"/>
      <c r="AM73" s="11"/>
      <c r="AN73" s="11"/>
      <c r="AO73" s="11"/>
    </row>
    <row r="74" spans="1:41" ht="15" thickBot="1" x14ac:dyDescent="0.4">
      <c r="A74" s="65" t="s">
        <v>41</v>
      </c>
      <c r="B74" s="66"/>
      <c r="C74" s="11"/>
      <c r="D74" s="11"/>
      <c r="E74" s="11"/>
      <c r="F74" s="88" t="s">
        <v>570</v>
      </c>
      <c r="G74" s="11"/>
      <c r="H74" s="11"/>
      <c r="I74" s="11"/>
      <c r="J74" s="11"/>
      <c r="K74" s="11"/>
      <c r="L74" s="11"/>
      <c r="M74" s="106" t="str">
        <f>IF(_epmOfflineCondition_,"EBITDA",IF(_xll.EVDES(F74,$B$1)="#NODATA","",_xll.EVDES(F74,$B$1)))</f>
        <v>EBITDA</v>
      </c>
      <c r="N74" s="169">
        <f t="shared" ref="N74:Y74" si="29">N64-N72</f>
        <v>175314.2000000001</v>
      </c>
      <c r="O74" s="169">
        <f t="shared" si="29"/>
        <v>251805.83999999991</v>
      </c>
      <c r="P74" s="169">
        <f t="shared" si="29"/>
        <v>331508.97000000003</v>
      </c>
      <c r="Q74" s="169">
        <f t="shared" si="29"/>
        <v>361673.68000000005</v>
      </c>
      <c r="R74" s="169">
        <f t="shared" si="29"/>
        <v>464653.14999999979</v>
      </c>
      <c r="S74" s="169">
        <f t="shared" si="29"/>
        <v>368226.67999999993</v>
      </c>
      <c r="T74" s="169">
        <f t="shared" si="29"/>
        <v>361482.08999999973</v>
      </c>
      <c r="U74" s="169">
        <f t="shared" si="29"/>
        <v>1788.2900000000373</v>
      </c>
      <c r="V74" s="169">
        <f t="shared" si="29"/>
        <v>-56639.290000000023</v>
      </c>
      <c r="W74" s="169">
        <f t="shared" si="29"/>
        <v>1981.2599999999948</v>
      </c>
      <c r="X74" s="169">
        <f t="shared" si="29"/>
        <v>211374.72999999986</v>
      </c>
      <c r="Y74" s="169">
        <f t="shared" si="29"/>
        <v>661993.10000000009</v>
      </c>
      <c r="Z74" s="169">
        <f>SUM(N74:Y74)</f>
        <v>3135162.6999999993</v>
      </c>
      <c r="AA74" s="170">
        <f>IF(Z74=0,"",IFERROR(Z74/Z$43,""))</f>
        <v>0.26331468272417985</v>
      </c>
      <c r="AB74" s="140"/>
      <c r="AC74" s="169">
        <f>AC64-AC72</f>
        <v>957643.85516250227</v>
      </c>
      <c r="AD74" s="170">
        <f>IF(AC74=0,"",IFERROR(AC74/AC$43,""))</f>
        <v>0.11492643580109127</v>
      </c>
      <c r="AE74" s="171">
        <f>IF(AND($Z74="",AC74=""),"",$Z74-AC74)</f>
        <v>2177518.844837497</v>
      </c>
      <c r="AF74" s="169">
        <f>AF64-AF72</f>
        <v>24980.220000000671</v>
      </c>
      <c r="AG74" s="170">
        <f>IF(AF74=0,"",IFERROR(AF74/AF$43,""))</f>
        <v>4.7915911469417101E-3</v>
      </c>
      <c r="AH74" s="171">
        <f>IF(AND($Z74="",AF74=""),"",$Z74-AF74)</f>
        <v>3110182.4799999986</v>
      </c>
      <c r="AI74" s="632" t="str">
        <f>+IFERROR(ROUND(($AA74-AD74)*100,2)&amp;" pts.",0)</f>
        <v>14.84 pts.</v>
      </c>
      <c r="AJ74" s="633"/>
      <c r="AK74" s="632" t="str">
        <f>+IFERROR(ROUND(($AA74-AG74)*100,2)&amp;" pts.",0)</f>
        <v>25.85 pts.</v>
      </c>
      <c r="AL74" s="633"/>
      <c r="AM74" s="11"/>
      <c r="AN74" s="11"/>
      <c r="AO74" s="11"/>
    </row>
    <row r="75" spans="1:41" ht="15" thickTop="1" x14ac:dyDescent="0.35">
      <c r="A75" s="65" t="s">
        <v>42</v>
      </c>
      <c r="B75" s="66"/>
      <c r="C75" s="11"/>
      <c r="D75" s="11"/>
      <c r="E75" s="11"/>
      <c r="F75" s="11"/>
      <c r="G75" s="11"/>
      <c r="H75" s="59"/>
      <c r="I75" s="59"/>
      <c r="J75" s="11"/>
      <c r="K75" s="11"/>
      <c r="L75" s="11">
        <f>COUNTIF(N75:AH75,FALSE)</f>
        <v>0</v>
      </c>
      <c r="M75" s="117" t="str">
        <f>IF(L75=0,"","EBITDA- database validation failed")</f>
        <v/>
      </c>
      <c r="N75" s="157" t="str">
        <f t="shared" ref="N75:Z75" si="30">IF(ROUND(N74,2)&lt;&gt;ROUND(N103,2),N74-N103,"")</f>
        <v/>
      </c>
      <c r="O75" s="158" t="str">
        <f t="shared" si="30"/>
        <v/>
      </c>
      <c r="P75" s="158" t="str">
        <f t="shared" si="30"/>
        <v/>
      </c>
      <c r="Q75" s="158" t="str">
        <f t="shared" si="30"/>
        <v/>
      </c>
      <c r="R75" s="158" t="str">
        <f t="shared" si="30"/>
        <v/>
      </c>
      <c r="S75" s="158" t="str">
        <f t="shared" si="30"/>
        <v/>
      </c>
      <c r="T75" s="158" t="str">
        <f t="shared" si="30"/>
        <v/>
      </c>
      <c r="U75" s="158" t="str">
        <f t="shared" si="30"/>
        <v/>
      </c>
      <c r="V75" s="158" t="str">
        <f t="shared" si="30"/>
        <v/>
      </c>
      <c r="W75" s="158" t="str">
        <f t="shared" si="30"/>
        <v/>
      </c>
      <c r="X75" s="158" t="str">
        <f t="shared" si="30"/>
        <v/>
      </c>
      <c r="Y75" s="158" t="str">
        <f t="shared" si="30"/>
        <v/>
      </c>
      <c r="Z75" s="158" t="str">
        <f t="shared" si="30"/>
        <v/>
      </c>
      <c r="AA75" s="165" t="b">
        <f>Z75=""</f>
        <v>1</v>
      </c>
      <c r="AB75" s="140"/>
      <c r="AC75" s="157" t="str">
        <f>IF(ROUND(AC74,2)&lt;&gt;ROUND(AC103,2),AC74-AC103,"")</f>
        <v/>
      </c>
      <c r="AD75" s="160" t="b">
        <f>AC75=""</f>
        <v>1</v>
      </c>
      <c r="AE75" s="161"/>
      <c r="AF75" s="157" t="str">
        <f>IF(ROUND(AF74,2)&lt;&gt;ROUND(AF103,2),AF74-AF103,"")</f>
        <v/>
      </c>
      <c r="AG75" s="160" t="b">
        <f>AF75=""</f>
        <v>1</v>
      </c>
      <c r="AH75" s="161"/>
      <c r="AI75" s="11"/>
      <c r="AJ75" s="11"/>
      <c r="AK75" s="11"/>
      <c r="AL75" s="11"/>
      <c r="AM75" s="11"/>
      <c r="AN75" s="11"/>
      <c r="AO75" s="11"/>
    </row>
    <row r="76" spans="1:41" x14ac:dyDescent="0.35">
      <c r="A76" s="65" t="s">
        <v>43</v>
      </c>
      <c r="B76" s="66"/>
      <c r="C76" s="11"/>
      <c r="D76" s="11"/>
      <c r="E76" s="11"/>
      <c r="F76" s="11"/>
      <c r="G76" s="11"/>
      <c r="H76" s="11" t="s">
        <v>576</v>
      </c>
      <c r="I76" s="59" t="str">
        <f>IF(_epmOfflineCondition_,"B1",_xll.EVPRO($B$1,$H76,"STYLE"))</f>
        <v>B1</v>
      </c>
      <c r="J76" s="59" t="str">
        <f>IF(_epmOfflineCondition_,"Y",_xll.EVPRO($B$1,$H76,"CALC"))</f>
        <v>Y</v>
      </c>
      <c r="K76" s="11"/>
      <c r="L76" s="11"/>
      <c r="M76" s="105" t="str">
        <f>IF(_epmOfflineCondition_,"Interest, Depreciation &amp; Amortization",IF(_xll.EVDES(H76,$B$1)="#NODATA","",_xll.EVDES(H76,$B$1)))</f>
        <v>Interest, Depreciation &amp; Amortization</v>
      </c>
      <c r="N76" s="162"/>
      <c r="O76" s="163"/>
      <c r="P76" s="163"/>
      <c r="Q76" s="163"/>
      <c r="R76" s="163"/>
      <c r="S76" s="163"/>
      <c r="T76" s="163"/>
      <c r="U76" s="163"/>
      <c r="V76" s="163"/>
      <c r="W76" s="163"/>
      <c r="X76" s="163"/>
      <c r="Y76" s="163"/>
      <c r="Z76" s="163"/>
      <c r="AA76" s="164"/>
      <c r="AB76" s="140"/>
      <c r="AC76" s="162"/>
      <c r="AD76" s="163"/>
      <c r="AE76" s="164"/>
      <c r="AF76" s="162"/>
      <c r="AG76" s="163"/>
      <c r="AH76" s="164"/>
      <c r="AI76" s="11"/>
      <c r="AJ76" s="11"/>
      <c r="AK76" s="11"/>
      <c r="AL76" s="11"/>
      <c r="AM76" s="11"/>
      <c r="AN76" s="11"/>
      <c r="AO76" s="11"/>
    </row>
    <row r="77" spans="1:41" x14ac:dyDescent="0.35">
      <c r="A77" s="65" t="s">
        <v>44</v>
      </c>
      <c r="B77" s="66"/>
      <c r="C77" s="11"/>
      <c r="D77" s="11"/>
      <c r="E77" s="11"/>
      <c r="F77" s="11"/>
      <c r="G77" s="88" t="s">
        <v>519</v>
      </c>
      <c r="H77" s="88" t="s">
        <v>571</v>
      </c>
      <c r="I77" s="122" t="str">
        <f>IF(_epmOfflineCondition_,"T3",_xll.EVPRO($B$1,$H77,"STYLE"))</f>
        <v>T3</v>
      </c>
      <c r="J77" s="122" t="str">
        <f>IF(_epmOfflineCondition_,"Y",_xll.EVPRO($B$1,$H77,"CALC"))</f>
        <v>Y</v>
      </c>
      <c r="K77" s="11"/>
      <c r="L77" s="11"/>
      <c r="M77" s="90" t="str">
        <f>IF(_epmOfflineCondition_,"Total Interest Expense",IF(_xll.EVDES(H77,$B$1)="#NODATA","",_xll.EVDES(H77,$B$1)))</f>
        <v>Total Interest Expense</v>
      </c>
      <c r="N77" s="143">
        <v>147710.19</v>
      </c>
      <c r="O77" s="143">
        <v>133415.65</v>
      </c>
      <c r="P77" s="143">
        <v>147710.19</v>
      </c>
      <c r="Q77" s="143">
        <v>142945.34</v>
      </c>
      <c r="R77" s="143">
        <v>147710.19</v>
      </c>
      <c r="S77" s="143">
        <v>142945.34</v>
      </c>
      <c r="T77" s="143">
        <v>147710.19</v>
      </c>
      <c r="U77" s="143">
        <v>147710.19</v>
      </c>
      <c r="V77" s="143">
        <v>142945.34</v>
      </c>
      <c r="W77" s="143">
        <v>147710.19</v>
      </c>
      <c r="X77" s="143">
        <v>142073.98000000001</v>
      </c>
      <c r="Y77" s="143">
        <v>147695.66</v>
      </c>
      <c r="Z77" s="143">
        <f>SUM(N77:Y77)</f>
        <v>1738282.45</v>
      </c>
      <c r="AA77" s="144">
        <f>IF(Z77=0,"",IFERROR(Z77/Z$43,""))</f>
        <v>0.14599411118496664</v>
      </c>
      <c r="AB77" s="140"/>
      <c r="AC77" s="143">
        <v>1739166</v>
      </c>
      <c r="AD77" s="144">
        <f>IF(AC77=0,"",IFERROR(AC77/AC$43,""))</f>
        <v>0.20871657930966808</v>
      </c>
      <c r="AE77" s="145">
        <f>IF(AND($Z77="",AC77=""),"",$Z77-AC77)</f>
        <v>-883.55000000004657</v>
      </c>
      <c r="AF77" s="143">
        <v>1753439.65</v>
      </c>
      <c r="AG77" s="144">
        <f>IF(AF77=0,"",IFERROR(AF77/AF$43,""))</f>
        <v>0.33633674577871386</v>
      </c>
      <c r="AH77" s="145">
        <f>IF(AND($Z77="",AF77=""),"",$Z77-AF77)</f>
        <v>-15157.199999999953</v>
      </c>
      <c r="AI77" s="622" t="str">
        <f>+IFERROR(ROUND(($AA77-AD77)*100,2)&amp;" pts.",0)</f>
        <v>-6.27 pts.</v>
      </c>
      <c r="AJ77" s="623"/>
      <c r="AK77" s="622" t="str">
        <f>+IFERROR(ROUND(($AA77-AG77)*100,2)&amp;" pts.",0)</f>
        <v>-19.03 pts.</v>
      </c>
      <c r="AL77" s="623"/>
      <c r="AM77" s="11"/>
      <c r="AN77" s="11"/>
      <c r="AO77" s="11"/>
    </row>
    <row r="78" spans="1:41" x14ac:dyDescent="0.35">
      <c r="A78" s="65" t="s">
        <v>45</v>
      </c>
      <c r="B78" s="66"/>
      <c r="C78" s="11"/>
      <c r="D78" s="11"/>
      <c r="E78" s="11"/>
      <c r="F78" s="11"/>
      <c r="G78" s="88" t="s">
        <v>519</v>
      </c>
      <c r="H78" s="88" t="s">
        <v>572</v>
      </c>
      <c r="I78" s="122" t="str">
        <f>IF(_epmOfflineCondition_,"T3",_xll.EVPRO($B$1,$H78,"STYLE"))</f>
        <v>T3</v>
      </c>
      <c r="J78" s="122" t="str">
        <f>IF(_epmOfflineCondition_,"Y",_xll.EVPRO($B$1,$H78,"CALC"))</f>
        <v>Y</v>
      </c>
      <c r="K78" s="11"/>
      <c r="L78" s="11"/>
      <c r="M78" s="90" t="str">
        <f>IF(_epmOfflineCondition_,"Depreciation",IF(_xll.EVDES(H78,$B$1)="#NODATA","",_xll.EVDES(H78,$B$1)))</f>
        <v>Depreciation</v>
      </c>
      <c r="N78" s="143">
        <v>39914.06</v>
      </c>
      <c r="O78" s="143">
        <v>39914.06</v>
      </c>
      <c r="P78" s="143">
        <v>39914.06</v>
      </c>
      <c r="Q78" s="143">
        <v>39914.06</v>
      </c>
      <c r="R78" s="143">
        <v>39914.01</v>
      </c>
      <c r="S78" s="143">
        <v>39725.1</v>
      </c>
      <c r="T78" s="143">
        <v>39725.1</v>
      </c>
      <c r="U78" s="143">
        <v>39725.1</v>
      </c>
      <c r="V78" s="143">
        <v>39725.1</v>
      </c>
      <c r="W78" s="143">
        <v>39725.1</v>
      </c>
      <c r="X78" s="143">
        <v>42285.88</v>
      </c>
      <c r="Y78" s="143">
        <v>41954.05</v>
      </c>
      <c r="Z78" s="143">
        <f>SUM(N78:Y78)</f>
        <v>482435.67999999993</v>
      </c>
      <c r="AA78" s="144">
        <f>IF(Z78=0,"",IFERROR(Z78/Z$43,""))</f>
        <v>4.051859828965941E-2</v>
      </c>
      <c r="AB78" s="140"/>
      <c r="AC78" s="143">
        <v>469800</v>
      </c>
      <c r="AD78" s="144">
        <f>IF(AC78=0,"",IFERROR(AC78/AC$43,""))</f>
        <v>5.6380500170588696E-2</v>
      </c>
      <c r="AE78" s="145">
        <f>IF(AND($Z78="",AC78=""),"",$Z78-AC78)</f>
        <v>12635.679999999935</v>
      </c>
      <c r="AF78" s="143">
        <v>474006.9</v>
      </c>
      <c r="AG78" s="144">
        <f>IF(AF78=0,"",IFERROR(AF78/AF$43,""))</f>
        <v>9.0921827975463124E-2</v>
      </c>
      <c r="AH78" s="145">
        <f>IF(AND($Z78="",AF78=""),"",$Z78-AF78)</f>
        <v>8428.7799999999115</v>
      </c>
      <c r="AI78" s="622" t="str">
        <f>+IFERROR(ROUND(($AA78-AD78)*100,2)&amp;" pts.",0)</f>
        <v>-1.59 pts.</v>
      </c>
      <c r="AJ78" s="623"/>
      <c r="AK78" s="622" t="str">
        <f>+IFERROR(ROUND(($AA78-AG78)*100,2)&amp;" pts.",0)</f>
        <v>-5.04 pts.</v>
      </c>
      <c r="AL78" s="623"/>
      <c r="AM78" s="11"/>
      <c r="AN78" s="11"/>
      <c r="AO78" s="11"/>
    </row>
    <row r="79" spans="1:41" x14ac:dyDescent="0.35">
      <c r="A79" s="65" t="s">
        <v>46</v>
      </c>
      <c r="B79" s="66"/>
      <c r="C79" s="11"/>
      <c r="D79" s="11"/>
      <c r="E79" s="11"/>
      <c r="F79" s="11"/>
      <c r="G79" s="88" t="s">
        <v>519</v>
      </c>
      <c r="H79" s="88" t="s">
        <v>573</v>
      </c>
      <c r="I79" s="122" t="str">
        <f>IF(_epmOfflineCondition_,"T3",_xll.EVPRO($B$1,$H79,"STYLE"))</f>
        <v>T3</v>
      </c>
      <c r="J79" s="122" t="str">
        <f>IF(_epmOfflineCondition_,"Y",_xll.EVPRO($B$1,$H79,"CALC"))</f>
        <v>Y</v>
      </c>
      <c r="K79" s="11"/>
      <c r="L79" s="11"/>
      <c r="M79" s="90" t="str">
        <f>IF(_epmOfflineCondition_,"Amortization",IF(_xll.EVDES(H79,$B$1)="#NODATA","",_xll.EVDES(H79,$B$1)))</f>
        <v>Amortization</v>
      </c>
      <c r="N79" s="143"/>
      <c r="O79" s="143"/>
      <c r="P79" s="143"/>
      <c r="Q79" s="143"/>
      <c r="R79" s="143"/>
      <c r="S79" s="143"/>
      <c r="T79" s="143"/>
      <c r="U79" s="143"/>
      <c r="V79" s="143"/>
      <c r="W79" s="143"/>
      <c r="X79" s="143"/>
      <c r="Y79" s="143"/>
      <c r="Z79" s="143">
        <f>SUM(N79:Y79)</f>
        <v>0</v>
      </c>
      <c r="AA79" s="144" t="str">
        <f>IF(Z79=0,"",IFERROR(Z79/Z$43,""))</f>
        <v/>
      </c>
      <c r="AB79" s="140"/>
      <c r="AC79" s="143"/>
      <c r="AD79" s="144" t="str">
        <f>IF(AC79=0,"",IFERROR(AC79/AC$43,""))</f>
        <v/>
      </c>
      <c r="AE79" s="145">
        <f>IF(AND($Z79="",AC79=""),"",$Z79-AC79)</f>
        <v>0</v>
      </c>
      <c r="AF79" s="143"/>
      <c r="AG79" s="144" t="str">
        <f>IF(AF79=0,"",IFERROR(AF79/AF$43,""))</f>
        <v/>
      </c>
      <c r="AH79" s="145">
        <f>IF(AND($Z79="",AF79=""),"",$Z79-AF79)</f>
        <v>0</v>
      </c>
      <c r="AI79" s="622">
        <f>+IFERROR(ROUND(($AA79-AD79)*100,2)&amp;" pts.",0)</f>
        <v>0</v>
      </c>
      <c r="AJ79" s="623"/>
      <c r="AK79" s="622">
        <f>+IFERROR(ROUND(($AA79-AG79)*100,2)&amp;" pts.",0)</f>
        <v>0</v>
      </c>
      <c r="AL79" s="623"/>
      <c r="AM79" s="11"/>
      <c r="AN79" s="11"/>
      <c r="AO79" s="11"/>
    </row>
    <row r="80" spans="1:41" x14ac:dyDescent="0.35">
      <c r="A80" s="11"/>
      <c r="B80" s="11"/>
      <c r="C80" s="11"/>
      <c r="D80" s="11"/>
      <c r="E80" s="11"/>
      <c r="F80" s="11"/>
      <c r="G80" s="11"/>
      <c r="H80" s="11"/>
      <c r="I80" s="11"/>
      <c r="J80" s="11"/>
      <c r="K80" s="11"/>
      <c r="L80" s="11"/>
      <c r="M80" s="106" t="str">
        <f>"Total "&amp;M76</f>
        <v>Total Interest, Depreciation &amp; Amortization</v>
      </c>
      <c r="N80" s="154">
        <f t="shared" ref="N80:Y80" si="31">SUM(N77:N79)</f>
        <v>187624.25</v>
      </c>
      <c r="O80" s="154">
        <f t="shared" si="31"/>
        <v>173329.71</v>
      </c>
      <c r="P80" s="154">
        <f t="shared" si="31"/>
        <v>187624.25</v>
      </c>
      <c r="Q80" s="154">
        <f t="shared" si="31"/>
        <v>182859.4</v>
      </c>
      <c r="R80" s="154">
        <f t="shared" si="31"/>
        <v>187624.2</v>
      </c>
      <c r="S80" s="154">
        <f t="shared" si="31"/>
        <v>182670.44</v>
      </c>
      <c r="T80" s="154">
        <f t="shared" si="31"/>
        <v>187435.29</v>
      </c>
      <c r="U80" s="154">
        <f t="shared" si="31"/>
        <v>187435.29</v>
      </c>
      <c r="V80" s="154">
        <f t="shared" si="31"/>
        <v>182670.44</v>
      </c>
      <c r="W80" s="154">
        <f t="shared" si="31"/>
        <v>187435.29</v>
      </c>
      <c r="X80" s="154">
        <f t="shared" si="31"/>
        <v>184359.86000000002</v>
      </c>
      <c r="Y80" s="154">
        <f t="shared" si="31"/>
        <v>189649.71000000002</v>
      </c>
      <c r="Z80" s="154">
        <f>SUM(N80:Y80)</f>
        <v>2220718.1300000004</v>
      </c>
      <c r="AA80" s="155">
        <f>IF(Z80=0,"",IFERROR(Z80/Z$43,""))</f>
        <v>0.18651270947462609</v>
      </c>
      <c r="AB80" s="140"/>
      <c r="AC80" s="154">
        <f>SUM(AC77:AC79)</f>
        <v>2208966</v>
      </c>
      <c r="AD80" s="155">
        <f>IF(AC80=0,"",IFERROR(AC80/AC$43,""))</f>
        <v>0.26509707948025679</v>
      </c>
      <c r="AE80" s="156">
        <f>IF(AND($Z80="",AC80=""),"",$Z80-AC80)</f>
        <v>11752.130000000354</v>
      </c>
      <c r="AF80" s="154">
        <f>SUM(AF77:AF79)</f>
        <v>2227446.5499999998</v>
      </c>
      <c r="AG80" s="155">
        <f>IF(AF80=0,"",IFERROR(AF80/AF$43,""))</f>
        <v>0.42725857375417697</v>
      </c>
      <c r="AH80" s="156">
        <f>IF(AND($Z80="",AF80=""),"",$Z80-AF80)</f>
        <v>-6728.4199999994598</v>
      </c>
      <c r="AI80" s="628" t="str">
        <f>+IFERROR(ROUND(($AA80-AD80)*100,2)&amp;" pts.",0)</f>
        <v>-7.86 pts.</v>
      </c>
      <c r="AJ80" s="629"/>
      <c r="AK80" s="628" t="str">
        <f>+IFERROR(ROUND(($AA80-AG80)*100,2)&amp;" pts.",0)</f>
        <v>-24.07 pts.</v>
      </c>
      <c r="AL80" s="629"/>
      <c r="AM80" s="11"/>
      <c r="AN80" s="11"/>
      <c r="AO80" s="11"/>
    </row>
    <row r="81" spans="1:41" x14ac:dyDescent="0.35">
      <c r="A81" s="11"/>
      <c r="B81" s="11"/>
      <c r="C81" s="11"/>
      <c r="D81" s="11"/>
      <c r="E81" s="11"/>
      <c r="F81" s="11"/>
      <c r="G81" s="11"/>
      <c r="H81" s="59"/>
      <c r="I81" s="59"/>
      <c r="J81" s="11"/>
      <c r="K81" s="11"/>
      <c r="L81" s="59"/>
      <c r="M81" s="11"/>
      <c r="N81" s="174"/>
      <c r="O81" s="175"/>
      <c r="P81" s="175"/>
      <c r="Q81" s="175"/>
      <c r="R81" s="175"/>
      <c r="S81" s="175"/>
      <c r="T81" s="175"/>
      <c r="U81" s="175"/>
      <c r="V81" s="175"/>
      <c r="W81" s="175"/>
      <c r="X81" s="175"/>
      <c r="Y81" s="175"/>
      <c r="Z81" s="175"/>
      <c r="AA81" s="176"/>
      <c r="AB81" s="140"/>
      <c r="AC81" s="174"/>
      <c r="AD81" s="175"/>
      <c r="AE81" s="176"/>
      <c r="AF81" s="174"/>
      <c r="AG81" s="175"/>
      <c r="AH81" s="176"/>
      <c r="AI81" s="11"/>
      <c r="AJ81" s="11"/>
      <c r="AK81" s="11"/>
      <c r="AL81" s="11"/>
      <c r="AM81" s="11"/>
      <c r="AN81" s="11"/>
      <c r="AO81" s="11"/>
    </row>
    <row r="82" spans="1:41" x14ac:dyDescent="0.35">
      <c r="A82" s="11"/>
      <c r="B82" s="11"/>
      <c r="C82" s="11"/>
      <c r="D82" s="11"/>
      <c r="E82" s="11"/>
      <c r="F82" s="88" t="s">
        <v>577</v>
      </c>
      <c r="G82" s="11"/>
      <c r="H82" s="11"/>
      <c r="I82" s="11"/>
      <c r="J82" s="11"/>
      <c r="K82" s="11"/>
      <c r="L82" s="11"/>
      <c r="M82" s="106" t="str">
        <f>IF(_epmOfflineCondition_,"Income Before Income Taxes",IF(_xll.EVDES(F82,$B$1)="#NODATA","",_xll.EVDES(F82,$B$1)))</f>
        <v>Income Before Income Taxes</v>
      </c>
      <c r="N82" s="166">
        <f t="shared" ref="N82:Y82" si="32">N74-N80</f>
        <v>-12310.049999999901</v>
      </c>
      <c r="O82" s="166">
        <f t="shared" si="32"/>
        <v>78476.129999999917</v>
      </c>
      <c r="P82" s="166">
        <f t="shared" si="32"/>
        <v>143884.72000000003</v>
      </c>
      <c r="Q82" s="166">
        <f t="shared" si="32"/>
        <v>178814.28000000006</v>
      </c>
      <c r="R82" s="166">
        <f t="shared" si="32"/>
        <v>277028.94999999978</v>
      </c>
      <c r="S82" s="166">
        <f t="shared" si="32"/>
        <v>185556.23999999993</v>
      </c>
      <c r="T82" s="166">
        <f t="shared" si="32"/>
        <v>174046.79999999973</v>
      </c>
      <c r="U82" s="166">
        <f t="shared" si="32"/>
        <v>-185646.99999999997</v>
      </c>
      <c r="V82" s="166">
        <f t="shared" si="32"/>
        <v>-239309.73000000004</v>
      </c>
      <c r="W82" s="166">
        <f t="shared" si="32"/>
        <v>-185454.03000000003</v>
      </c>
      <c r="X82" s="166">
        <f t="shared" si="32"/>
        <v>27014.86999999985</v>
      </c>
      <c r="Y82" s="166">
        <f t="shared" si="32"/>
        <v>472343.39000000007</v>
      </c>
      <c r="Z82" s="166">
        <f>SUM(N82:Y82)</f>
        <v>914444.56999999937</v>
      </c>
      <c r="AA82" s="167">
        <f>IF(Z82=0,"",IFERROR(Z82/Z$43,""))</f>
        <v>7.6801973249553832E-2</v>
      </c>
      <c r="AB82" s="140"/>
      <c r="AC82" s="166">
        <f>AC74-AC80</f>
        <v>-1251322.1448374977</v>
      </c>
      <c r="AD82" s="167">
        <f>IF(AC82=0,"",IFERROR(AC82/AC$43,""))</f>
        <v>-0.15017064367916549</v>
      </c>
      <c r="AE82" s="168">
        <f>IF(AND($Z82="",AC82=""),"",$Z82-AC82)</f>
        <v>2165766.7148374971</v>
      </c>
      <c r="AF82" s="166">
        <f>AF74-AF80</f>
        <v>-2202466.3299999991</v>
      </c>
      <c r="AG82" s="167">
        <f>IF(AF82=0,"",IFERROR(AF82/AF$43,""))</f>
        <v>-0.42246698260723531</v>
      </c>
      <c r="AH82" s="168">
        <f>IF(AND($Z82="",AF82=""),"",$Z82-AF82)</f>
        <v>3116910.8999999985</v>
      </c>
      <c r="AI82" s="630" t="str">
        <f>+IFERROR(ROUND(($AA82-AD82)*100,2)&amp;" pts.",0)</f>
        <v>22.7 pts.</v>
      </c>
      <c r="AJ82" s="631"/>
      <c r="AK82" s="630" t="str">
        <f>+IFERROR(ROUND(($AA82-AG82)*100,2)&amp;" pts.",0)</f>
        <v>49.93 pts.</v>
      </c>
      <c r="AL82" s="631"/>
      <c r="AM82" s="11"/>
      <c r="AN82" s="11"/>
      <c r="AO82" s="11"/>
    </row>
    <row r="83" spans="1:41" x14ac:dyDescent="0.35">
      <c r="A83" s="11"/>
      <c r="B83" s="11"/>
      <c r="C83" s="11"/>
      <c r="D83" s="11"/>
      <c r="E83" s="11"/>
      <c r="F83" s="11"/>
      <c r="G83" s="88" t="s">
        <v>519</v>
      </c>
      <c r="H83" s="88" t="s">
        <v>578</v>
      </c>
      <c r="I83" s="122" t="str">
        <f>IF(_epmOfflineCondition_,"T3",_xll.EVPRO($B$1,$H83,"STYLE"))</f>
        <v>T3</v>
      </c>
      <c r="J83" s="122" t="str">
        <f>IF(_epmOfflineCondition_,"Y",_xll.EVPRO($B$1,$H83,"CALC"))</f>
        <v>Y</v>
      </c>
      <c r="K83" s="11"/>
      <c r="L83" s="11"/>
      <c r="M83" s="90" t="str">
        <f>IF(_epmOfflineCondition_,"Total Income Taxes",IF(_xll.EVDES(H83,$B$1)="#NODATA","",_xll.EVDES(H83,$B$1)))</f>
        <v>Total Income Taxes</v>
      </c>
      <c r="N83" s="143"/>
      <c r="O83" s="143"/>
      <c r="P83" s="143"/>
      <c r="Q83" s="143"/>
      <c r="R83" s="143"/>
      <c r="S83" s="143"/>
      <c r="T83" s="143"/>
      <c r="U83" s="143"/>
      <c r="V83" s="143"/>
      <c r="W83" s="143"/>
      <c r="X83" s="143"/>
      <c r="Y83" s="143"/>
      <c r="Z83" s="143">
        <f>SUM(N83:Y83)</f>
        <v>0</v>
      </c>
      <c r="AA83" s="144" t="str">
        <f>IF(Z83=0,"",IFERROR(Z83/Z$43,""))</f>
        <v/>
      </c>
      <c r="AB83" s="140"/>
      <c r="AC83" s="143"/>
      <c r="AD83" s="144" t="str">
        <f>IF(AC83=0,"",IFERROR(AC83/AC$43,""))</f>
        <v/>
      </c>
      <c r="AE83" s="145">
        <f>IF(AND($Z83="",AC83=""),"",$Z83-AC83)</f>
        <v>0</v>
      </c>
      <c r="AF83" s="143"/>
      <c r="AG83" s="144" t="str">
        <f>IF(AF83=0,"",IFERROR(AF83/AF$43,""))</f>
        <v/>
      </c>
      <c r="AH83" s="145">
        <f>IF(AND($Z83="",AF83=""),"",$Z83-AF83)</f>
        <v>0</v>
      </c>
      <c r="AI83" s="622">
        <f>+IFERROR(ROUND(($AA83-AD83)*100,2)&amp;" pts.",0)</f>
        <v>0</v>
      </c>
      <c r="AJ83" s="623"/>
      <c r="AK83" s="622">
        <f>+IFERROR(ROUND(($AA83-AG83)*100,2)&amp;" pts.",0)</f>
        <v>0</v>
      </c>
      <c r="AL83" s="623"/>
      <c r="AM83" s="11"/>
      <c r="AN83" s="11"/>
      <c r="AO83" s="11"/>
    </row>
    <row r="84" spans="1:41" ht="15" thickBot="1" x14ac:dyDescent="0.4">
      <c r="A84" s="11"/>
      <c r="B84" s="11"/>
      <c r="C84" s="11"/>
      <c r="D84" s="11"/>
      <c r="E84" s="11"/>
      <c r="F84" s="88" t="s">
        <v>579</v>
      </c>
      <c r="G84" s="11"/>
      <c r="H84" s="11"/>
      <c r="I84" s="11"/>
      <c r="J84" s="11"/>
      <c r="K84" s="11"/>
      <c r="L84" s="11"/>
      <c r="M84" s="106" t="str">
        <f>IF(_epmOfflineCondition_,"Net Income",IF(_xll.EVDES(F84,$B$1)="#NODATA","",_xll.EVDES(F84,$B$1)))</f>
        <v>Net Income</v>
      </c>
      <c r="N84" s="169">
        <f t="shared" ref="N84:Y84" si="33">N82-N83</f>
        <v>-12310.049999999901</v>
      </c>
      <c r="O84" s="169">
        <f t="shared" si="33"/>
        <v>78476.129999999917</v>
      </c>
      <c r="P84" s="169">
        <f t="shared" si="33"/>
        <v>143884.72000000003</v>
      </c>
      <c r="Q84" s="169">
        <f t="shared" si="33"/>
        <v>178814.28000000006</v>
      </c>
      <c r="R84" s="169">
        <f t="shared" si="33"/>
        <v>277028.94999999978</v>
      </c>
      <c r="S84" s="169">
        <f t="shared" si="33"/>
        <v>185556.23999999993</v>
      </c>
      <c r="T84" s="169">
        <f t="shared" si="33"/>
        <v>174046.79999999973</v>
      </c>
      <c r="U84" s="169">
        <f t="shared" si="33"/>
        <v>-185646.99999999997</v>
      </c>
      <c r="V84" s="169">
        <f t="shared" si="33"/>
        <v>-239309.73000000004</v>
      </c>
      <c r="W84" s="169">
        <f t="shared" si="33"/>
        <v>-185454.03000000003</v>
      </c>
      <c r="X84" s="169">
        <f t="shared" si="33"/>
        <v>27014.86999999985</v>
      </c>
      <c r="Y84" s="169">
        <f t="shared" si="33"/>
        <v>472343.39000000007</v>
      </c>
      <c r="Z84" s="169">
        <f>SUM(N84:Y84)</f>
        <v>914444.56999999937</v>
      </c>
      <c r="AA84" s="170">
        <f>IF(Z84=0,"",IFERROR(Z84/Z$43,""))</f>
        <v>7.6801973249553832E-2</v>
      </c>
      <c r="AB84" s="140"/>
      <c r="AC84" s="169">
        <f>AC82-AC83</f>
        <v>-1251322.1448374977</v>
      </c>
      <c r="AD84" s="170">
        <f>IF(AC84=0,"",IFERROR(AC84/AC$43,""))</f>
        <v>-0.15017064367916549</v>
      </c>
      <c r="AE84" s="171">
        <f>IF(AND($Z84="",AC84=""),"",$Z84-AC84)</f>
        <v>2165766.7148374971</v>
      </c>
      <c r="AF84" s="169">
        <f>AF82-AF83</f>
        <v>-2202466.3299999991</v>
      </c>
      <c r="AG84" s="170">
        <f>IF(AF84=0,"",IFERROR(AF84/AF$43,""))</f>
        <v>-0.42246698260723531</v>
      </c>
      <c r="AH84" s="171">
        <f>IF(AND($Z84="",AF84=""),"",$Z84-AF84)</f>
        <v>3116910.8999999985</v>
      </c>
      <c r="AI84" s="632" t="str">
        <f>+IFERROR(ROUND(($AA84-AD84)*100,2)&amp;" pts.",0)</f>
        <v>22.7 pts.</v>
      </c>
      <c r="AJ84" s="633"/>
      <c r="AK84" s="632" t="str">
        <f>+IFERROR(ROUND(($AA84-AG84)*100,2)&amp;" pts.",0)</f>
        <v>49.93 pts.</v>
      </c>
      <c r="AL84" s="633"/>
      <c r="AM84" s="11"/>
      <c r="AN84" s="11"/>
      <c r="AO84" s="11"/>
    </row>
    <row r="85" spans="1:41" ht="15" thickTop="1" x14ac:dyDescent="0.35">
      <c r="A85" s="11"/>
      <c r="B85" s="11"/>
      <c r="C85" s="11"/>
      <c r="D85" s="11"/>
      <c r="E85" s="11"/>
      <c r="F85" s="11"/>
      <c r="G85" s="11"/>
      <c r="H85" s="59"/>
      <c r="I85" s="59"/>
      <c r="J85" s="11"/>
      <c r="K85" s="11"/>
      <c r="L85" s="11">
        <f>COUNTIF(N85:AH85,FALSE)</f>
        <v>0</v>
      </c>
      <c r="M85" s="117" t="str">
        <f>IF(L85=0,"","Net Income - database validation failed")</f>
        <v/>
      </c>
      <c r="N85" s="157" t="str">
        <f t="shared" ref="N85:Z85" si="34">IF(ROUND(N84,2)&lt;&gt;ROUND(N105,2),N84-N105,"")</f>
        <v/>
      </c>
      <c r="O85" s="157" t="str">
        <f t="shared" si="34"/>
        <v/>
      </c>
      <c r="P85" s="157" t="str">
        <f t="shared" si="34"/>
        <v/>
      </c>
      <c r="Q85" s="157" t="str">
        <f t="shared" si="34"/>
        <v/>
      </c>
      <c r="R85" s="157" t="str">
        <f t="shared" si="34"/>
        <v/>
      </c>
      <c r="S85" s="157" t="str">
        <f t="shared" si="34"/>
        <v/>
      </c>
      <c r="T85" s="157" t="str">
        <f t="shared" si="34"/>
        <v/>
      </c>
      <c r="U85" s="157" t="str">
        <f t="shared" si="34"/>
        <v/>
      </c>
      <c r="V85" s="157" t="str">
        <f t="shared" si="34"/>
        <v/>
      </c>
      <c r="W85" s="157" t="str">
        <f t="shared" si="34"/>
        <v/>
      </c>
      <c r="X85" s="157" t="str">
        <f t="shared" si="34"/>
        <v/>
      </c>
      <c r="Y85" s="157" t="str">
        <f t="shared" si="34"/>
        <v/>
      </c>
      <c r="Z85" s="157" t="str">
        <f t="shared" si="34"/>
        <v/>
      </c>
      <c r="AA85" s="165" t="b">
        <f>Z85=""</f>
        <v>1</v>
      </c>
      <c r="AB85" s="140"/>
      <c r="AC85" s="157" t="str">
        <f>IF(ROUND(AC84,2)&lt;&gt;ROUND(AC105,2),AC84-AC105,"")</f>
        <v/>
      </c>
      <c r="AD85" s="160" t="b">
        <f>AC85=""</f>
        <v>1</v>
      </c>
      <c r="AE85" s="161"/>
      <c r="AF85" s="157" t="str">
        <f>IF(ROUND(AF84,2)&lt;&gt;ROUND(AF105,2),AF84-AF105,"")</f>
        <v/>
      </c>
      <c r="AG85" s="160" t="b">
        <f>AF85=""</f>
        <v>1</v>
      </c>
      <c r="AH85" s="161"/>
      <c r="AI85" s="11"/>
      <c r="AJ85" s="11"/>
      <c r="AK85" s="11"/>
      <c r="AL85" s="11"/>
      <c r="AM85" s="11"/>
      <c r="AN85" s="11"/>
      <c r="AO85" s="11"/>
    </row>
    <row r="86" spans="1:41" x14ac:dyDescent="0.35">
      <c r="A86" s="11"/>
      <c r="B86" s="11"/>
      <c r="C86" s="11"/>
      <c r="D86" s="11"/>
      <c r="E86" s="11"/>
      <c r="F86" s="88" t="s">
        <v>570</v>
      </c>
      <c r="G86" s="11"/>
      <c r="H86" s="11"/>
      <c r="I86" s="11"/>
      <c r="J86" s="11"/>
      <c r="K86" s="11"/>
      <c r="L86" s="11"/>
      <c r="M86" s="106" t="str">
        <f>IF(_epmOfflineCondition_,"EBITDA",IF(_xll.EVDES(F86,$B$1)="#NODATA","",_xll.EVDES(F86,$B$1)))</f>
        <v>EBITDA</v>
      </c>
      <c r="N86" s="166">
        <f t="shared" ref="N86:Y86" si="35">N74</f>
        <v>175314.2000000001</v>
      </c>
      <c r="O86" s="166">
        <f t="shared" si="35"/>
        <v>251805.83999999991</v>
      </c>
      <c r="P86" s="166">
        <f t="shared" si="35"/>
        <v>331508.97000000003</v>
      </c>
      <c r="Q86" s="166">
        <f t="shared" si="35"/>
        <v>361673.68000000005</v>
      </c>
      <c r="R86" s="166">
        <f t="shared" si="35"/>
        <v>464653.14999999979</v>
      </c>
      <c r="S86" s="166">
        <f t="shared" si="35"/>
        <v>368226.67999999993</v>
      </c>
      <c r="T86" s="166">
        <f t="shared" si="35"/>
        <v>361482.08999999973</v>
      </c>
      <c r="U86" s="166">
        <f t="shared" si="35"/>
        <v>1788.2900000000373</v>
      </c>
      <c r="V86" s="166">
        <f t="shared" si="35"/>
        <v>-56639.290000000023</v>
      </c>
      <c r="W86" s="166">
        <f t="shared" si="35"/>
        <v>1981.2599999999948</v>
      </c>
      <c r="X86" s="166">
        <f t="shared" si="35"/>
        <v>211374.72999999986</v>
      </c>
      <c r="Y86" s="166">
        <f t="shared" si="35"/>
        <v>661993.10000000009</v>
      </c>
      <c r="Z86" s="166">
        <f>SUM(N86:Y86)</f>
        <v>3135162.6999999993</v>
      </c>
      <c r="AA86" s="167">
        <f>IF(Z86=0,"",IFERROR(Z86/Z$43,""))</f>
        <v>0.26331468272417985</v>
      </c>
      <c r="AB86" s="140"/>
      <c r="AC86" s="166">
        <f>AC74</f>
        <v>957643.85516250227</v>
      </c>
      <c r="AD86" s="167">
        <f>IF(AC86=0,"",IFERROR(AC86/AC$43,""))</f>
        <v>0.11492643580109127</v>
      </c>
      <c r="AE86" s="168">
        <f>IF(AND($Z86="",AC86=""),"",$Z86-AC86)</f>
        <v>2177518.844837497</v>
      </c>
      <c r="AF86" s="166">
        <f>AF74</f>
        <v>24980.220000000671</v>
      </c>
      <c r="AG86" s="167">
        <f>IF(AF86=0,"",IFERROR(AF86/AF$43,""))</f>
        <v>4.7915911469417101E-3</v>
      </c>
      <c r="AH86" s="168">
        <f>IF(AND($Z86="",AF86=""),"",$Z86-AF86)</f>
        <v>3110182.4799999986</v>
      </c>
      <c r="AI86" s="11"/>
      <c r="AJ86" s="11"/>
      <c r="AK86" s="11"/>
      <c r="AL86" s="11"/>
      <c r="AM86" s="11"/>
      <c r="AN86" s="11"/>
      <c r="AO86" s="11"/>
    </row>
    <row r="87" spans="1:41" x14ac:dyDescent="0.35">
      <c r="A87" s="11"/>
      <c r="B87" s="11"/>
      <c r="C87" s="11"/>
      <c r="D87" s="11"/>
      <c r="E87" s="11"/>
      <c r="F87" s="11"/>
      <c r="G87" s="88" t="s">
        <v>519</v>
      </c>
      <c r="H87" s="88" t="s">
        <v>580</v>
      </c>
      <c r="I87" s="122" t="str">
        <f>IF(_epmOfflineCondition_,"T3",_xll.EVPRO($B$1,$H87,"STYLE"))</f>
        <v>T3</v>
      </c>
      <c r="J87" s="122" t="str">
        <f>IF(_epmOfflineCondition_,"Y",_xll.EVPRO($B$1,$H87,"CALC"))</f>
        <v>Y</v>
      </c>
      <c r="K87" s="11"/>
      <c r="L87" s="59"/>
      <c r="M87" s="90" t="str">
        <f>IF(_epmOfflineCondition_,"FF&amp;E ProForma Calculation",IF(_xll.EVDES(H87,$B$1)="#NODATA","",_xll.EVDES(H87,$B$1)))</f>
        <v>FF&amp;E ProForma Calculation</v>
      </c>
      <c r="N87" s="143"/>
      <c r="O87" s="143"/>
      <c r="P87" s="143"/>
      <c r="Q87" s="143"/>
      <c r="R87" s="143"/>
      <c r="S87" s="143"/>
      <c r="T87" s="143">
        <v>47746.32</v>
      </c>
      <c r="U87" s="143">
        <v>30113.47</v>
      </c>
      <c r="V87" s="143">
        <v>22985.09</v>
      </c>
      <c r="W87" s="143">
        <v>29941.87</v>
      </c>
      <c r="X87" s="143">
        <v>36776.339999999997</v>
      </c>
      <c r="Y87" s="143">
        <v>53437.88</v>
      </c>
      <c r="Z87" s="143">
        <f>SUM(N87:Y87)</f>
        <v>221000.97</v>
      </c>
      <c r="AA87" s="144">
        <f>IF(Z87=0,"",IFERROR(Z87/Z$43,""))</f>
        <v>1.8561333450824103E-2</v>
      </c>
      <c r="AB87" s="140"/>
      <c r="AC87" s="143">
        <v>333306.72738165897</v>
      </c>
      <c r="AD87" s="144">
        <f>IF(AC87=0,"",IFERROR(AC87/AC$43,""))</f>
        <v>3.9999999999999966E-2</v>
      </c>
      <c r="AE87" s="145">
        <f>IF(AND($Z87="",AC87=""),"",$Z87-AC87)</f>
        <v>-112305.75738165897</v>
      </c>
      <c r="AF87" s="143">
        <v>133304.67000000001</v>
      </c>
      <c r="AG87" s="144">
        <f>IF(AF87=0,"",IFERROR(AF87/AF$43,""))</f>
        <v>2.5569889961656423E-2</v>
      </c>
      <c r="AH87" s="145">
        <f>IF(AND($Z87="",AF87=""),"",$Z87-AF87)</f>
        <v>87696.299999999988</v>
      </c>
      <c r="AI87" s="11"/>
      <c r="AJ87" s="11"/>
      <c r="AK87" s="11"/>
      <c r="AL87" s="11"/>
      <c r="AM87" s="11"/>
      <c r="AN87" s="11"/>
      <c r="AO87" s="11"/>
    </row>
    <row r="88" spans="1:41" ht="15" thickBot="1" x14ac:dyDescent="0.4">
      <c r="A88" s="11"/>
      <c r="B88" s="11"/>
      <c r="C88" s="11"/>
      <c r="D88" s="11"/>
      <c r="E88" s="11"/>
      <c r="F88" s="11"/>
      <c r="G88" s="11"/>
      <c r="H88" s="11"/>
      <c r="I88" s="11"/>
      <c r="J88" s="11"/>
      <c r="K88" s="11"/>
      <c r="L88" s="11"/>
      <c r="M88" s="106" t="s">
        <v>581</v>
      </c>
      <c r="N88" s="169">
        <f t="shared" ref="N88:Y88" si="36">N86-N87</f>
        <v>175314.2000000001</v>
      </c>
      <c r="O88" s="169">
        <f t="shared" si="36"/>
        <v>251805.83999999991</v>
      </c>
      <c r="P88" s="169">
        <f t="shared" si="36"/>
        <v>331508.97000000003</v>
      </c>
      <c r="Q88" s="169">
        <f t="shared" si="36"/>
        <v>361673.68000000005</v>
      </c>
      <c r="R88" s="169">
        <f t="shared" si="36"/>
        <v>464653.14999999979</v>
      </c>
      <c r="S88" s="169">
        <f t="shared" si="36"/>
        <v>368226.67999999993</v>
      </c>
      <c r="T88" s="169">
        <f t="shared" si="36"/>
        <v>313735.76999999973</v>
      </c>
      <c r="U88" s="169">
        <f t="shared" si="36"/>
        <v>-28325.179999999964</v>
      </c>
      <c r="V88" s="169">
        <f t="shared" si="36"/>
        <v>-79624.380000000019</v>
      </c>
      <c r="W88" s="169">
        <f t="shared" si="36"/>
        <v>-27960.610000000004</v>
      </c>
      <c r="X88" s="169">
        <f t="shared" si="36"/>
        <v>174598.38999999987</v>
      </c>
      <c r="Y88" s="169">
        <f t="shared" si="36"/>
        <v>608555.22000000009</v>
      </c>
      <c r="Z88" s="169">
        <f>SUM(N88:Y88)</f>
        <v>2914161.7299999995</v>
      </c>
      <c r="AA88" s="170">
        <f>IF(Z88=0,"",IFERROR(Z88/Z$43,""))</f>
        <v>0.24475334927335579</v>
      </c>
      <c r="AB88" s="140"/>
      <c r="AC88" s="169">
        <f>AC86-AC87</f>
        <v>624337.12778084329</v>
      </c>
      <c r="AD88" s="170">
        <f>IF(AC88=0,"",IFERROR(AC88/AC$43,""))</f>
        <v>7.4926435801091304E-2</v>
      </c>
      <c r="AE88" s="171">
        <f>IF(AND($Z88="",AC88=""),"",$Z88-AC88)</f>
        <v>2289824.602219156</v>
      </c>
      <c r="AF88" s="169">
        <f>AF86-AF87</f>
        <v>-108324.44999999934</v>
      </c>
      <c r="AG88" s="170">
        <f>IF(AF88=0,"",IFERROR(AF88/AF$43,""))</f>
        <v>-2.0778298814714716E-2</v>
      </c>
      <c r="AH88" s="171">
        <f>IF(AND($Z88="",AF88=""),"",$Z88-AF88)</f>
        <v>3022486.1799999988</v>
      </c>
      <c r="AI88" s="11"/>
      <c r="AJ88" s="11"/>
      <c r="AK88" s="11"/>
      <c r="AL88" s="11"/>
      <c r="AM88" s="11"/>
      <c r="AN88" s="11"/>
      <c r="AO88" s="11"/>
    </row>
    <row r="89" spans="1:41" ht="15" thickTop="1" x14ac:dyDescent="0.35">
      <c r="A89" s="11"/>
      <c r="B89" s="11"/>
      <c r="C89" s="11"/>
      <c r="D89" s="11"/>
      <c r="E89" s="11"/>
      <c r="F89" s="11"/>
      <c r="G89" s="11"/>
      <c r="H89" s="59"/>
      <c r="I89" s="59"/>
      <c r="J89" s="11"/>
      <c r="K89" s="11"/>
      <c r="L89" s="59"/>
      <c r="M89" s="53" t="s">
        <v>754</v>
      </c>
      <c r="N89" s="11"/>
      <c r="O89" s="11"/>
      <c r="P89" s="11"/>
      <c r="Q89" s="11"/>
      <c r="R89" s="11"/>
      <c r="S89" s="11"/>
      <c r="T89" s="11"/>
      <c r="U89" s="11"/>
      <c r="V89" s="11"/>
      <c r="W89" s="11"/>
      <c r="X89" s="11"/>
      <c r="Y89" s="11"/>
      <c r="Z89" s="11"/>
      <c r="AA89" s="11"/>
      <c r="AB89" s="11"/>
      <c r="AC89" s="11"/>
      <c r="AD89" s="132">
        <f>+IF(AND(AE43&gt;0,AE61&gt;0),+AE61/+AE43)+IF(AND(AE43&gt;0,AE61&lt;0),AE61/+AE43)+IF(AND(AE43&lt;0,AE61&lt;0),+(1-(AE61/+AE43)))+IF(AND(AE43&lt;0,AE61&gt;0),+(1-(AE61/+AE43)))</f>
        <v>0.6122553063403906</v>
      </c>
      <c r="AE89" s="133" t="str">
        <f>IF(AE43&lt;0,"Flex","")</f>
        <v/>
      </c>
      <c r="AF89" s="11"/>
      <c r="AG89" s="132">
        <f>+IF(AND(AH43&gt;0,AH61&gt;0),+AH61/+AH43)+IF(AND(AH43&gt;0,AH61&lt;0),AH61/+AH43)+IF(AND(AH43&lt;0,AH61&lt;0),+(1-(AH61/+AH43)))+IF(AND(AH43&lt;0,AH61&gt;0),+(1-(AH61/+AH43)))</f>
        <v>0.49345882198473112</v>
      </c>
      <c r="AH89" s="133" t="str">
        <f>IF(AH43&lt;0,"Flex","")</f>
        <v/>
      </c>
      <c r="AI89" s="11"/>
      <c r="AJ89" s="11"/>
      <c r="AK89" s="11"/>
      <c r="AL89" s="11"/>
      <c r="AM89" s="11"/>
      <c r="AN89" s="11"/>
      <c r="AO89" s="11"/>
    </row>
    <row r="90" spans="1:41" x14ac:dyDescent="0.35">
      <c r="A90" s="11"/>
      <c r="B90" s="11"/>
      <c r="C90" s="11"/>
      <c r="D90" s="11"/>
      <c r="E90" s="11"/>
      <c r="F90" s="11"/>
      <c r="G90" s="11"/>
      <c r="H90" s="59"/>
      <c r="I90" s="59"/>
      <c r="J90" s="11"/>
      <c r="K90" s="11"/>
      <c r="L90" s="59"/>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hidden="1" outlineLevel="1" x14ac:dyDescent="0.35">
      <c r="A91" s="11"/>
      <c r="B91" s="11"/>
      <c r="C91" s="11"/>
      <c r="D91" s="11"/>
      <c r="E91" s="11"/>
      <c r="F91" s="11"/>
      <c r="G91" s="11"/>
      <c r="H91" s="59"/>
      <c r="I91" s="59"/>
      <c r="J91" s="11"/>
      <c r="K91" s="11"/>
      <c r="L91" s="59"/>
      <c r="M91" s="53" t="str">
        <f>M66</f>
        <v>Non-Operating Income &amp; Expenses</v>
      </c>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hidden="1" outlineLevel="1" x14ac:dyDescent="0.35">
      <c r="A92" s="11"/>
      <c r="B92" s="11"/>
      <c r="C92" s="11"/>
      <c r="D92" s="11"/>
      <c r="E92" s="11"/>
      <c r="F92" s="11"/>
      <c r="G92" s="11"/>
      <c r="H92" s="59"/>
      <c r="I92" s="59"/>
      <c r="J92" s="11"/>
      <c r="K92" s="11"/>
      <c r="L92" s="59"/>
      <c r="M92" s="53" t="s">
        <v>587</v>
      </c>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hidden="1" outlineLevel="1" x14ac:dyDescent="0.35">
      <c r="A93" s="11"/>
      <c r="B93" s="11"/>
      <c r="C93" s="11"/>
      <c r="D93" s="11"/>
      <c r="E93" s="11"/>
      <c r="F93" s="11"/>
      <c r="G93" s="88" t="s">
        <v>519</v>
      </c>
      <c r="H93" s="88" t="s">
        <v>542</v>
      </c>
      <c r="I93" s="122" t="str">
        <f>IF(_epmOfflineCondition_,"T3",_xll.EVPRO($B$1,$H93,"STYLE"))</f>
        <v>T3</v>
      </c>
      <c r="J93" s="122" t="str">
        <f>IF(_epmOfflineCondition_,"Y",_xll.EVPRO($B$1,$H93,"CALC"))</f>
        <v>Y</v>
      </c>
      <c r="K93" s="11"/>
      <c r="L93" s="11"/>
      <c r="M93" s="134" t="str">
        <f>IF(_epmOfflineCondition_,"Total Other",IF(_xll.EVDES(H93,$B$1)="#NODATA","",_xll.EVDES(H93,$B$1)))</f>
        <v>Total Other</v>
      </c>
      <c r="N93" s="138"/>
      <c r="O93" s="138"/>
      <c r="P93" s="138"/>
      <c r="Q93" s="138"/>
      <c r="R93" s="138"/>
      <c r="S93" s="138"/>
      <c r="T93" s="138"/>
      <c r="U93" s="138"/>
      <c r="V93" s="138"/>
      <c r="W93" s="138"/>
      <c r="X93" s="138"/>
      <c r="Y93" s="138"/>
      <c r="Z93" s="138">
        <f>SUM(N93:Y93)</f>
        <v>0</v>
      </c>
      <c r="AA93" s="139"/>
      <c r="AB93" s="140"/>
      <c r="AC93" s="138"/>
      <c r="AD93" s="139"/>
      <c r="AE93" s="138">
        <f>IF(AND($Z93="",AC93=""),"",$Z93-AC93)</f>
        <v>0</v>
      </c>
      <c r="AF93" s="138">
        <v>34726.980000000003</v>
      </c>
      <c r="AG93" s="139"/>
      <c r="AH93" s="138">
        <f>IF(AND($Z93="",AF93=""),"",$Z93-AF93)</f>
        <v>-34726.980000000003</v>
      </c>
      <c r="AI93" s="11"/>
      <c r="AJ93" s="11"/>
      <c r="AK93" s="11"/>
      <c r="AL93" s="11"/>
      <c r="AM93" s="11"/>
      <c r="AN93" s="11"/>
      <c r="AO93" s="11"/>
    </row>
    <row r="94" spans="1:41" hidden="1" outlineLevel="1" x14ac:dyDescent="0.35">
      <c r="A94" s="11"/>
      <c r="B94" s="11"/>
      <c r="C94" s="11"/>
      <c r="D94" s="11"/>
      <c r="E94" s="11"/>
      <c r="F94" s="11"/>
      <c r="G94" s="88" t="s">
        <v>583</v>
      </c>
      <c r="H94" s="88" t="s">
        <v>584</v>
      </c>
      <c r="I94" s="122" t="str">
        <f>IF(_epmOfflineCondition_,"T1",_xll.EVPRO($B$1,$H94,"STYLE"))</f>
        <v>T1</v>
      </c>
      <c r="J94" s="122" t="str">
        <f>IF(_epmOfflineCondition_,"Y",_xll.EVPRO($B$1,$H94,"CALC"))</f>
        <v>Y</v>
      </c>
      <c r="K94" s="11"/>
      <c r="L94" s="11"/>
      <c r="M94" s="135" t="str">
        <f>IF(_epmOfflineCondition_,"Net Income-Development &amp; Renovation Projects",IF(_xll.EVDES(H94,$B$1)="#NODATA","",_xll.EVDES(H94,$B$1))&amp;"-"&amp;_xll.EVDES(G94))</f>
        <v>Net Income-Development &amp; Renovation Projects</v>
      </c>
      <c r="N94" s="141">
        <f>IF(_epmOfflineCondition_,0,_xll.EVGTS($B$1,1,$B$3,$B$5,$B$7,$B$9,N$16,N$17,N$18,$G$94,$H$94))</f>
        <v>0</v>
      </c>
      <c r="O94" s="141">
        <f>IF(_epmOfflineCondition_,0,_xll.EVGTS($B$1,1,$B$3,$B$5,$B$7,$B$9,O$16,O$17,O$18,$G$94,$H$94))</f>
        <v>0</v>
      </c>
      <c r="P94" s="141">
        <f>IF(_epmOfflineCondition_,0,_xll.EVGTS($B$1,1,$B$3,$B$5,$B$7,$B$9,P$16,P$17,P$18,$G$94,$H$94))</f>
        <v>0</v>
      </c>
      <c r="Q94" s="141">
        <f>IF(_epmOfflineCondition_,0,_xll.EVGTS($B$1,1,$B$3,$B$5,$B$7,$B$9,Q$16,Q$17,Q$18,$G$94,$H$94))</f>
        <v>0</v>
      </c>
      <c r="R94" s="141">
        <f>IF(_epmOfflineCondition_,0,_xll.EVGTS($B$1,1,$B$3,$B$5,$B$7,$B$9,R$16,R$17,R$18,$G$94,$H$94))</f>
        <v>0</v>
      </c>
      <c r="S94" s="141">
        <f>IF(_epmOfflineCondition_,0,_xll.EVGTS($B$1,1,$B$3,$B$5,$B$7,$B$9,S$16,S$17,S$18,$G$94,$H$94))</f>
        <v>0</v>
      </c>
      <c r="T94" s="141">
        <f>IF(_epmOfflineCondition_,0,_xll.EVGTS($B$1,1,$B$3,$B$5,$B$7,$B$9,T$16,T$17,T$18,$G$94,$H$94))</f>
        <v>0</v>
      </c>
      <c r="U94" s="141">
        <f>IF(_epmOfflineCondition_,0,_xll.EVGTS($B$1,1,$B$3,$B$5,$B$7,$B$9,U$16,U$17,U$18,$G$94,$H$94))</f>
        <v>0</v>
      </c>
      <c r="V94" s="141">
        <f>IF(_epmOfflineCondition_,0,_xll.EVGTS($B$1,1,$B$3,$B$5,$B$7,$B$9,V$16,V$17,V$18,$G$94,$H$94))</f>
        <v>0</v>
      </c>
      <c r="W94" s="141">
        <f>IF(_epmOfflineCondition_,0,_xll.EVGTS($B$1,1,$B$3,$B$5,$B$7,$B$9,W$16,W$17,W$18,$G$94,$H$94))</f>
        <v>0</v>
      </c>
      <c r="X94" s="141">
        <f>IF(_epmOfflineCondition_,0,_xll.EVGTS($B$1,1,$B$3,$B$5,$B$7,$B$9,X$16,X$17,X$18,$G$94,$H$94))</f>
        <v>0</v>
      </c>
      <c r="Y94" s="141">
        <f>IF(_epmOfflineCondition_,0,_xll.EVGTS($B$1,1,$B$3,$B$5,$B$7,$B$9,Y$16,Y$17,Y$18,$G$94,$H$94))</f>
        <v>0</v>
      </c>
      <c r="Z94" s="138">
        <f>SUM(N94:Y94)</f>
        <v>0</v>
      </c>
      <c r="AA94" s="142"/>
      <c r="AB94" s="140"/>
      <c r="AC94" s="141">
        <f>IF(_epmOfflineCondition_,0,_xll.EVGTS($B$1,1,$B$3,$B$5,$B$7,$B$9,AC$16,AC$17,AC$18,$G$94,$H$94))</f>
        <v>0</v>
      </c>
      <c r="AD94" s="142"/>
      <c r="AE94" s="138">
        <f>IF(AND($Z94="",AC94=""),"",$Z94-AC94)</f>
        <v>0</v>
      </c>
      <c r="AF94" s="141">
        <f>IF(_epmOfflineCondition_,0,_xll.EVGTS($B$1,1,$B$3,$B$5,$B$7,$B$9,AF$16,AF$17,AF$18,$G$94,$H$94))</f>
        <v>0</v>
      </c>
      <c r="AG94" s="142"/>
      <c r="AH94" s="138">
        <f>IF(AND($Z94="",AF94=""),"",$Z94-AF94)</f>
        <v>0</v>
      </c>
      <c r="AI94" s="11"/>
      <c r="AJ94" s="11"/>
      <c r="AK94" s="11"/>
      <c r="AL94" s="11"/>
      <c r="AM94" s="11"/>
      <c r="AN94" s="11"/>
      <c r="AO94" s="11"/>
    </row>
    <row r="95" spans="1:41" hidden="1" outlineLevel="1" x14ac:dyDescent="0.35">
      <c r="A95" s="11"/>
      <c r="B95" s="11"/>
      <c r="C95" s="11"/>
      <c r="D95" s="11"/>
      <c r="E95" s="11"/>
      <c r="F95" s="11"/>
      <c r="G95" s="11"/>
      <c r="H95" s="11"/>
      <c r="I95" s="11"/>
      <c r="J95" s="11"/>
      <c r="K95" s="11"/>
      <c r="L95" s="11"/>
      <c r="M95" s="134" t="s">
        <v>585</v>
      </c>
      <c r="N95" s="138">
        <f t="shared" ref="N95:Y95" si="37">IFERROR(N93-N94,"")</f>
        <v>0</v>
      </c>
      <c r="O95" s="138">
        <f t="shared" si="37"/>
        <v>0</v>
      </c>
      <c r="P95" s="138">
        <f t="shared" si="37"/>
        <v>0</v>
      </c>
      <c r="Q95" s="138">
        <f t="shared" si="37"/>
        <v>0</v>
      </c>
      <c r="R95" s="138">
        <f t="shared" si="37"/>
        <v>0</v>
      </c>
      <c r="S95" s="138">
        <f t="shared" si="37"/>
        <v>0</v>
      </c>
      <c r="T95" s="138">
        <f t="shared" si="37"/>
        <v>0</v>
      </c>
      <c r="U95" s="138">
        <f t="shared" si="37"/>
        <v>0</v>
      </c>
      <c r="V95" s="138">
        <f t="shared" si="37"/>
        <v>0</v>
      </c>
      <c r="W95" s="138">
        <f t="shared" si="37"/>
        <v>0</v>
      </c>
      <c r="X95" s="138">
        <f t="shared" si="37"/>
        <v>0</v>
      </c>
      <c r="Y95" s="138">
        <f t="shared" si="37"/>
        <v>0</v>
      </c>
      <c r="Z95" s="138">
        <f>SUM(N95:Y95)</f>
        <v>0</v>
      </c>
      <c r="AA95" s="139"/>
      <c r="AB95" s="140"/>
      <c r="AC95" s="138">
        <f>IFERROR(AC93-AC94,"")</f>
        <v>0</v>
      </c>
      <c r="AD95" s="139"/>
      <c r="AE95" s="138">
        <f>IF(AND($Z95="",AC95=""),"",$Z95-AC95)</f>
        <v>0</v>
      </c>
      <c r="AF95" s="138">
        <f>IFERROR(AF93-AF94,"")</f>
        <v>34726.980000000003</v>
      </c>
      <c r="AG95" s="139"/>
      <c r="AH95" s="138">
        <f>IF(AND($Z95="",AF95=""),"",$Z95-AF95)</f>
        <v>-34726.980000000003</v>
      </c>
      <c r="AI95" s="11"/>
      <c r="AJ95" s="11"/>
      <c r="AK95" s="11"/>
      <c r="AL95" s="11"/>
      <c r="AM95" s="11"/>
      <c r="AN95" s="11"/>
      <c r="AO95" s="11"/>
    </row>
    <row r="96" spans="1:41" hidden="1" outlineLevel="1" x14ac:dyDescent="0.35">
      <c r="A96" s="11"/>
      <c r="B96" s="11"/>
      <c r="C96" s="11"/>
      <c r="D96" s="11"/>
      <c r="E96" s="11"/>
      <c r="F96" s="11"/>
      <c r="G96" s="11"/>
      <c r="H96" s="11"/>
      <c r="I96" s="11"/>
      <c r="J96" s="11"/>
      <c r="K96" s="11"/>
      <c r="L96" s="11"/>
      <c r="M96" s="11"/>
      <c r="N96" s="140"/>
      <c r="O96" s="140"/>
      <c r="P96" s="140"/>
      <c r="Q96" s="140"/>
      <c r="R96" s="140"/>
      <c r="S96" s="140"/>
      <c r="T96" s="140"/>
      <c r="U96" s="140"/>
      <c r="V96" s="140"/>
      <c r="W96" s="140"/>
      <c r="X96" s="140"/>
      <c r="Y96" s="140"/>
      <c r="Z96" s="140"/>
      <c r="AA96" s="140"/>
      <c r="AB96" s="140"/>
      <c r="AC96" s="140"/>
      <c r="AD96" s="140"/>
      <c r="AE96" s="140"/>
      <c r="AF96" s="140"/>
      <c r="AG96" s="140"/>
      <c r="AH96" s="140"/>
      <c r="AI96" s="11"/>
      <c r="AJ96" s="11"/>
      <c r="AK96" s="11"/>
      <c r="AL96" s="11"/>
      <c r="AM96" s="11"/>
      <c r="AN96" s="11"/>
      <c r="AO96" s="11"/>
    </row>
    <row r="97" spans="1:41" hidden="1" outlineLevel="1" x14ac:dyDescent="0.35">
      <c r="A97" s="11"/>
      <c r="B97" s="11"/>
      <c r="C97" s="11"/>
      <c r="D97" s="11"/>
      <c r="E97" s="11"/>
      <c r="F97" s="11"/>
      <c r="G97" s="88" t="s">
        <v>499</v>
      </c>
      <c r="H97" s="88">
        <v>400000</v>
      </c>
      <c r="I97" s="122" t="str">
        <f>IF(_epmOfflineCondition_,"T3",_xll.EVPRO($B$1,$H97,"STYLE"))</f>
        <v>T3</v>
      </c>
      <c r="J97" s="122" t="str">
        <f>IF(_epmOfflineCondition_,"Y",_xll.EVPRO($B$1,$H97,"CALC"))</f>
        <v>Y</v>
      </c>
      <c r="K97" s="11"/>
      <c r="L97" s="59"/>
      <c r="M97" s="90" t="str">
        <f>IF(_epmOfflineCondition_,"Total Revenue",IF(_xll.EVDES(H97,$B$1)="#NODATA","",_xll.EVDES(H97,$B$1)))</f>
        <v>Total Revenue</v>
      </c>
      <c r="N97" s="143">
        <v>733802.28</v>
      </c>
      <c r="O97" s="143">
        <v>862208.75</v>
      </c>
      <c r="P97" s="143">
        <v>1089812.5</v>
      </c>
      <c r="Q97" s="143">
        <v>1100470.49</v>
      </c>
      <c r="R97" s="143">
        <v>1246058.8999999999</v>
      </c>
      <c r="S97" s="143">
        <v>1071568.71</v>
      </c>
      <c r="T97" s="143">
        <v>1192075.01</v>
      </c>
      <c r="U97" s="143">
        <v>701156.28</v>
      </c>
      <c r="V97" s="143">
        <v>573367.35</v>
      </c>
      <c r="W97" s="143">
        <v>743025.95</v>
      </c>
      <c r="X97" s="143">
        <v>998687.28</v>
      </c>
      <c r="Y97" s="143">
        <v>1594290.92</v>
      </c>
      <c r="Z97" s="143">
        <f t="shared" ref="Z97:Z105" si="38">SUM(N97:Y97)</f>
        <v>11906524.419999998</v>
      </c>
      <c r="AA97" s="144">
        <f t="shared" ref="AA97:AA105" si="39">IF(N97=0,"",IFERROR(N97/N$43,""))</f>
        <v>1</v>
      </c>
      <c r="AB97" s="140"/>
      <c r="AC97" s="143">
        <v>8332668.1845414797</v>
      </c>
      <c r="AD97" s="144">
        <f t="shared" ref="AD97:AD105" si="40">IF(AC97=0,"",IFERROR(AC97/AC$43,""))</f>
        <v>0.99999999999999978</v>
      </c>
      <c r="AE97" s="145">
        <f t="shared" ref="AE97:AE105" si="41">IF(AND($Z97="",AC97=""),"",$Z97-AC97)</f>
        <v>3573856.2354585184</v>
      </c>
      <c r="AF97" s="143">
        <v>5213345.47</v>
      </c>
      <c r="AG97" s="144">
        <f t="shared" ref="AG97:AG105" si="42">IF(AF97=0,"",IFERROR(AF97/AF$43,""))</f>
        <v>0.99999999999999978</v>
      </c>
      <c r="AH97" s="145">
        <f t="shared" ref="AH97:AH105" si="43">IF(AND($Z97="",AF97=""),"",$Z97-AF97)</f>
        <v>6693178.9499999983</v>
      </c>
      <c r="AI97" s="11"/>
      <c r="AJ97" s="11"/>
      <c r="AK97" s="11"/>
      <c r="AL97" s="11"/>
      <c r="AM97" s="11"/>
      <c r="AN97" s="11"/>
      <c r="AO97" s="11"/>
    </row>
    <row r="98" spans="1:41" hidden="1" outlineLevel="1" x14ac:dyDescent="0.35">
      <c r="A98" s="11"/>
      <c r="B98" s="11"/>
      <c r="C98" s="11"/>
      <c r="D98" s="11"/>
      <c r="E98" s="11"/>
      <c r="F98" s="11"/>
      <c r="G98" s="88" t="s">
        <v>563</v>
      </c>
      <c r="H98" s="88" t="s">
        <v>464</v>
      </c>
      <c r="I98" s="122" t="str">
        <f>IF(_epmOfflineCondition_,"T3",_xll.EVPRO($B$1,$H98,"STYLE"))</f>
        <v>T3</v>
      </c>
      <c r="J98" s="122" t="str">
        <f>IF(_epmOfflineCondition_,"Y",_xll.EVPRO($B$1,$H98,"CALC"))</f>
        <v>Y</v>
      </c>
      <c r="K98" s="11"/>
      <c r="L98" s="59"/>
      <c r="M98" s="90" t="str">
        <f>IF(_epmOfflineCondition_,"Departmental Expenses (Incl COS)",IF(_xll.EVDES(H98,$B$1)="#NODATA","",_xll.EVDES(H98,$B$1)))</f>
        <v>Departmental Expenses (Incl COS)</v>
      </c>
      <c r="N98" s="143">
        <v>218310.98</v>
      </c>
      <c r="O98" s="143">
        <v>251054.84</v>
      </c>
      <c r="P98" s="143">
        <v>354436.36</v>
      </c>
      <c r="Q98" s="143">
        <v>352636.97</v>
      </c>
      <c r="R98" s="143">
        <v>367356.33</v>
      </c>
      <c r="S98" s="143">
        <v>357978.37</v>
      </c>
      <c r="T98" s="143">
        <v>411167</v>
      </c>
      <c r="U98" s="143">
        <v>345598.77</v>
      </c>
      <c r="V98" s="143">
        <v>288921.45</v>
      </c>
      <c r="W98" s="143">
        <v>337579.35</v>
      </c>
      <c r="X98" s="143">
        <v>392477.92</v>
      </c>
      <c r="Y98" s="143">
        <v>458514.51</v>
      </c>
      <c r="Z98" s="143">
        <f t="shared" si="38"/>
        <v>4136032.8500000006</v>
      </c>
      <c r="AA98" s="144">
        <f t="shared" si="39"/>
        <v>0.29750654358828105</v>
      </c>
      <c r="AB98" s="140"/>
      <c r="AC98" s="143">
        <v>3133984.0837917398</v>
      </c>
      <c r="AD98" s="144">
        <f t="shared" si="40"/>
        <v>0.37610811019762119</v>
      </c>
      <c r="AE98" s="145">
        <f t="shared" si="41"/>
        <v>1002048.7662082608</v>
      </c>
      <c r="AF98" s="143">
        <v>1863506.06</v>
      </c>
      <c r="AG98" s="144">
        <f t="shared" si="42"/>
        <v>0.35744917936543341</v>
      </c>
      <c r="AH98" s="145">
        <f t="shared" si="43"/>
        <v>2272526.7900000005</v>
      </c>
      <c r="AI98" s="11"/>
      <c r="AJ98" s="11"/>
      <c r="AK98" s="11"/>
      <c r="AL98" s="11"/>
      <c r="AM98" s="11"/>
      <c r="AN98" s="11"/>
      <c r="AO98" s="11"/>
    </row>
    <row r="99" spans="1:41" hidden="1" outlineLevel="1" x14ac:dyDescent="0.35">
      <c r="A99" s="11"/>
      <c r="B99" s="11"/>
      <c r="C99" s="11"/>
      <c r="D99" s="11"/>
      <c r="E99" s="11"/>
      <c r="F99" s="11"/>
      <c r="G99" s="88" t="s">
        <v>563</v>
      </c>
      <c r="H99" s="88" t="s">
        <v>56</v>
      </c>
      <c r="I99" s="122" t="str">
        <f>IF(_epmOfflineCondition_,"T2",_xll.EVPRO($B$1,$H99,"STYLE"))</f>
        <v>T2</v>
      </c>
      <c r="J99" s="122" t="str">
        <f>IF(_epmOfflineCondition_,"Y",_xll.EVPRO($B$1,$H99,"CALC"))</f>
        <v>Y</v>
      </c>
      <c r="K99" s="11"/>
      <c r="L99" s="59" t="s">
        <v>591</v>
      </c>
      <c r="M99" s="90" t="str">
        <f>IF(_epmOfflineCondition_,"Gross Operating Income",IF(_xll.EVDES(H99,$B$1)="#NODATA","",_xll.EVDES(H99,$B$1)))</f>
        <v>Gross Operating Income</v>
      </c>
      <c r="N99" s="143">
        <v>515491.3</v>
      </c>
      <c r="O99" s="143">
        <v>611153.91</v>
      </c>
      <c r="P99" s="143">
        <v>735376.13999999897</v>
      </c>
      <c r="Q99" s="143">
        <v>747833.52000000095</v>
      </c>
      <c r="R99" s="143">
        <v>878702.57</v>
      </c>
      <c r="S99" s="143">
        <v>713590.34</v>
      </c>
      <c r="T99" s="143">
        <v>780908.01</v>
      </c>
      <c r="U99" s="143">
        <v>355557.51</v>
      </c>
      <c r="V99" s="143">
        <v>284445.90000000002</v>
      </c>
      <c r="W99" s="143">
        <v>405446.6</v>
      </c>
      <c r="X99" s="143">
        <v>606209.36</v>
      </c>
      <c r="Y99" s="143">
        <v>1135776.4099999999</v>
      </c>
      <c r="Z99" s="143">
        <f t="shared" si="38"/>
        <v>7770491.5700000003</v>
      </c>
      <c r="AA99" s="144">
        <f t="shared" si="39"/>
        <v>0.7024934564117189</v>
      </c>
      <c r="AB99" s="140"/>
      <c r="AC99" s="143">
        <v>5198684.1007497404</v>
      </c>
      <c r="AD99" s="144">
        <f t="shared" si="40"/>
        <v>0.62389188980237864</v>
      </c>
      <c r="AE99" s="145">
        <f t="shared" si="41"/>
        <v>2571807.4692502599</v>
      </c>
      <c r="AF99" s="143">
        <v>3349839.41</v>
      </c>
      <c r="AG99" s="144">
        <f t="shared" si="42"/>
        <v>0.64255082063456648</v>
      </c>
      <c r="AH99" s="145">
        <f t="shared" si="43"/>
        <v>4420652.16</v>
      </c>
      <c r="AI99" s="11"/>
      <c r="AJ99" s="11"/>
      <c r="AK99" s="11"/>
      <c r="AL99" s="11"/>
      <c r="AM99" s="11"/>
      <c r="AN99" s="11"/>
      <c r="AO99" s="11"/>
    </row>
    <row r="100" spans="1:41" hidden="1" outlineLevel="1" x14ac:dyDescent="0.35">
      <c r="A100" s="11"/>
      <c r="B100" s="11"/>
      <c r="C100" s="11"/>
      <c r="D100" s="11"/>
      <c r="E100" s="11"/>
      <c r="F100" s="11"/>
      <c r="G100" s="88" t="s">
        <v>566</v>
      </c>
      <c r="H100" s="88" t="s">
        <v>464</v>
      </c>
      <c r="I100" s="122" t="str">
        <f>IF(_epmOfflineCondition_,"T3",_xll.EVPRO($B$1,$H100,"STYLE"))</f>
        <v>T3</v>
      </c>
      <c r="J100" s="122" t="str">
        <f>IF(_epmOfflineCondition_,"Y",_xll.EVPRO($B$1,$H100,"CALC"))</f>
        <v>Y</v>
      </c>
      <c r="K100" s="11"/>
      <c r="L100" s="59"/>
      <c r="M100" s="90" t="str">
        <f>IF(_epmOfflineCondition_,"Departmental Expenses (Incl COS)",IF(_xll.EVDES(H100,$B$1)="#NODATA","",_xll.EVDES(H100,$B$1)))</f>
        <v>Departmental Expenses (Incl COS)</v>
      </c>
      <c r="N100" s="143">
        <v>199930.97</v>
      </c>
      <c r="O100" s="143">
        <v>216566.41</v>
      </c>
      <c r="P100" s="143">
        <v>252728.54</v>
      </c>
      <c r="Q100" s="143">
        <v>218500.94</v>
      </c>
      <c r="R100" s="143">
        <v>257786.79</v>
      </c>
      <c r="S100" s="143">
        <v>258847.26</v>
      </c>
      <c r="T100" s="143">
        <v>265051.75</v>
      </c>
      <c r="U100" s="143">
        <v>212687.17</v>
      </c>
      <c r="V100" s="143">
        <v>203490.28</v>
      </c>
      <c r="W100" s="143">
        <v>261140.32</v>
      </c>
      <c r="X100" s="143">
        <v>254803.74</v>
      </c>
      <c r="Y100" s="143">
        <v>319576.19</v>
      </c>
      <c r="Z100" s="143">
        <f t="shared" si="38"/>
        <v>2921110.36</v>
      </c>
      <c r="AA100" s="144">
        <f t="shared" si="39"/>
        <v>0.27245891086628948</v>
      </c>
      <c r="AB100" s="140"/>
      <c r="AC100" s="143">
        <v>2537415.3350069099</v>
      </c>
      <c r="AD100" s="144">
        <f t="shared" si="40"/>
        <v>0.30451414586677622</v>
      </c>
      <c r="AE100" s="145">
        <f t="shared" si="41"/>
        <v>383695.02499308996</v>
      </c>
      <c r="AF100" s="143">
        <v>1803266.4</v>
      </c>
      <c r="AG100" s="144">
        <f t="shared" si="42"/>
        <v>0.34589428427040336</v>
      </c>
      <c r="AH100" s="145">
        <f t="shared" si="43"/>
        <v>1117843.96</v>
      </c>
      <c r="AI100" s="11"/>
      <c r="AJ100" s="11"/>
      <c r="AK100" s="11"/>
      <c r="AL100" s="11"/>
      <c r="AM100" s="11"/>
      <c r="AN100" s="11"/>
      <c r="AO100" s="11"/>
    </row>
    <row r="101" spans="1:41" hidden="1" outlineLevel="1" x14ac:dyDescent="0.35">
      <c r="A101" s="11"/>
      <c r="B101" s="11"/>
      <c r="C101" s="11"/>
      <c r="D101" s="11"/>
      <c r="E101" s="11"/>
      <c r="F101" s="11"/>
      <c r="G101" s="88" t="s">
        <v>568</v>
      </c>
      <c r="H101" s="88" t="s">
        <v>567</v>
      </c>
      <c r="I101" s="122" t="str">
        <f>IF(_epmOfflineCondition_,"T3",_xll.EVPRO($B$1,$H101,"STYLE"))</f>
        <v>T3</v>
      </c>
      <c r="J101" s="122" t="str">
        <f>IF(_epmOfflineCondition_,"Y",_xll.EVPRO($B$1,$H101,"CALC"))</f>
        <v>Y</v>
      </c>
      <c r="K101" s="11"/>
      <c r="L101" s="59"/>
      <c r="M101" s="90" t="str">
        <f>IF(_epmOfflineCondition_,"Gross Operating Profit",IF(_xll.EVDES(H101,$B$1)="#NODATA","",_xll.EVDES(H101,$B$1)))</f>
        <v>Gross Operating Profit</v>
      </c>
      <c r="N101" s="143">
        <v>315560.33</v>
      </c>
      <c r="O101" s="143">
        <v>394587.5</v>
      </c>
      <c r="P101" s="143">
        <v>482647.59999999899</v>
      </c>
      <c r="Q101" s="143">
        <v>529332.58000000101</v>
      </c>
      <c r="R101" s="143">
        <v>620915.78</v>
      </c>
      <c r="S101" s="143">
        <v>454743.08</v>
      </c>
      <c r="T101" s="143">
        <v>515856.26</v>
      </c>
      <c r="U101" s="143">
        <v>142870.34</v>
      </c>
      <c r="V101" s="143">
        <v>80955.619999999806</v>
      </c>
      <c r="W101" s="143">
        <v>144306.28</v>
      </c>
      <c r="X101" s="143">
        <v>351405.62</v>
      </c>
      <c r="Y101" s="143">
        <v>816200.21999999904</v>
      </c>
      <c r="Z101" s="143">
        <f t="shared" si="38"/>
        <v>4849381.2099999981</v>
      </c>
      <c r="AA101" s="144">
        <f t="shared" si="39"/>
        <v>0.43003454554542947</v>
      </c>
      <c r="AB101" s="140"/>
      <c r="AC101" s="143">
        <v>2661268.76574283</v>
      </c>
      <c r="AD101" s="144">
        <f t="shared" si="40"/>
        <v>0.31937774393560237</v>
      </c>
      <c r="AE101" s="145">
        <f t="shared" si="41"/>
        <v>2188112.4442571681</v>
      </c>
      <c r="AF101" s="143">
        <v>1546573.01</v>
      </c>
      <c r="AG101" s="144">
        <f t="shared" si="42"/>
        <v>0.29665653636416306</v>
      </c>
      <c r="AH101" s="145">
        <f t="shared" si="43"/>
        <v>3302808.1999999983</v>
      </c>
      <c r="AI101" s="11"/>
      <c r="AJ101" s="11"/>
      <c r="AK101" s="11"/>
      <c r="AL101" s="11"/>
      <c r="AM101" s="11"/>
      <c r="AN101" s="11"/>
      <c r="AO101" s="11"/>
    </row>
    <row r="102" spans="1:41" hidden="1" outlineLevel="1" x14ac:dyDescent="0.35">
      <c r="A102" s="11"/>
      <c r="B102" s="11"/>
      <c r="C102" s="11"/>
      <c r="D102" s="11"/>
      <c r="E102" s="11"/>
      <c r="F102" s="11"/>
      <c r="G102" s="88" t="s">
        <v>568</v>
      </c>
      <c r="H102" s="88" t="s">
        <v>574</v>
      </c>
      <c r="I102" s="122" t="str">
        <f>IF(_epmOfflineCondition_,"T3",_xll.EVPRO($B$1,$H102,"STYLE"))</f>
        <v>T3</v>
      </c>
      <c r="J102" s="122" t="str">
        <f>IF(_epmOfflineCondition_,"Y",_xll.EVPRO($B$1,$H102,"CALC"))</f>
        <v>Y</v>
      </c>
      <c r="K102" s="11"/>
      <c r="L102" s="59"/>
      <c r="M102" s="90" t="str">
        <f>IF(_epmOfflineCondition_,"Income Before Non-Operataing Inc. &amp; Exp.",IF(_xll.EVDES(H102,$B$1)="#NODATA","",_xll.EVDES(H102,$B$1)))</f>
        <v>Income Before Non-Operataing Inc. &amp; Exp.</v>
      </c>
      <c r="N102" s="143">
        <v>292168.28000000003</v>
      </c>
      <c r="O102" s="143">
        <v>367195.08</v>
      </c>
      <c r="P102" s="143">
        <v>447640.07999999903</v>
      </c>
      <c r="Q102" s="143">
        <v>494712.18000000098</v>
      </c>
      <c r="R102" s="143">
        <v>581368.30000000005</v>
      </c>
      <c r="S102" s="143">
        <v>421251.9</v>
      </c>
      <c r="T102" s="143">
        <v>477318.3</v>
      </c>
      <c r="U102" s="143">
        <v>118317.83</v>
      </c>
      <c r="V102" s="143">
        <v>62723.979999999799</v>
      </c>
      <c r="W102" s="143">
        <v>120582.61</v>
      </c>
      <c r="X102" s="143">
        <v>322274.43</v>
      </c>
      <c r="Y102" s="143">
        <v>773719.39999999898</v>
      </c>
      <c r="Z102" s="143">
        <f t="shared" si="38"/>
        <v>4479272.3699999992</v>
      </c>
      <c r="AA102" s="144">
        <f t="shared" si="39"/>
        <v>0.39815668057068454</v>
      </c>
      <c r="AB102" s="140"/>
      <c r="AC102" s="143">
        <v>2386090.5051624998</v>
      </c>
      <c r="AD102" s="144">
        <f t="shared" si="40"/>
        <v>0.28635371675894933</v>
      </c>
      <c r="AE102" s="145">
        <f t="shared" si="41"/>
        <v>2093181.8648374993</v>
      </c>
      <c r="AF102" s="143">
        <v>1380306.07</v>
      </c>
      <c r="AG102" s="144">
        <f t="shared" si="42"/>
        <v>0.26476397506033683</v>
      </c>
      <c r="AH102" s="145">
        <f t="shared" si="43"/>
        <v>3098966.2999999989</v>
      </c>
      <c r="AI102" s="11"/>
      <c r="AJ102" s="11"/>
      <c r="AK102" s="11"/>
      <c r="AL102" s="11"/>
      <c r="AM102" s="11"/>
      <c r="AN102" s="11"/>
      <c r="AO102" s="11"/>
    </row>
    <row r="103" spans="1:41" hidden="1" outlineLevel="1" x14ac:dyDescent="0.35">
      <c r="A103" s="11"/>
      <c r="B103" s="11"/>
      <c r="C103" s="11"/>
      <c r="D103" s="11"/>
      <c r="E103" s="11"/>
      <c r="F103" s="11"/>
      <c r="G103" s="88" t="s">
        <v>499</v>
      </c>
      <c r="H103" s="88" t="s">
        <v>570</v>
      </c>
      <c r="I103" s="122" t="str">
        <f>IF(_epmOfflineCondition_,"T3",_xll.EVPRO($B$1,$H103,"STYLE"))</f>
        <v>T3</v>
      </c>
      <c r="J103" s="122" t="str">
        <f>IF(_epmOfflineCondition_,"Y",_xll.EVPRO($B$1,$H103,"CALC"))</f>
        <v>Y</v>
      </c>
      <c r="K103" s="11"/>
      <c r="L103" s="59"/>
      <c r="M103" s="90" t="str">
        <f>IF(_epmOfflineCondition_,"EBITDA",IF(_xll.EVDES(H103,$B$1)="#NODATA","",_xll.EVDES(H103,$B$1)))</f>
        <v>EBITDA</v>
      </c>
      <c r="N103" s="143">
        <v>175314.2</v>
      </c>
      <c r="O103" s="143">
        <v>251805.84</v>
      </c>
      <c r="P103" s="143">
        <v>331508.96999999997</v>
      </c>
      <c r="Q103" s="143">
        <v>361673.68</v>
      </c>
      <c r="R103" s="143">
        <v>464653.15</v>
      </c>
      <c r="S103" s="143">
        <v>368226.68</v>
      </c>
      <c r="T103" s="143">
        <v>361482.09</v>
      </c>
      <c r="U103" s="143">
        <v>1788.2899999998201</v>
      </c>
      <c r="V103" s="143">
        <v>-56639.289999999899</v>
      </c>
      <c r="W103" s="143">
        <v>1981.25999999991</v>
      </c>
      <c r="X103" s="143">
        <v>211374.73</v>
      </c>
      <c r="Y103" s="143">
        <v>661993.1</v>
      </c>
      <c r="Z103" s="143">
        <f t="shared" si="38"/>
        <v>3135162.6999999997</v>
      </c>
      <c r="AA103" s="144">
        <f t="shared" si="39"/>
        <v>0.23891204044773479</v>
      </c>
      <c r="AB103" s="140"/>
      <c r="AC103" s="143">
        <v>957643.85516250203</v>
      </c>
      <c r="AD103" s="144">
        <f t="shared" si="40"/>
        <v>0.11492643580109123</v>
      </c>
      <c r="AE103" s="145">
        <f t="shared" si="41"/>
        <v>2177518.8448374979</v>
      </c>
      <c r="AF103" s="143">
        <v>24980.220000000201</v>
      </c>
      <c r="AG103" s="144">
        <f t="shared" si="42"/>
        <v>4.7915911469416199E-3</v>
      </c>
      <c r="AH103" s="145">
        <f t="shared" si="43"/>
        <v>3110182.4799999995</v>
      </c>
      <c r="AI103" s="11"/>
      <c r="AJ103" s="11"/>
      <c r="AK103" s="11"/>
      <c r="AL103" s="11"/>
      <c r="AM103" s="11"/>
      <c r="AN103" s="11"/>
      <c r="AO103" s="11"/>
    </row>
    <row r="104" spans="1:41" hidden="1" outlineLevel="1" x14ac:dyDescent="0.35">
      <c r="A104" s="11"/>
      <c r="B104" s="11"/>
      <c r="C104" s="11"/>
      <c r="D104" s="11"/>
      <c r="E104" s="11"/>
      <c r="F104" s="11"/>
      <c r="G104" s="88" t="s">
        <v>499</v>
      </c>
      <c r="H104" s="88" t="s">
        <v>577</v>
      </c>
      <c r="I104" s="122" t="str">
        <f>IF(_epmOfflineCondition_,"T3",_xll.EVPRO($B$1,$H104,"STYLE"))</f>
        <v>T3</v>
      </c>
      <c r="J104" s="122" t="str">
        <f>IF(_epmOfflineCondition_,"Y",_xll.EVPRO($B$1,$H104,"CALC"))</f>
        <v>Y</v>
      </c>
      <c r="K104" s="11"/>
      <c r="L104" s="59"/>
      <c r="M104" s="90" t="str">
        <f>IF(_epmOfflineCondition_,"Income Before Income Taxes",IF(_xll.EVDES(H104,$B$1)="#NODATA","",_xll.EVDES(H104,$B$1)))</f>
        <v>Income Before Income Taxes</v>
      </c>
      <c r="N104" s="143">
        <v>-12310.049999999799</v>
      </c>
      <c r="O104" s="143">
        <v>78476.130000000194</v>
      </c>
      <c r="P104" s="143">
        <v>143884.72</v>
      </c>
      <c r="Q104" s="143">
        <v>178814.28</v>
      </c>
      <c r="R104" s="143">
        <v>277028.95</v>
      </c>
      <c r="S104" s="143">
        <v>185556.24</v>
      </c>
      <c r="T104" s="143">
        <v>174046.8</v>
      </c>
      <c r="U104" s="143">
        <v>-185647</v>
      </c>
      <c r="V104" s="143">
        <v>-239309.73</v>
      </c>
      <c r="W104" s="143">
        <v>-185454.03</v>
      </c>
      <c r="X104" s="143">
        <v>27014.87</v>
      </c>
      <c r="Y104" s="143">
        <v>472343.39</v>
      </c>
      <c r="Z104" s="143">
        <f t="shared" si="38"/>
        <v>914444.57000000053</v>
      </c>
      <c r="AA104" s="144">
        <f t="shared" si="39"/>
        <v>-1.6775704212856627E-2</v>
      </c>
      <c r="AB104" s="140"/>
      <c r="AC104" s="143">
        <v>-1251322.1448375001</v>
      </c>
      <c r="AD104" s="144">
        <f t="shared" si="40"/>
        <v>-0.15017064367916577</v>
      </c>
      <c r="AE104" s="145">
        <f t="shared" si="41"/>
        <v>2165766.7148375008</v>
      </c>
      <c r="AF104" s="143">
        <v>-2202466.33</v>
      </c>
      <c r="AG104" s="144">
        <f t="shared" si="42"/>
        <v>-0.42246698260723548</v>
      </c>
      <c r="AH104" s="145">
        <f t="shared" si="43"/>
        <v>3116910.9000000004</v>
      </c>
      <c r="AI104" s="11"/>
      <c r="AJ104" s="11"/>
      <c r="AK104" s="11"/>
      <c r="AL104" s="11"/>
      <c r="AM104" s="11"/>
      <c r="AN104" s="11"/>
      <c r="AO104" s="11"/>
    </row>
    <row r="105" spans="1:41" hidden="1" outlineLevel="1" x14ac:dyDescent="0.35">
      <c r="A105" s="11"/>
      <c r="B105" s="11"/>
      <c r="C105" s="11"/>
      <c r="D105" s="11"/>
      <c r="E105" s="11"/>
      <c r="F105" s="11"/>
      <c r="G105" s="88" t="s">
        <v>499</v>
      </c>
      <c r="H105" s="88" t="s">
        <v>579</v>
      </c>
      <c r="I105" s="136" t="str">
        <f>IF(_epmOfflineCondition_,"T1",_xll.EVPRO($B$1,$H105,"STYLE"))</f>
        <v>T1</v>
      </c>
      <c r="J105" s="136" t="str">
        <f>IF(_epmOfflineCondition_,"Y",_xll.EVPRO($B$1,$H105,"CALC"))</f>
        <v>Y</v>
      </c>
      <c r="K105" s="11"/>
      <c r="L105" s="59"/>
      <c r="M105" s="90" t="str">
        <f>IF(_epmOfflineCondition_,"Net Income",IF(_xll.EVDES(H105,$B$1)="#NODATA","",_xll.EVDES(H105,$B$1)))</f>
        <v>Net Income</v>
      </c>
      <c r="N105" s="143">
        <v>-12310.049999999799</v>
      </c>
      <c r="O105" s="143">
        <v>78476.130000000194</v>
      </c>
      <c r="P105" s="143">
        <v>143884.72</v>
      </c>
      <c r="Q105" s="143">
        <v>178814.28</v>
      </c>
      <c r="R105" s="143">
        <v>277028.95</v>
      </c>
      <c r="S105" s="143">
        <v>185556.24</v>
      </c>
      <c r="T105" s="143">
        <v>174046.8</v>
      </c>
      <c r="U105" s="143">
        <v>-185647</v>
      </c>
      <c r="V105" s="143">
        <v>-239309.73</v>
      </c>
      <c r="W105" s="143">
        <v>-185454.03</v>
      </c>
      <c r="X105" s="143">
        <v>27014.87</v>
      </c>
      <c r="Y105" s="143">
        <v>472343.39</v>
      </c>
      <c r="Z105" s="143">
        <f t="shared" si="38"/>
        <v>914444.57000000053</v>
      </c>
      <c r="AA105" s="144">
        <f t="shared" si="39"/>
        <v>-1.6775704212856627E-2</v>
      </c>
      <c r="AB105" s="140"/>
      <c r="AC105" s="143">
        <v>-1251322.1448375001</v>
      </c>
      <c r="AD105" s="144">
        <f t="shared" si="40"/>
        <v>-0.15017064367916577</v>
      </c>
      <c r="AE105" s="145">
        <f t="shared" si="41"/>
        <v>2165766.7148375008</v>
      </c>
      <c r="AF105" s="143">
        <v>-2202466.33</v>
      </c>
      <c r="AG105" s="144">
        <f t="shared" si="42"/>
        <v>-0.42246698260723548</v>
      </c>
      <c r="AH105" s="145">
        <f t="shared" si="43"/>
        <v>3116910.9000000004</v>
      </c>
      <c r="AI105" s="11"/>
      <c r="AJ105" s="11"/>
      <c r="AK105" s="11"/>
      <c r="AL105" s="11"/>
      <c r="AM105" s="11"/>
      <c r="AN105" s="11"/>
      <c r="AO105" s="11"/>
    </row>
    <row r="106" spans="1:41" collapsed="1" x14ac:dyDescent="0.35">
      <c r="A106" s="11"/>
      <c r="B106" s="11"/>
      <c r="C106" s="11"/>
      <c r="D106" s="11"/>
      <c r="E106" s="11"/>
      <c r="F106" s="11"/>
      <c r="G106" s="11"/>
      <c r="H106" s="11"/>
      <c r="I106" s="59"/>
      <c r="J106" s="59"/>
      <c r="K106" s="11"/>
      <c r="L106" s="59"/>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11"/>
      <c r="I107" s="59"/>
      <c r="J107" s="59"/>
      <c r="K107" s="11"/>
      <c r="L107" s="59"/>
      <c r="M107" s="634" t="s">
        <v>826</v>
      </c>
      <c r="N107" s="634"/>
      <c r="O107" s="634"/>
      <c r="P107" s="634"/>
      <c r="Q107" s="634"/>
      <c r="R107" s="634"/>
      <c r="S107" s="634"/>
      <c r="T107" s="634"/>
      <c r="U107" s="634"/>
      <c r="V107" s="634"/>
      <c r="W107" s="634"/>
      <c r="X107" s="634"/>
      <c r="Y107" s="634"/>
      <c r="Z107" s="634"/>
      <c r="AA107" s="634"/>
      <c r="AB107" s="634"/>
      <c r="AC107" s="634"/>
      <c r="AD107" s="634"/>
      <c r="AE107" s="634"/>
      <c r="AF107" s="634"/>
      <c r="AG107" s="634"/>
      <c r="AH107" s="634"/>
      <c r="AI107" s="11"/>
      <c r="AJ107" s="11"/>
      <c r="AK107" s="11"/>
      <c r="AL107" s="11"/>
      <c r="AM107" s="11"/>
      <c r="AN107" s="11"/>
      <c r="AO107" s="11"/>
    </row>
    <row r="108" spans="1:41" x14ac:dyDescent="0.35">
      <c r="A108" s="11"/>
      <c r="B108" s="11"/>
      <c r="C108" s="11"/>
      <c r="D108" s="11"/>
      <c r="E108" s="11"/>
      <c r="F108" s="11"/>
      <c r="G108" s="11"/>
      <c r="H108" s="11"/>
      <c r="I108" s="59"/>
      <c r="J108" s="59"/>
      <c r="K108" s="11"/>
      <c r="L108" s="59"/>
      <c r="M108" s="634"/>
      <c r="N108" s="634"/>
      <c r="O108" s="634"/>
      <c r="P108" s="634"/>
      <c r="Q108" s="634"/>
      <c r="R108" s="634"/>
      <c r="S108" s="634"/>
      <c r="T108" s="634"/>
      <c r="U108" s="634"/>
      <c r="V108" s="634"/>
      <c r="W108" s="634"/>
      <c r="X108" s="634"/>
      <c r="Y108" s="634"/>
      <c r="Z108" s="634"/>
      <c r="AA108" s="634"/>
      <c r="AB108" s="634"/>
      <c r="AC108" s="634"/>
      <c r="AD108" s="634"/>
      <c r="AE108" s="634"/>
      <c r="AF108" s="634"/>
      <c r="AG108" s="634"/>
      <c r="AH108" s="634"/>
      <c r="AI108" s="11"/>
      <c r="AJ108" s="11"/>
      <c r="AK108" s="11"/>
      <c r="AL108" s="11"/>
      <c r="AM108" s="11"/>
      <c r="AN108" s="11"/>
      <c r="AO108" s="11"/>
    </row>
    <row r="109" spans="1:41" x14ac:dyDescent="0.35">
      <c r="A109" s="11"/>
      <c r="B109" s="11"/>
      <c r="C109" s="11"/>
      <c r="D109" s="11"/>
      <c r="E109" s="11"/>
      <c r="F109" s="11"/>
      <c r="G109" s="11"/>
      <c r="H109" s="11"/>
      <c r="I109" s="59"/>
      <c r="J109" s="59"/>
      <c r="K109" s="11"/>
      <c r="L109" s="59"/>
      <c r="M109" s="634"/>
      <c r="N109" s="634"/>
      <c r="O109" s="634"/>
      <c r="P109" s="634"/>
      <c r="Q109" s="634"/>
      <c r="R109" s="634"/>
      <c r="S109" s="634"/>
      <c r="T109" s="634"/>
      <c r="U109" s="634"/>
      <c r="V109" s="634"/>
      <c r="W109" s="634"/>
      <c r="X109" s="634"/>
      <c r="Y109" s="634"/>
      <c r="Z109" s="634"/>
      <c r="AA109" s="634"/>
      <c r="AB109" s="634"/>
      <c r="AC109" s="634"/>
      <c r="AD109" s="634"/>
      <c r="AE109" s="634"/>
      <c r="AF109" s="634"/>
      <c r="AG109" s="634"/>
      <c r="AH109" s="634"/>
      <c r="AI109" s="11"/>
      <c r="AJ109" s="11"/>
      <c r="AK109" s="11"/>
      <c r="AL109" s="11"/>
      <c r="AM109" s="11"/>
      <c r="AN109" s="11"/>
      <c r="AO109" s="11"/>
    </row>
    <row r="110" spans="1:41" x14ac:dyDescent="0.35">
      <c r="A110" s="11"/>
      <c r="B110" s="11"/>
      <c r="C110" s="11"/>
      <c r="D110" s="11"/>
      <c r="E110" s="11"/>
      <c r="F110" s="11"/>
      <c r="G110" s="11"/>
      <c r="H110" s="11"/>
      <c r="I110" s="59"/>
      <c r="J110" s="59"/>
      <c r="K110" s="11"/>
      <c r="L110" s="59"/>
      <c r="M110" s="634"/>
      <c r="N110" s="634"/>
      <c r="O110" s="634"/>
      <c r="P110" s="634"/>
      <c r="Q110" s="634"/>
      <c r="R110" s="634"/>
      <c r="S110" s="634"/>
      <c r="T110" s="634"/>
      <c r="U110" s="634"/>
      <c r="V110" s="634"/>
      <c r="W110" s="634"/>
      <c r="X110" s="634"/>
      <c r="Y110" s="634"/>
      <c r="Z110" s="634"/>
      <c r="AA110" s="634"/>
      <c r="AB110" s="634"/>
      <c r="AC110" s="634"/>
      <c r="AD110" s="634"/>
      <c r="AE110" s="634"/>
      <c r="AF110" s="634"/>
      <c r="AG110" s="634"/>
      <c r="AH110" s="634"/>
      <c r="AI110" s="11"/>
      <c r="AJ110" s="11"/>
      <c r="AK110" s="11"/>
      <c r="AL110" s="11"/>
      <c r="AM110" s="11"/>
      <c r="AN110" s="11"/>
      <c r="AO110" s="11"/>
    </row>
    <row r="111" spans="1:41" x14ac:dyDescent="0.35">
      <c r="A111" s="11"/>
      <c r="B111" s="11"/>
      <c r="C111" s="11"/>
      <c r="D111" s="11"/>
      <c r="E111" s="11"/>
      <c r="F111" s="11"/>
      <c r="G111" s="11"/>
      <c r="H111" s="11"/>
      <c r="I111" s="59"/>
      <c r="J111" s="59"/>
      <c r="K111" s="11"/>
      <c r="L111" s="59"/>
      <c r="M111" s="634"/>
      <c r="N111" s="634"/>
      <c r="O111" s="634"/>
      <c r="P111" s="634"/>
      <c r="Q111" s="634"/>
      <c r="R111" s="634"/>
      <c r="S111" s="634"/>
      <c r="T111" s="634"/>
      <c r="U111" s="634"/>
      <c r="V111" s="634"/>
      <c r="W111" s="634"/>
      <c r="X111" s="634"/>
      <c r="Y111" s="634"/>
      <c r="Z111" s="634"/>
      <c r="AA111" s="634"/>
      <c r="AB111" s="634"/>
      <c r="AC111" s="634"/>
      <c r="AD111" s="634"/>
      <c r="AE111" s="634"/>
      <c r="AF111" s="634"/>
      <c r="AG111" s="634"/>
      <c r="AH111" s="634"/>
      <c r="AI111" s="11"/>
      <c r="AJ111" s="11"/>
      <c r="AK111" s="11"/>
      <c r="AL111" s="11"/>
      <c r="AM111" s="11"/>
      <c r="AN111" s="11"/>
      <c r="AO111" s="11"/>
    </row>
    <row r="112" spans="1:41" x14ac:dyDescent="0.35">
      <c r="A112" s="11"/>
      <c r="B112" s="11"/>
      <c r="C112" s="11"/>
      <c r="D112" s="11"/>
      <c r="E112" s="11"/>
      <c r="F112" s="11"/>
      <c r="G112" s="11"/>
      <c r="H112" s="11"/>
      <c r="I112" s="59"/>
      <c r="J112" s="59"/>
      <c r="K112" s="11"/>
      <c r="L112" s="59"/>
      <c r="M112" s="634"/>
      <c r="N112" s="634"/>
      <c r="O112" s="634"/>
      <c r="P112" s="634"/>
      <c r="Q112" s="634"/>
      <c r="R112" s="634"/>
      <c r="S112" s="634"/>
      <c r="T112" s="634"/>
      <c r="U112" s="634"/>
      <c r="V112" s="634"/>
      <c r="W112" s="634"/>
      <c r="X112" s="634"/>
      <c r="Y112" s="634"/>
      <c r="Z112" s="634"/>
      <c r="AA112" s="634"/>
      <c r="AB112" s="634"/>
      <c r="AC112" s="634"/>
      <c r="AD112" s="634"/>
      <c r="AE112" s="634"/>
      <c r="AF112" s="634"/>
      <c r="AG112" s="634"/>
      <c r="AH112" s="634"/>
      <c r="AI112" s="11"/>
      <c r="AJ112" s="11"/>
      <c r="AK112" s="11"/>
      <c r="AL112" s="11"/>
      <c r="AM112" s="11"/>
      <c r="AN112" s="11"/>
      <c r="AO112" s="11"/>
    </row>
    <row r="113" spans="1:41" x14ac:dyDescent="0.35">
      <c r="A113" s="11"/>
      <c r="B113" s="11"/>
      <c r="C113" s="11"/>
      <c r="D113" s="11"/>
      <c r="E113" s="11"/>
      <c r="F113" s="11"/>
      <c r="G113" s="11"/>
      <c r="H113" s="11"/>
      <c r="I113" s="59"/>
      <c r="J113" s="59"/>
      <c r="K113" s="11"/>
      <c r="L113" s="59"/>
      <c r="M113" s="634"/>
      <c r="N113" s="634"/>
      <c r="O113" s="634"/>
      <c r="P113" s="634"/>
      <c r="Q113" s="634"/>
      <c r="R113" s="634"/>
      <c r="S113" s="634"/>
      <c r="T113" s="634"/>
      <c r="U113" s="634"/>
      <c r="V113" s="634"/>
      <c r="W113" s="634"/>
      <c r="X113" s="634"/>
      <c r="Y113" s="634"/>
      <c r="Z113" s="634"/>
      <c r="AA113" s="634"/>
      <c r="AB113" s="634"/>
      <c r="AC113" s="634"/>
      <c r="AD113" s="634"/>
      <c r="AE113" s="634"/>
      <c r="AF113" s="634"/>
      <c r="AG113" s="634"/>
      <c r="AH113" s="634"/>
      <c r="AI113" s="11"/>
      <c r="AJ113" s="11"/>
      <c r="AK113" s="11"/>
      <c r="AL113" s="11"/>
      <c r="AM113" s="11"/>
      <c r="AN113" s="11"/>
      <c r="AO113" s="11"/>
    </row>
    <row r="114" spans="1:41" x14ac:dyDescent="0.35">
      <c r="A114" s="11"/>
      <c r="B114" s="11"/>
      <c r="C114" s="11"/>
      <c r="D114" s="11"/>
      <c r="E114" s="11"/>
      <c r="F114" s="11"/>
      <c r="G114" s="11"/>
      <c r="H114" s="11"/>
      <c r="I114" s="59"/>
      <c r="J114" s="59"/>
      <c r="K114" s="11"/>
      <c r="L114" s="59"/>
      <c r="M114" s="11"/>
      <c r="N114" s="137"/>
      <c r="O114" s="137"/>
      <c r="P114" s="137"/>
      <c r="Q114" s="137"/>
      <c r="R114" s="137"/>
      <c r="S114" s="137"/>
      <c r="T114" s="137"/>
      <c r="U114" s="137"/>
      <c r="V114" s="137"/>
      <c r="W114" s="137"/>
      <c r="X114" s="137"/>
      <c r="Y114" s="137"/>
      <c r="Z114" s="137"/>
      <c r="AA114" s="11"/>
      <c r="AB114" s="11"/>
      <c r="AC114" s="11"/>
      <c r="AD114" s="11"/>
      <c r="AE114" s="11"/>
      <c r="AF114" s="11"/>
      <c r="AG114" s="11"/>
      <c r="AH114" s="11"/>
      <c r="AI114" s="11"/>
      <c r="AJ114" s="11"/>
      <c r="AK114" s="11"/>
      <c r="AL114" s="11"/>
      <c r="AM114" s="11"/>
      <c r="AN114" s="11"/>
      <c r="AO114" s="11"/>
    </row>
  </sheetData>
  <sheetProtection algorithmName="SHA-512" hashValue="va1WJQDCFY2YPnYaxmqtJp68Euo9yflJ7HeNiXZMfYE1TGAr5lOdRM0lmZeERmFXc9QP+6XSqEbsflTcnlLqLA==" saltValue="onw84d8RXqVrLzThcum1KQ==" spinCount="100000" sheet="1" scenarios="1"/>
  <mergeCells count="59">
    <mergeCell ref="M107:AH113"/>
    <mergeCell ref="AI83:AJ83"/>
    <mergeCell ref="AK83:AL83"/>
    <mergeCell ref="AI84:AJ84"/>
    <mergeCell ref="AK84:AL84"/>
    <mergeCell ref="AI79:AJ79"/>
    <mergeCell ref="AK79:AL79"/>
    <mergeCell ref="AI80:AJ80"/>
    <mergeCell ref="AK80:AL80"/>
    <mergeCell ref="AI82:AJ82"/>
    <mergeCell ref="AK82:AL82"/>
    <mergeCell ref="AI74:AJ74"/>
    <mergeCell ref="AK74:AL74"/>
    <mergeCell ref="AI77:AJ77"/>
    <mergeCell ref="AK77:AL77"/>
    <mergeCell ref="AI78:AJ78"/>
    <mergeCell ref="AK78:AL78"/>
    <mergeCell ref="AI70:AJ70"/>
    <mergeCell ref="AK70:AL70"/>
    <mergeCell ref="AI71:AJ71"/>
    <mergeCell ref="AK71:AL71"/>
    <mergeCell ref="AI72:AJ72"/>
    <mergeCell ref="AK72:AL72"/>
    <mergeCell ref="AI67:AJ67"/>
    <mergeCell ref="AK67:AL67"/>
    <mergeCell ref="AI68:AJ68"/>
    <mergeCell ref="AK68:AL68"/>
    <mergeCell ref="AI69:AJ69"/>
    <mergeCell ref="AK69:AL69"/>
    <mergeCell ref="AI61:AJ61"/>
    <mergeCell ref="AK61:AL61"/>
    <mergeCell ref="AI63:AJ63"/>
    <mergeCell ref="AK63:AL63"/>
    <mergeCell ref="AI64:AJ64"/>
    <mergeCell ref="AK64:AL64"/>
    <mergeCell ref="AI59:AJ59"/>
    <mergeCell ref="AK59:AL59"/>
    <mergeCell ref="AI49:AJ49"/>
    <mergeCell ref="AK49:AL49"/>
    <mergeCell ref="AI51:AJ51"/>
    <mergeCell ref="AK51:AL51"/>
    <mergeCell ref="AI56:AJ56"/>
    <mergeCell ref="AK56:AL56"/>
    <mergeCell ref="AI57:AJ57"/>
    <mergeCell ref="AK57:AL57"/>
    <mergeCell ref="AI58:AJ58"/>
    <mergeCell ref="AK58:AL58"/>
    <mergeCell ref="AI48:AJ48"/>
    <mergeCell ref="AK48:AL48"/>
    <mergeCell ref="AI54:AJ54"/>
    <mergeCell ref="AK54:AL54"/>
    <mergeCell ref="AI55:AJ55"/>
    <mergeCell ref="AK55:AL55"/>
    <mergeCell ref="AI46:AJ46"/>
    <mergeCell ref="AK46:AL46"/>
    <mergeCell ref="AI47:AJ47"/>
    <mergeCell ref="AK47:AL47"/>
    <mergeCell ref="AC31:AD31"/>
    <mergeCell ref="AF31:AG31"/>
  </mergeCells>
  <dataValidations disablePrompts="1" count="2">
    <dataValidation type="list" allowBlank="1" sqref="B28" xr:uid="{00000000-0002-0000-0100-000000000000}">
      <formula1>"ACCOUNT,BUSINESSUNIT,CATEGORY,DATASRC,DEPARTMENT,INTCO,MEASURES,RPTCURRENCY,TIME"</formula1>
    </dataValidation>
    <dataValidation type="list" allowBlank="1" sqref="B29" xr:uid="{00000000-0002-0000-0100-000001000000}">
      <formula1>"SELF,ALL,BAS,DEP,BASMEMBERS,MEMBERS,NOEXPAND,GDEP"</formula1>
    </dataValidation>
  </dataValidations>
  <pageMargins left="0.25" right="0.25" top="0.5" bottom="0.5" header="0.3" footer="0.3"/>
  <pageSetup scale="48"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tint="0.39997558519241921"/>
    <pageSetUpPr fitToPage="1"/>
  </sheetPr>
  <dimension ref="A1:AO13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60</v>
      </c>
      <c r="C6" s="11" t="str">
        <f>IF(_epmOfflineCondition_,"Rooms",_xll.EVDES(B6,$B$1))</f>
        <v>Rooms</v>
      </c>
      <c r="D6" s="11"/>
      <c r="E6" s="58" t="str">
        <f>IF(_epmOfflineCondition_,"D_ROOMS",_xll.EVPRO($B$1,$B$6,$F$6))</f>
        <v>D_ROOMS</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IF(_epmOfflineCondition_,"'Rooms'!$B$2:$B$10",_xll.EVRNG($B$2:$B$10))</f>
        <v>'Rooms'!$B$2:$B$10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IF(_epmOfflineCondition_,"'Rooms'!$O$16:$AN$18",_xll.EVRNG($O$16:$AN$18))</f>
        <v>'Rooms'!$O$16:$AN$18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IF(_epmOfflineCondition_,"'Rooms'!$H$35:$H$51",_xll.EVRNG(H35:H51))</f>
        <v>'Rooms'!$H$35:$H$51</v>
      </c>
      <c r="C19" s="11"/>
      <c r="D19" s="11"/>
      <c r="E19" s="11"/>
      <c r="F19" s="11"/>
      <c r="G19" s="67" t="str">
        <f>$B$6</f>
        <v>D_ROOMS_CON</v>
      </c>
      <c r="H19" s="67">
        <v>400000</v>
      </c>
      <c r="I19" s="68"/>
      <c r="J19" s="68"/>
      <c r="K19" s="67"/>
      <c r="L19" s="68"/>
      <c r="M19" s="68"/>
      <c r="N19" s="67" t="str">
        <f>IF(_epmOfflineCondition_,"Total Revenue",_xll.EVDES(H19))</f>
        <v>Total Revenue</v>
      </c>
      <c r="O19" s="69">
        <f>IF(_epmOfflineCondition_,585722.42,_xll.EVGTS($B$1,1,$B$3,$B$5,$B$7,$B$9,O$16,O$17,O$18,$G$19,$H$19))</f>
        <v>585722.42000000004</v>
      </c>
      <c r="P19" s="69">
        <f>IF(_epmOfflineCondition_,685888.23,_xll.EVGTS($B$1,1,$B$3,$B$5,$B$7,$B$9,P$16,P$17,P$18,$G$19,$H$19))</f>
        <v>685888.23</v>
      </c>
      <c r="Q19" s="69">
        <f>IF(_epmOfflineCondition_,866484.81,_xll.EVGTS($B$1,1,$B$3,$B$5,$B$7,$B$9,Q$16,Q$17,Q$18,$G$19,$H$19))</f>
        <v>866484.81</v>
      </c>
      <c r="R19" s="69">
        <f>IF(_epmOfflineCondition_,858626.19,_xll.EVGTS($B$1,1,$B$3,$B$5,$B$7,$B$9,R$16,R$17,R$18,$G$19,$H$19))</f>
        <v>858626.19</v>
      </c>
      <c r="S19" s="69">
        <f>IF(_epmOfflineCondition_,1017537.54,_xll.EVGTS($B$1,1,$B$3,$B$5,$B$7,$B$9,S$16,S$17,S$18,$G$19,$H$19))</f>
        <v>1017537.54</v>
      </c>
      <c r="T19" s="69">
        <f>IF(_epmOfflineCondition_,833963.74,_xll.EVGTS($B$1,1,$B$3,$B$5,$B$7,$B$9,T$16,T$17,T$18,$G$19,$H$19))</f>
        <v>833963.74</v>
      </c>
      <c r="U19" s="69">
        <f>IF(_epmOfflineCondition_,950761.77,_xll.EVGTS($B$1,1,$B$3,$B$5,$B$7,$B$9,U$16,U$17,U$18,$G$19,$H$19))</f>
        <v>950761.77</v>
      </c>
      <c r="V19" s="69">
        <f>IF(_epmOfflineCondition_,537089.01,_xll.EVGTS($B$1,1,$B$3,$B$5,$B$7,$B$9,V$16,V$17,V$18,$G$19,$H$19))</f>
        <v>537089.01</v>
      </c>
      <c r="W19" s="69">
        <f>IF(_epmOfflineCondition_,428353.93,_xll.EVGTS($B$1,1,$B$3,$B$5,$B$7,$B$9,W$16,W$17,W$18,$G$19,$H$19))</f>
        <v>428353.93</v>
      </c>
      <c r="X19" s="69">
        <f>IF(_epmOfflineCondition_,555853.95,_xll.EVGTS($B$1,1,$B$3,$B$5,$B$7,$B$9,X$16,X$17,X$18,$G$19,$H$19))</f>
        <v>555853.94999999995</v>
      </c>
      <c r="Y19" s="69">
        <f>IF(_epmOfflineCondition_,777982.41,_xll.EVGTS($B$1,1,$B$3,$B$5,$B$7,$B$9,Y$16,Y$17,Y$18,$G$19,$H$19))</f>
        <v>777982.41</v>
      </c>
      <c r="Z19" s="69">
        <f>IF(_epmOfflineCondition_,1290991.09,_xll.EVGTS($B$1,1,$B$3,$B$5,$B$7,$B$9,Z$16,Z$17,Z$18,$G$19,$H$19))</f>
        <v>1290991.0900000001</v>
      </c>
      <c r="AA19" s="69">
        <f>SUM(O19:Z19)</f>
        <v>9389255.0899999999</v>
      </c>
      <c r="AB19" s="67"/>
      <c r="AC19" s="67"/>
      <c r="AD19" s="69">
        <f>IF(_epmOfflineCondition_,5942060.42,_xll.EVGTS($B$1,1,$B$3,$B$5,$B$7,$B$9,AD$16,AD$17,AD$18,$G$19,$H$19))</f>
        <v>5942060.4199999999</v>
      </c>
      <c r="AE19" s="67"/>
      <c r="AF19" s="67"/>
      <c r="AG19" s="69">
        <f>IF(_epmOfflineCondition_,4068438.81,_xll.EVGTS($B$1,1,$B$3,$B$5,$B$7,$B$9,AG$16,AG$17,AG$18,$G$19,$H$19))</f>
        <v>4068438.81</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IF(_epmOfflineCondition_,"'Rooms'!$A$36:$F$41",_xll.EVRNG(A36:F41))</f>
        <v>'Rooms'!$A$36:$F$41</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IF(_epmOfflineCondition_,"'Rooms'!$A$89:$B$110",_xll.EVRNG($A$89:$B$110))</f>
        <v>'Rooms'!$A$89:$B$110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IF(_epmOfflineCondition_,"Rooms Department",IF(_xll.EVDES(B6,$B$1)="#NODATA","",_xll.EVDES(B6,$B$1)&amp;" Department"))</f>
        <v>Rooms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118</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4"/>
      <c r="AM30" s="75"/>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77"/>
      <c r="AM31" s="80" t="str">
        <f>IF(_epmOfflineCondition_,"2020",_xll.EVPRO($B$1,AG$16,"YEAR"))</f>
        <v>2020</v>
      </c>
      <c r="AN31" s="77"/>
      <c r="AO31" s="11"/>
    </row>
    <row r="32" spans="1:41" s="8" customFormat="1" ht="30" customHeight="1" x14ac:dyDescent="0.35">
      <c r="A32" s="81" t="s">
        <v>16</v>
      </c>
      <c r="B32" s="82"/>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
        <v>747</v>
      </c>
      <c r="AM32" s="87" t="str">
        <f>AG32</f>
        <v>Actual</v>
      </c>
      <c r="AN32" s="8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33" t="s">
        <v>364</v>
      </c>
      <c r="M33" s="133" t="s">
        <v>782</v>
      </c>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70</v>
      </c>
      <c r="I34" s="59" t="str">
        <f>IF(_epmOfflineCondition_,"B1",_xll.EVPRO($B$1,$H34,"STYLE"))</f>
        <v>B1</v>
      </c>
      <c r="J34" s="59" t="str">
        <f>IF(_epmOfflineCondition_,"Y",_xll.EVPRO($B$1,$H34,"CALC"))</f>
        <v>Y</v>
      </c>
      <c r="K34" s="11"/>
      <c r="L34" s="59"/>
      <c r="M34" s="59"/>
      <c r="N34" s="53" t="str">
        <f>IF(_epmOfflineCondition_,"Transient Rooms Revenue",IF(_xll.EVDES(H34,$B$1)="#NODATA","",_xll.EVDES(H34,$B$1)))</f>
        <v>Transient Rooms Revenue</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83</v>
      </c>
      <c r="I35" s="122" t="str">
        <f>IF(_epmOfflineCondition_,"T5",_xll.EVPRO($B$1,$H35,"STYLE"))</f>
        <v>T5</v>
      </c>
      <c r="J35" s="122" t="str">
        <f>IF(_epmOfflineCondition_,"Y",_xll.EVPRO($B$1,$H35,"CALC"))</f>
        <v>Y</v>
      </c>
      <c r="K35" s="179" t="str">
        <f t="shared" ref="K35:K51" si="0">IF(AND(I35&gt;="T5"),"&gt;","")</f>
        <v>&gt;</v>
      </c>
      <c r="L35" s="90" t="str">
        <f>IF(_epmOfflineCondition_,"",_xll.EVPRO($B$1,H35,"JDEID"))</f>
        <v/>
      </c>
      <c r="M35" s="90" t="str">
        <f>IF(_epmOfflineCondition_,"",IF(AND(I35="N",J35="N"),_xll.EVPRO($B$1,H35,"PSFTID"),""))</f>
        <v/>
      </c>
      <c r="N35" s="90" t="str">
        <f>IF(_epmOfflineCondition_,"Retail",IF(_xll.EVDES(H35,$B$1)="#NODATA","",_xll.EVDES(H35,$B$1)))</f>
        <v>Retail</v>
      </c>
      <c r="O35" s="143">
        <v>259494.97</v>
      </c>
      <c r="P35" s="143">
        <v>290297.21000000002</v>
      </c>
      <c r="Q35" s="143">
        <v>238787.45</v>
      </c>
      <c r="R35" s="143">
        <v>251902.89</v>
      </c>
      <c r="S35" s="143">
        <v>307471.24</v>
      </c>
      <c r="T35" s="143">
        <v>208254.17</v>
      </c>
      <c r="U35" s="143">
        <v>191732.26</v>
      </c>
      <c r="V35" s="143">
        <v>110116.72</v>
      </c>
      <c r="W35" s="143">
        <v>89391.03</v>
      </c>
      <c r="X35" s="143">
        <v>139754.88</v>
      </c>
      <c r="Y35" s="143">
        <v>186168.95999999999</v>
      </c>
      <c r="Z35" s="143">
        <v>342303.89</v>
      </c>
      <c r="AA35" s="250">
        <f t="shared" ref="AA35:AA51" si="1">IF($I35="B1","",SUM(O35:Z35))</f>
        <v>2615675.6700000004</v>
      </c>
      <c r="AB35" s="144">
        <f t="shared" ref="AB35:AB51" si="2">IF(AA35=0,"",IFERROR(AA35/AA$19,""))</f>
        <v>0.27858180919866782</v>
      </c>
      <c r="AC35" s="140"/>
      <c r="AD35" s="143">
        <v>2498308.77</v>
      </c>
      <c r="AE35" s="144">
        <f t="shared" ref="AE35:AE51" si="3">IF(AD35=0,"",IFERROR(AD35/AD$19,""))</f>
        <v>0.42044486144757176</v>
      </c>
      <c r="AF35" s="145">
        <f t="shared" ref="AF35:AF51" si="4">IF(AND($AA35="",AD35=""),"",$AA35-AD35)</f>
        <v>117366.90000000037</v>
      </c>
      <c r="AG35" s="143">
        <v>1307254.8700000001</v>
      </c>
      <c r="AH35" s="144">
        <f t="shared" ref="AH35:AH51" si="5">IF(AG35=0,"",IFERROR(AG35/AG$19,""))</f>
        <v>0.32131609471103245</v>
      </c>
      <c r="AI35" s="145">
        <f t="shared" ref="AI35:AI51" si="6">IF(AND($AA35="",AG35=""),"",$AA35-AG35)</f>
        <v>1308420.8000000003</v>
      </c>
      <c r="AJ35" s="212">
        <f t="shared" ref="AJ35:AJ51" si="7">IFERROR(AA35/AA$20,0)</f>
        <v>65.035820632039588</v>
      </c>
      <c r="AK35" s="213">
        <f t="shared" ref="AK35:AK51" si="8">IFERROR(AD35/AD$20,0)</f>
        <v>66.577182411725516</v>
      </c>
      <c r="AL35" s="214">
        <f t="shared" ref="AL35:AL51" si="9">AJ35-AK35</f>
        <v>-1.5413617796859285</v>
      </c>
      <c r="AM35" s="215">
        <f t="shared" ref="AM35:AM51" si="10">IFERROR(AG35/AG$20,0)</f>
        <v>65.199744139650875</v>
      </c>
      <c r="AN35" s="214">
        <f t="shared" ref="AN35:AN51" si="11">AJ35-AM35</f>
        <v>-0.16392350761128682</v>
      </c>
      <c r="AO35" s="11"/>
    </row>
    <row r="36" spans="1:41" x14ac:dyDescent="0.35">
      <c r="A36" s="11"/>
      <c r="B36" s="11"/>
      <c r="C36" s="11"/>
      <c r="D36" s="11"/>
      <c r="E36" s="11"/>
      <c r="F36" s="11"/>
      <c r="G36" s="11"/>
      <c r="H36" s="185" t="s">
        <v>84</v>
      </c>
      <c r="I36" s="122" t="str">
        <f>IF(_epmOfflineCondition_,"T5",_xll.EVPRO($B$1,$H36,"STYLE"))</f>
        <v>T5</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IF(_epmOfflineCondition_,"Discount",IF(_xll.EVDES(H36,$B$1)="#NODATA","",_xll.EVDES(H36,$B$1)))</f>
        <v>Discount</v>
      </c>
      <c r="O36" s="143">
        <v>267732.90999999997</v>
      </c>
      <c r="P36" s="143">
        <v>325656.98</v>
      </c>
      <c r="Q36" s="143">
        <v>524646.29</v>
      </c>
      <c r="R36" s="143">
        <v>454498.24</v>
      </c>
      <c r="S36" s="143">
        <v>594832.92000000004</v>
      </c>
      <c r="T36" s="143">
        <v>528550.51</v>
      </c>
      <c r="U36" s="143">
        <v>642409.86</v>
      </c>
      <c r="V36" s="143">
        <v>363545.29</v>
      </c>
      <c r="W36" s="143">
        <v>265778.58</v>
      </c>
      <c r="X36" s="143">
        <v>322011.74</v>
      </c>
      <c r="Y36" s="143">
        <v>391593.54</v>
      </c>
      <c r="Z36" s="143">
        <v>709503.01</v>
      </c>
      <c r="AA36" s="250">
        <f t="shared" si="1"/>
        <v>5390759.8699999992</v>
      </c>
      <c r="AB36" s="144">
        <f t="shared" si="2"/>
        <v>0.57414137951597599</v>
      </c>
      <c r="AC36" s="140"/>
      <c r="AD36" s="143">
        <v>2528530.48</v>
      </c>
      <c r="AE36" s="144">
        <f t="shared" si="3"/>
        <v>0.4255309271998281</v>
      </c>
      <c r="AF36" s="145">
        <f t="shared" si="4"/>
        <v>2862229.3899999992</v>
      </c>
      <c r="AG36" s="143">
        <v>1680064.65</v>
      </c>
      <c r="AH36" s="144">
        <f t="shared" si="5"/>
        <v>0.41295069889474384</v>
      </c>
      <c r="AI36" s="145">
        <f t="shared" si="6"/>
        <v>3710695.2199999993</v>
      </c>
      <c r="AJ36" s="212">
        <f t="shared" si="7"/>
        <v>134.03515428031525</v>
      </c>
      <c r="AK36" s="213">
        <f t="shared" si="8"/>
        <v>67.382557761492336</v>
      </c>
      <c r="AL36" s="214">
        <f t="shared" si="9"/>
        <v>66.652596518822918</v>
      </c>
      <c r="AM36" s="215">
        <f t="shared" si="10"/>
        <v>83.793748129675805</v>
      </c>
      <c r="AN36" s="214">
        <f t="shared" si="11"/>
        <v>50.241406150639449</v>
      </c>
      <c r="AO36" s="11"/>
    </row>
    <row r="37" spans="1:41" x14ac:dyDescent="0.35">
      <c r="A37" s="11" t="s">
        <v>105</v>
      </c>
      <c r="B37" s="11"/>
      <c r="C37" s="104" t="s">
        <v>101</v>
      </c>
      <c r="D37" s="11" t="s">
        <v>103</v>
      </c>
      <c r="E37" s="11"/>
      <c r="F37" s="11" t="s">
        <v>98</v>
      </c>
      <c r="G37" s="11"/>
      <c r="H37" s="185" t="s">
        <v>85</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IF(_epmOfflineCondition_,"Negotiated",IF(_xll.EVDES(H37,$B$1)="#NODATA","",_xll.EVDES(H37,$B$1)))</f>
        <v>Negotiated</v>
      </c>
      <c r="O37" s="143">
        <v>4412.7</v>
      </c>
      <c r="P37" s="143">
        <v>22658.87</v>
      </c>
      <c r="Q37" s="143">
        <v>18751.47</v>
      </c>
      <c r="R37" s="143">
        <v>23448.42</v>
      </c>
      <c r="S37" s="143">
        <v>20541.05</v>
      </c>
      <c r="T37" s="143">
        <v>11512.49</v>
      </c>
      <c r="U37" s="143">
        <v>51022.239999999998</v>
      </c>
      <c r="V37" s="143">
        <v>33896.68</v>
      </c>
      <c r="W37" s="143">
        <v>34622.76</v>
      </c>
      <c r="X37" s="143">
        <v>42965.04</v>
      </c>
      <c r="Y37" s="143">
        <v>62112.61</v>
      </c>
      <c r="Z37" s="143">
        <v>76287.5</v>
      </c>
      <c r="AA37" s="250">
        <f t="shared" si="1"/>
        <v>402231.82999999996</v>
      </c>
      <c r="AB37" s="144">
        <f t="shared" si="2"/>
        <v>4.2839589098862152E-2</v>
      </c>
      <c r="AC37" s="140"/>
      <c r="AD37" s="143">
        <v>97297.35</v>
      </c>
      <c r="AE37" s="144">
        <f t="shared" si="3"/>
        <v>1.6374345449688309E-2</v>
      </c>
      <c r="AF37" s="145">
        <f t="shared" si="4"/>
        <v>304934.48</v>
      </c>
      <c r="AG37" s="143">
        <v>151053.25</v>
      </c>
      <c r="AH37" s="144">
        <f t="shared" si="5"/>
        <v>3.7128062397969307E-2</v>
      </c>
      <c r="AI37" s="145">
        <f t="shared" si="6"/>
        <v>251178.57999999996</v>
      </c>
      <c r="AJ37" s="212">
        <f t="shared" si="7"/>
        <v>10.001040055695068</v>
      </c>
      <c r="AK37" s="213">
        <f t="shared" si="8"/>
        <v>2.5928674217188541</v>
      </c>
      <c r="AL37" s="214">
        <f t="shared" si="9"/>
        <v>7.4081726339762142</v>
      </c>
      <c r="AM37" s="215">
        <f t="shared" si="10"/>
        <v>7.5338279301745636</v>
      </c>
      <c r="AN37" s="214">
        <f t="shared" si="11"/>
        <v>2.4672121255205042</v>
      </c>
      <c r="AO37" s="11"/>
    </row>
    <row r="38" spans="1:41" x14ac:dyDescent="0.35">
      <c r="A38" s="11" t="s">
        <v>104</v>
      </c>
      <c r="B38" s="11"/>
      <c r="C38" s="104" t="s">
        <v>101</v>
      </c>
      <c r="D38" s="11" t="s">
        <v>106</v>
      </c>
      <c r="E38" s="11"/>
      <c r="F38" s="11" t="s">
        <v>98</v>
      </c>
      <c r="G38" s="11"/>
      <c r="H38" s="88" t="s">
        <v>86</v>
      </c>
      <c r="I38" s="122" t="str">
        <f>IF(_epmOfflineCondition_,"T5",_xll.EVPRO($B$1,$H38,"STYLE"))</f>
        <v>T5</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IF(_epmOfflineCondition_,"Qualified",IF(_xll.EVDES(H38,$B$1)="#NODATA","",_xll.EVDES(H38,$B$1)))</f>
        <v>Qualified</v>
      </c>
      <c r="O38" s="143">
        <v>11597.2</v>
      </c>
      <c r="P38" s="143">
        <v>8419.2000000000007</v>
      </c>
      <c r="Q38" s="143">
        <v>37596.75</v>
      </c>
      <c r="R38" s="143">
        <v>32952.6</v>
      </c>
      <c r="S38" s="143">
        <v>53597.93</v>
      </c>
      <c r="T38" s="143">
        <v>30231.200000000001</v>
      </c>
      <c r="U38" s="143">
        <v>26294.85</v>
      </c>
      <c r="V38" s="143">
        <v>13022.62</v>
      </c>
      <c r="W38" s="143">
        <v>18917.75</v>
      </c>
      <c r="X38" s="143">
        <v>19824.900000000001</v>
      </c>
      <c r="Y38" s="143">
        <v>33357.64</v>
      </c>
      <c r="Z38" s="143">
        <v>13839.7</v>
      </c>
      <c r="AA38" s="250">
        <f t="shared" si="1"/>
        <v>299652.34000000003</v>
      </c>
      <c r="AB38" s="144">
        <f t="shared" si="2"/>
        <v>3.1914389067897828E-2</v>
      </c>
      <c r="AC38" s="140"/>
      <c r="AD38" s="143">
        <v>372730.48</v>
      </c>
      <c r="AE38" s="144">
        <f t="shared" si="3"/>
        <v>6.2727480647192746E-2</v>
      </c>
      <c r="AF38" s="145">
        <f t="shared" si="4"/>
        <v>-73078.139999999956</v>
      </c>
      <c r="AG38" s="143">
        <v>168427.22</v>
      </c>
      <c r="AH38" s="144">
        <f t="shared" si="5"/>
        <v>4.1398489166413199E-2</v>
      </c>
      <c r="AI38" s="145">
        <f t="shared" si="6"/>
        <v>131225.12000000002</v>
      </c>
      <c r="AJ38" s="212">
        <f t="shared" si="7"/>
        <v>7.4505169198637464</v>
      </c>
      <c r="AK38" s="213">
        <f t="shared" si="8"/>
        <v>9.9328575616255819</v>
      </c>
      <c r="AL38" s="214">
        <f t="shared" si="9"/>
        <v>-2.4823406417618354</v>
      </c>
      <c r="AM38" s="215">
        <f t="shared" si="10"/>
        <v>8.4003600997506229</v>
      </c>
      <c r="AN38" s="214">
        <f t="shared" si="11"/>
        <v>-0.9498431798868765</v>
      </c>
      <c r="AO38" s="11"/>
    </row>
    <row r="39" spans="1:41" x14ac:dyDescent="0.35">
      <c r="A39" s="11" t="s">
        <v>100</v>
      </c>
      <c r="B39" s="11"/>
      <c r="C39" s="53" t="s">
        <v>101</v>
      </c>
      <c r="D39" s="11" t="s">
        <v>106</v>
      </c>
      <c r="E39" s="11"/>
      <c r="F39" s="11" t="s">
        <v>98</v>
      </c>
      <c r="G39" s="11"/>
      <c r="H39" s="88" t="s">
        <v>65</v>
      </c>
      <c r="I39" s="122" t="str">
        <f>IF(_epmOfflineCondition_,"T5",_xll.EVPRO($B$1,$H39,"STYLE"))</f>
        <v>T5</v>
      </c>
      <c r="J39" s="122" t="str">
        <f>IF(_epmOfflineCondition_,"Y",_xll.EVPRO($B$1,$H39,"CALC"))</f>
        <v>Y</v>
      </c>
      <c r="K39" s="179" t="str">
        <f t="shared" si="0"/>
        <v>&gt;</v>
      </c>
      <c r="L39" s="90" t="str">
        <f>IF(_epmOfflineCondition_,"402200",_xll.EVPRO($B$1,H39,"JDEID"))</f>
        <v>402200</v>
      </c>
      <c r="M39" s="90" t="str">
        <f>IF(_epmOfflineCondition_,"",IF(AND(I39="N",J39="N"),_xll.EVPRO($B$1,H39,"PSFTID"),""))</f>
        <v/>
      </c>
      <c r="N39" s="90" t="str">
        <f>IF(_epmOfflineCondition_,"Wholesale",IF(_xll.EVDES(H39,$B$1)="#NODATA","",_xll.EVDES(H39,$B$1)))</f>
        <v>Wholesale</v>
      </c>
      <c r="O39" s="217">
        <v>22577</v>
      </c>
      <c r="P39" s="217">
        <v>17380.93</v>
      </c>
      <c r="Q39" s="217">
        <v>35546.769999999997</v>
      </c>
      <c r="R39" s="217">
        <v>29694.01</v>
      </c>
      <c r="S39" s="217">
        <v>24692.65</v>
      </c>
      <c r="T39" s="217">
        <v>27078.52</v>
      </c>
      <c r="U39" s="217">
        <v>22880.81</v>
      </c>
      <c r="V39" s="217">
        <v>7162.54</v>
      </c>
      <c r="W39" s="217">
        <v>6601.14</v>
      </c>
      <c r="X39" s="217">
        <v>10273.56</v>
      </c>
      <c r="Y39" s="217">
        <v>18242.439999999999</v>
      </c>
      <c r="Z39" s="217">
        <v>59489.77</v>
      </c>
      <c r="AA39" s="251">
        <f t="shared" si="1"/>
        <v>281620.14</v>
      </c>
      <c r="AB39" s="219">
        <f t="shared" si="2"/>
        <v>2.9993874625894312E-2</v>
      </c>
      <c r="AC39" s="140"/>
      <c r="AD39" s="217">
        <v>231008.79</v>
      </c>
      <c r="AE39" s="219">
        <f t="shared" si="3"/>
        <v>3.8876883382481665E-2</v>
      </c>
      <c r="AF39" s="220">
        <f t="shared" si="4"/>
        <v>50611.350000000006</v>
      </c>
      <c r="AG39" s="217">
        <v>105114.35</v>
      </c>
      <c r="AH39" s="219">
        <f t="shared" si="5"/>
        <v>2.583653212176491E-2</v>
      </c>
      <c r="AI39" s="220">
        <f t="shared" si="6"/>
        <v>176505.79</v>
      </c>
      <c r="AJ39" s="221">
        <f t="shared" si="7"/>
        <v>7.0021666376588181</v>
      </c>
      <c r="AK39" s="222">
        <f t="shared" si="8"/>
        <v>6.1561303131245841</v>
      </c>
      <c r="AL39" s="223">
        <f t="shared" si="9"/>
        <v>0.84603632453423394</v>
      </c>
      <c r="AM39" s="224">
        <f t="shared" si="10"/>
        <v>5.2426109725685786</v>
      </c>
      <c r="AN39" s="223">
        <f t="shared" si="11"/>
        <v>1.7595556650902395</v>
      </c>
      <c r="AO39" s="11"/>
    </row>
    <row r="40" spans="1:41" x14ac:dyDescent="0.35">
      <c r="A40" s="11" t="s">
        <v>102</v>
      </c>
      <c r="B40" s="11"/>
      <c r="C40" s="106" t="s">
        <v>101</v>
      </c>
      <c r="D40" s="11" t="s">
        <v>106</v>
      </c>
      <c r="E40" s="11"/>
      <c r="F40" s="11" t="s">
        <v>98</v>
      </c>
      <c r="G40" s="11"/>
      <c r="H40" s="88" t="s">
        <v>66</v>
      </c>
      <c r="I40" s="188" t="str">
        <f>IF(_epmOfflineCondition_,"T4",_xll.EVPRO($B$1,$H40,"STYLE"))</f>
        <v>T4</v>
      </c>
      <c r="J40" s="188" t="str">
        <f>IF(_epmOfflineCondition_,"Y",_xll.EVPRO($B$1,$H40,"CALC"))</f>
        <v>Y</v>
      </c>
      <c r="K40" s="189" t="str">
        <f t="shared" si="0"/>
        <v/>
      </c>
      <c r="L40" s="190" t="str">
        <f>IF(_epmOfflineCondition_,"402000",_xll.EVPRO($B$1,H40,"JDEID"))</f>
        <v>402000</v>
      </c>
      <c r="M40" s="190" t="str">
        <f>IF(_epmOfflineCondition_,"",IF(AND(I40="N",J40="N"),_xll.EVPRO($B$1,H40,"PSFTID"),""))</f>
        <v/>
      </c>
      <c r="N40" s="190" t="str">
        <f>IF(_epmOfflineCondition_,"Total Transient Room Rev",IF(_xll.EVDES(H40,$B$1)="#NODATA","",_xll.EVDES(H40,$B$1)))</f>
        <v>Total Transient Room Rev</v>
      </c>
      <c r="O40" s="225">
        <v>565814.78</v>
      </c>
      <c r="P40" s="225">
        <v>664413.18999999994</v>
      </c>
      <c r="Q40" s="225">
        <v>855328.73</v>
      </c>
      <c r="R40" s="225">
        <v>792496.16</v>
      </c>
      <c r="S40" s="225">
        <v>1001135.79</v>
      </c>
      <c r="T40" s="225">
        <v>805626.89</v>
      </c>
      <c r="U40" s="225">
        <v>934340.02</v>
      </c>
      <c r="V40" s="225">
        <v>527743.85</v>
      </c>
      <c r="W40" s="225">
        <v>415311.26</v>
      </c>
      <c r="X40" s="225">
        <v>534830.12</v>
      </c>
      <c r="Y40" s="225">
        <v>691475.19</v>
      </c>
      <c r="Z40" s="225">
        <v>1201423.8700000001</v>
      </c>
      <c r="AA40" s="225">
        <f t="shared" si="1"/>
        <v>8989939.8500000015</v>
      </c>
      <c r="AB40" s="226">
        <f t="shared" si="2"/>
        <v>0.95747104150729823</v>
      </c>
      <c r="AC40" s="227"/>
      <c r="AD40" s="225">
        <v>5727875.8700000001</v>
      </c>
      <c r="AE40" s="226">
        <f t="shared" si="3"/>
        <v>0.96395449812676259</v>
      </c>
      <c r="AF40" s="228">
        <f t="shared" si="4"/>
        <v>3262063.9800000014</v>
      </c>
      <c r="AG40" s="225">
        <v>3411914.34</v>
      </c>
      <c r="AH40" s="226">
        <f t="shared" si="5"/>
        <v>0.83862987729192362</v>
      </c>
      <c r="AI40" s="228">
        <f t="shared" si="6"/>
        <v>5578025.5100000016</v>
      </c>
      <c r="AJ40" s="229">
        <f t="shared" si="7"/>
        <v>223.52469852557252</v>
      </c>
      <c r="AK40" s="230">
        <f t="shared" si="8"/>
        <v>152.64159546968688</v>
      </c>
      <c r="AL40" s="231">
        <f t="shared" si="9"/>
        <v>70.883103055885641</v>
      </c>
      <c r="AM40" s="232">
        <f t="shared" si="10"/>
        <v>170.17029127182045</v>
      </c>
      <c r="AN40" s="231">
        <f t="shared" si="11"/>
        <v>53.354407253752072</v>
      </c>
      <c r="AO40" s="11"/>
    </row>
    <row r="41" spans="1:41" x14ac:dyDescent="0.35">
      <c r="A41" s="11" t="s">
        <v>102</v>
      </c>
      <c r="B41" s="11"/>
      <c r="C41" s="196" t="s">
        <v>101</v>
      </c>
      <c r="D41" s="11" t="s">
        <v>107</v>
      </c>
      <c r="E41" s="11"/>
      <c r="F41" s="11" t="s">
        <v>99</v>
      </c>
      <c r="G41" s="11"/>
      <c r="H41" s="88" t="s">
        <v>71</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IF(_epmOfflineCondition_,"Group Rooms Revenue",IF(_xll.EVDES(H41,$B$1)="#NODATA","",_xll.EVDES(H41,$B$1)))</f>
        <v>Group Rooms Revenue</v>
      </c>
      <c r="O41" s="210"/>
      <c r="P41" s="210"/>
      <c r="Q41" s="210"/>
      <c r="R41" s="210"/>
      <c r="S41" s="210"/>
      <c r="T41" s="210"/>
      <c r="U41" s="210"/>
      <c r="V41" s="210"/>
      <c r="W41" s="210"/>
      <c r="X41" s="210"/>
      <c r="Y41" s="210"/>
      <c r="Z41" s="210"/>
      <c r="AA41" s="252" t="str">
        <f t="shared" si="1"/>
        <v/>
      </c>
      <c r="AB41" s="211" t="str">
        <f t="shared" si="2"/>
        <v/>
      </c>
      <c r="AC41" s="140"/>
      <c r="AD41" s="210"/>
      <c r="AE41" s="211" t="str">
        <f t="shared" si="3"/>
        <v/>
      </c>
      <c r="AF41" s="253" t="str">
        <f t="shared" si="4"/>
        <v/>
      </c>
      <c r="AG41" s="210"/>
      <c r="AH41" s="211" t="str">
        <f t="shared" si="5"/>
        <v/>
      </c>
      <c r="AI41" s="253" t="str">
        <f t="shared" si="6"/>
        <v/>
      </c>
      <c r="AJ41" s="234">
        <f t="shared" si="7"/>
        <v>0</v>
      </c>
      <c r="AK41" s="235">
        <f t="shared" si="8"/>
        <v>0</v>
      </c>
      <c r="AL41" s="236">
        <f t="shared" si="9"/>
        <v>0</v>
      </c>
      <c r="AM41" s="237">
        <f t="shared" si="10"/>
        <v>0</v>
      </c>
      <c r="AN41" s="236">
        <f t="shared" si="11"/>
        <v>0</v>
      </c>
      <c r="AO41" s="11"/>
    </row>
    <row r="42" spans="1:41" x14ac:dyDescent="0.35">
      <c r="A42" s="11"/>
      <c r="B42" s="11"/>
      <c r="C42" s="11"/>
      <c r="D42" s="11"/>
      <c r="E42" s="11"/>
      <c r="F42" s="11"/>
      <c r="G42" s="11"/>
      <c r="H42" s="88" t="s">
        <v>87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IF(_epmOfflineCondition_,"Corporate",IF(_xll.EVDES(H42,$B$1)="#NODATA","",_xll.EVDES(H42,$B$1)))</f>
        <v>Corporate</v>
      </c>
      <c r="O42" s="143">
        <v>14618</v>
      </c>
      <c r="P42" s="143">
        <v>20358</v>
      </c>
      <c r="Q42" s="143">
        <v>8073</v>
      </c>
      <c r="R42" s="143">
        <v>42955</v>
      </c>
      <c r="S42" s="143">
        <v>4273</v>
      </c>
      <c r="T42" s="143">
        <v>10491</v>
      </c>
      <c r="U42" s="143">
        <v>338</v>
      </c>
      <c r="V42" s="143">
        <v>4702</v>
      </c>
      <c r="W42" s="143">
        <v>8242</v>
      </c>
      <c r="X42" s="143">
        <v>8772</v>
      </c>
      <c r="Y42" s="143">
        <v>62347</v>
      </c>
      <c r="Z42" s="143">
        <v>84788.85</v>
      </c>
      <c r="AA42" s="250">
        <f t="shared" si="1"/>
        <v>269957.84999999998</v>
      </c>
      <c r="AB42" s="144">
        <f t="shared" si="2"/>
        <v>2.8751785675470445E-2</v>
      </c>
      <c r="AC42" s="140"/>
      <c r="AD42" s="143">
        <v>107109.24</v>
      </c>
      <c r="AE42" s="144">
        <f t="shared" si="3"/>
        <v>1.8025606006880694E-2</v>
      </c>
      <c r="AF42" s="145">
        <f t="shared" si="4"/>
        <v>162848.60999999999</v>
      </c>
      <c r="AG42" s="143">
        <v>329331</v>
      </c>
      <c r="AH42" s="144">
        <f t="shared" si="5"/>
        <v>8.0947757943543946E-2</v>
      </c>
      <c r="AI42" s="145">
        <f t="shared" si="6"/>
        <v>-59373.150000000023</v>
      </c>
      <c r="AJ42" s="212">
        <f t="shared" si="7"/>
        <v>6.712196971580596</v>
      </c>
      <c r="AK42" s="213">
        <f t="shared" si="8"/>
        <v>2.8543435043304464</v>
      </c>
      <c r="AL42" s="214">
        <f t="shared" si="9"/>
        <v>3.8578534672501497</v>
      </c>
      <c r="AM42" s="215">
        <f t="shared" si="10"/>
        <v>16.425486284289278</v>
      </c>
      <c r="AN42" s="214">
        <f t="shared" si="11"/>
        <v>-9.7132893127086817</v>
      </c>
      <c r="AO42" s="11"/>
    </row>
    <row r="43" spans="1:41" x14ac:dyDescent="0.35">
      <c r="A43" s="11"/>
      <c r="B43" s="11"/>
      <c r="C43" s="11"/>
      <c r="D43" s="11"/>
      <c r="E43" s="11"/>
      <c r="F43" s="11"/>
      <c r="G43" s="11"/>
      <c r="H43" s="88" t="s">
        <v>88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IF(_epmOfflineCondition_,"Association/Convention",IF(_xll.EVDES(H43,$B$1)="#NODATA","",_xll.EVDES(H43,$B$1)))</f>
        <v>Association/Convention</v>
      </c>
      <c r="O43" s="143"/>
      <c r="P43" s="143"/>
      <c r="Q43" s="143"/>
      <c r="R43" s="143">
        <v>8027</v>
      </c>
      <c r="S43" s="143">
        <v>5626</v>
      </c>
      <c r="T43" s="143"/>
      <c r="U43" s="143"/>
      <c r="V43" s="143"/>
      <c r="W43" s="143">
        <v>199</v>
      </c>
      <c r="X43" s="143"/>
      <c r="Y43" s="143"/>
      <c r="Z43" s="143"/>
      <c r="AA43" s="250">
        <f t="shared" si="1"/>
        <v>13852</v>
      </c>
      <c r="AB43" s="144">
        <f t="shared" si="2"/>
        <v>1.4753034045004311E-3</v>
      </c>
      <c r="AC43" s="140"/>
      <c r="AD43" s="143"/>
      <c r="AE43" s="144" t="str">
        <f t="shared" si="3"/>
        <v/>
      </c>
      <c r="AF43" s="145">
        <f t="shared" si="4"/>
        <v>13852</v>
      </c>
      <c r="AG43" s="143">
        <v>200279.52</v>
      </c>
      <c r="AH43" s="144">
        <f t="shared" si="5"/>
        <v>4.9227610234108446E-2</v>
      </c>
      <c r="AI43" s="145">
        <f t="shared" si="6"/>
        <v>-186427.51999999999</v>
      </c>
      <c r="AJ43" s="212">
        <f t="shared" si="7"/>
        <v>0.34441433153484674</v>
      </c>
      <c r="AK43" s="213">
        <f t="shared" si="8"/>
        <v>0</v>
      </c>
      <c r="AL43" s="214">
        <f t="shared" si="9"/>
        <v>0.34441433153484674</v>
      </c>
      <c r="AM43" s="215">
        <f t="shared" si="10"/>
        <v>9.98900349127182</v>
      </c>
      <c r="AN43" s="214">
        <f t="shared" si="11"/>
        <v>-9.6445891597369737</v>
      </c>
      <c r="AO43" s="11"/>
    </row>
    <row r="44" spans="1:41" x14ac:dyDescent="0.35">
      <c r="A44" s="61" t="str">
        <f>IF(_epmOfflineCondition_,"Evdre:Ok",_xll.EVDRE($B$1,A47:B54,A57:B63))</f>
        <v>Evdre:Ok</v>
      </c>
      <c r="B44" s="11"/>
      <c r="C44" s="11"/>
      <c r="D44" s="11"/>
      <c r="E44" s="11"/>
      <c r="F44" s="11"/>
      <c r="G44" s="11"/>
      <c r="H44" s="88" t="s">
        <v>89</v>
      </c>
      <c r="I44" s="122" t="str">
        <f>IF(_epmOfflineCondition_,"T5",_xll.EVPRO($B$1,$H44,"STYLE"))</f>
        <v>T5</v>
      </c>
      <c r="J44" s="122" t="str">
        <f>IF(_epmOfflineCondition_,"Y",_xll.EVPRO($B$1,$H44,"CALC"))</f>
        <v>Y</v>
      </c>
      <c r="K44" s="179" t="str">
        <f t="shared" si="0"/>
        <v>&gt;</v>
      </c>
      <c r="L44" s="90" t="str">
        <f>IF(_epmOfflineCondition_,"401800",_xll.EVPRO($B$1,H44,"JDEID"))</f>
        <v>401800</v>
      </c>
      <c r="M44" s="90" t="str">
        <f>IF(_epmOfflineCondition_,"",IF(AND(I44="N",J44="N"),_xll.EVPRO($B$1,H44,"PSFTID"),""))</f>
        <v/>
      </c>
      <c r="N44" s="90" t="str">
        <f>IF(_epmOfflineCondition_,"Government",IF(_xll.EVDES(H44,$B$1)="#NODATA","",_xll.EVDES(H44,$B$1)))</f>
        <v>Government</v>
      </c>
      <c r="O44" s="143"/>
      <c r="P44" s="143"/>
      <c r="Q44" s="143"/>
      <c r="R44" s="143"/>
      <c r="S44" s="143"/>
      <c r="T44" s="143"/>
      <c r="U44" s="143"/>
      <c r="V44" s="143"/>
      <c r="W44" s="143"/>
      <c r="X44" s="143"/>
      <c r="Y44" s="143"/>
      <c r="Z44" s="143"/>
      <c r="AA44" s="250">
        <f t="shared" si="1"/>
        <v>0</v>
      </c>
      <c r="AB44" s="144" t="str">
        <f t="shared" si="2"/>
        <v/>
      </c>
      <c r="AC44" s="140"/>
      <c r="AD44" s="143">
        <v>18895</v>
      </c>
      <c r="AE44" s="144">
        <f t="shared" si="3"/>
        <v>3.1798734217515748E-3</v>
      </c>
      <c r="AF44" s="145">
        <f t="shared" si="4"/>
        <v>-18895</v>
      </c>
      <c r="AG44" s="143">
        <v>7790</v>
      </c>
      <c r="AH44" s="144">
        <f t="shared" si="5"/>
        <v>1.9147393788626257E-3</v>
      </c>
      <c r="AI44" s="145">
        <f t="shared" si="6"/>
        <v>-7790</v>
      </c>
      <c r="AJ44" s="212">
        <f t="shared" si="7"/>
        <v>0</v>
      </c>
      <c r="AK44" s="213">
        <f t="shared" si="8"/>
        <v>0.50353097934710189</v>
      </c>
      <c r="AL44" s="214">
        <f t="shared" si="9"/>
        <v>-0.50353097934710189</v>
      </c>
      <c r="AM44" s="215">
        <f t="shared" si="10"/>
        <v>0.38852867830423943</v>
      </c>
      <c r="AN44" s="214">
        <f t="shared" si="11"/>
        <v>-0.38852867830423943</v>
      </c>
      <c r="AO44" s="11"/>
    </row>
    <row r="45" spans="1:41" x14ac:dyDescent="0.35">
      <c r="A45" s="11"/>
      <c r="B45" s="11"/>
      <c r="C45" s="11"/>
      <c r="D45" s="11"/>
      <c r="E45" s="11"/>
      <c r="F45" s="11"/>
      <c r="G45" s="11"/>
      <c r="H45" s="88" t="s">
        <v>90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IF(_epmOfflineCondition_,"Tour/Wholesalers",IF(_xll.EVDES(H45,$B$1)="#NODATA","",_xll.EVDES(H45,$B$1)))</f>
        <v>Tour/Wholesalers</v>
      </c>
      <c r="O45" s="143"/>
      <c r="P45" s="143"/>
      <c r="Q45" s="143"/>
      <c r="R45" s="143"/>
      <c r="S45" s="143"/>
      <c r="T45" s="143"/>
      <c r="U45" s="143"/>
      <c r="V45" s="143"/>
      <c r="W45" s="143"/>
      <c r="X45" s="143"/>
      <c r="Y45" s="143"/>
      <c r="Z45" s="143"/>
      <c r="AA45" s="250">
        <f t="shared" si="1"/>
        <v>0</v>
      </c>
      <c r="AB45" s="144" t="str">
        <f t="shared" si="2"/>
        <v/>
      </c>
      <c r="AC45" s="140"/>
      <c r="AD45" s="143">
        <v>31088.37</v>
      </c>
      <c r="AE45" s="144">
        <f t="shared" si="3"/>
        <v>5.2319175172574226E-3</v>
      </c>
      <c r="AF45" s="145">
        <f t="shared" si="4"/>
        <v>-31088.37</v>
      </c>
      <c r="AG45" s="143">
        <v>30763.72</v>
      </c>
      <c r="AH45" s="144">
        <f t="shared" si="5"/>
        <v>7.5615540596025337E-3</v>
      </c>
      <c r="AI45" s="145">
        <f t="shared" si="6"/>
        <v>-30763.72</v>
      </c>
      <c r="AJ45" s="212">
        <f t="shared" si="7"/>
        <v>0</v>
      </c>
      <c r="AK45" s="213">
        <f t="shared" si="8"/>
        <v>0.82847088607594932</v>
      </c>
      <c r="AL45" s="214">
        <f t="shared" si="9"/>
        <v>-0.82847088607594932</v>
      </c>
      <c r="AM45" s="215">
        <f t="shared" si="10"/>
        <v>1.5343501246882794</v>
      </c>
      <c r="AN45" s="214">
        <f t="shared" si="11"/>
        <v>-1.5343501246882794</v>
      </c>
      <c r="AO45" s="11"/>
    </row>
    <row r="46" spans="1:41" x14ac:dyDescent="0.35">
      <c r="A46" s="62" t="s">
        <v>0</v>
      </c>
      <c r="B46" s="63" t="s">
        <v>1</v>
      </c>
      <c r="C46" s="11"/>
      <c r="D46" s="11"/>
      <c r="E46" s="11"/>
      <c r="F46" s="11"/>
      <c r="G46" s="11"/>
      <c r="H46" s="88" t="s">
        <v>68</v>
      </c>
      <c r="I46" s="122" t="str">
        <f>IF(_epmOfflineCondition_,"T5",_xll.EVPRO($B$1,$H46,"STYLE"))</f>
        <v>T5</v>
      </c>
      <c r="J46" s="122" t="str">
        <f>IF(_epmOfflineCondition_,"Y",_xll.EVPRO($B$1,$H46,"CALC"))</f>
        <v>Y</v>
      </c>
      <c r="K46" s="179" t="str">
        <f t="shared" si="0"/>
        <v>&gt;</v>
      </c>
      <c r="L46" s="90" t="str">
        <f>IF(_epmOfflineCondition_,"401200",_xll.EVPRO($B$1,H46,"JDEID"))</f>
        <v>401200</v>
      </c>
      <c r="M46" s="90" t="str">
        <f>IF(_epmOfflineCondition_,"",IF(AND(I46="N",J46="N"),_xll.EVPRO($B$1,H46,"PSFTID"),""))</f>
        <v/>
      </c>
      <c r="N46" s="90" t="str">
        <f>IF(_epmOfflineCondition_,"SMERF",IF(_xll.EVDES(H46,$B$1)="#NODATA","",_xll.EVDES(H46,$B$1)))</f>
        <v>SMERF</v>
      </c>
      <c r="O46" s="217"/>
      <c r="P46" s="217"/>
      <c r="Q46" s="217">
        <v>199</v>
      </c>
      <c r="R46" s="217">
        <v>14148</v>
      </c>
      <c r="S46" s="217">
        <v>1243</v>
      </c>
      <c r="T46" s="217">
        <v>10627</v>
      </c>
      <c r="U46" s="217">
        <v>16613</v>
      </c>
      <c r="V46" s="217"/>
      <c r="W46" s="217">
        <v>2312</v>
      </c>
      <c r="X46" s="217">
        <v>7176</v>
      </c>
      <c r="Y46" s="217">
        <v>18080</v>
      </c>
      <c r="Z46" s="217"/>
      <c r="AA46" s="251">
        <f t="shared" si="1"/>
        <v>70398</v>
      </c>
      <c r="AB46" s="219">
        <f t="shared" si="2"/>
        <v>7.4977193957566661E-3</v>
      </c>
      <c r="AC46" s="140"/>
      <c r="AD46" s="217">
        <v>22021.200000000001</v>
      </c>
      <c r="AE46" s="219">
        <f t="shared" si="3"/>
        <v>3.7059872238727593E-3</v>
      </c>
      <c r="AF46" s="220">
        <f t="shared" si="4"/>
        <v>48376.800000000003</v>
      </c>
      <c r="AG46" s="217">
        <v>26000</v>
      </c>
      <c r="AH46" s="219">
        <f t="shared" si="5"/>
        <v>6.3906577471666585E-3</v>
      </c>
      <c r="AI46" s="220">
        <f t="shared" si="6"/>
        <v>44398</v>
      </c>
      <c r="AJ46" s="221">
        <f t="shared" si="7"/>
        <v>1.7503667420870732</v>
      </c>
      <c r="AK46" s="222">
        <f t="shared" si="8"/>
        <v>0.5868407728181213</v>
      </c>
      <c r="AL46" s="223">
        <f t="shared" si="9"/>
        <v>1.1635259692689519</v>
      </c>
      <c r="AM46" s="224">
        <f t="shared" si="10"/>
        <v>1.2967581047381547</v>
      </c>
      <c r="AN46" s="223">
        <f t="shared" si="11"/>
        <v>0.45360863734891854</v>
      </c>
      <c r="AO46" s="11"/>
    </row>
    <row r="47" spans="1:41" x14ac:dyDescent="0.35">
      <c r="A47" s="65" t="s">
        <v>2</v>
      </c>
      <c r="B47" s="66" t="str">
        <f>IF(_epmOfflineCondition_,"'Rooms'!$B$2:$B$10",_xll.EVRNG($B$2:$B$10))</f>
        <v>'Rooms'!$B$2:$B$10</v>
      </c>
      <c r="C47" s="11"/>
      <c r="D47" s="11"/>
      <c r="E47" s="11"/>
      <c r="F47" s="11"/>
      <c r="G47" s="11"/>
      <c r="H47" s="88" t="s">
        <v>64</v>
      </c>
      <c r="I47" s="188" t="str">
        <f>IF(_epmOfflineCondition_,"T4",_xll.EVPRO($B$1,$H47,"STYLE"))</f>
        <v>T4</v>
      </c>
      <c r="J47" s="188" t="str">
        <f>IF(_epmOfflineCondition_,"Y",_xll.EVPRO($B$1,$H47,"CALC"))</f>
        <v>Y</v>
      </c>
      <c r="K47" s="189" t="str">
        <f t="shared" si="0"/>
        <v/>
      </c>
      <c r="L47" s="190" t="str">
        <f>IF(_epmOfflineCondition_,"401000",_xll.EVPRO($B$1,H47,"JDEID"))</f>
        <v>401000</v>
      </c>
      <c r="M47" s="190" t="str">
        <f>IF(_epmOfflineCondition_,"",IF(AND(I47="N",J47="N"),_xll.EVPRO($B$1,H47,"PSFTID"),""))</f>
        <v/>
      </c>
      <c r="N47" s="190" t="str">
        <f>IF(_epmOfflineCondition_,"Total Group Room Rev",IF(_xll.EVDES(H47,$B$1)="#NODATA","",_xll.EVDES(H47,$B$1)))</f>
        <v>Total Group Room Rev</v>
      </c>
      <c r="O47" s="225">
        <v>14618</v>
      </c>
      <c r="P47" s="225">
        <v>20358</v>
      </c>
      <c r="Q47" s="225">
        <v>8272</v>
      </c>
      <c r="R47" s="225">
        <v>65130</v>
      </c>
      <c r="S47" s="225">
        <v>11142</v>
      </c>
      <c r="T47" s="225">
        <v>21118</v>
      </c>
      <c r="U47" s="225">
        <v>16951</v>
      </c>
      <c r="V47" s="225">
        <v>4702</v>
      </c>
      <c r="W47" s="225">
        <v>10753</v>
      </c>
      <c r="X47" s="225">
        <v>15948</v>
      </c>
      <c r="Y47" s="225">
        <v>80427</v>
      </c>
      <c r="Z47" s="225">
        <v>84788.85</v>
      </c>
      <c r="AA47" s="225">
        <f t="shared" si="1"/>
        <v>354207.85</v>
      </c>
      <c r="AB47" s="226">
        <f t="shared" si="2"/>
        <v>3.7724808475727546E-2</v>
      </c>
      <c r="AC47" s="227"/>
      <c r="AD47" s="225">
        <v>179113.81</v>
      </c>
      <c r="AE47" s="226">
        <f t="shared" si="3"/>
        <v>3.0143384169762446E-2</v>
      </c>
      <c r="AF47" s="228">
        <f t="shared" si="4"/>
        <v>175094.03999999998</v>
      </c>
      <c r="AG47" s="225">
        <v>594164.24</v>
      </c>
      <c r="AH47" s="226">
        <f t="shared" si="5"/>
        <v>0.14604231936328421</v>
      </c>
      <c r="AI47" s="228">
        <f t="shared" si="6"/>
        <v>-239956.39</v>
      </c>
      <c r="AJ47" s="229">
        <f t="shared" si="7"/>
        <v>8.8069780452025164</v>
      </c>
      <c r="AK47" s="230">
        <f t="shared" si="8"/>
        <v>4.7731861425716184</v>
      </c>
      <c r="AL47" s="231">
        <f t="shared" si="9"/>
        <v>4.0337919026308979</v>
      </c>
      <c r="AM47" s="232">
        <f t="shared" si="10"/>
        <v>29.634126683291772</v>
      </c>
      <c r="AN47" s="231">
        <f t="shared" si="11"/>
        <v>-20.827148638089255</v>
      </c>
      <c r="AO47" s="11"/>
    </row>
    <row r="48" spans="1:41" x14ac:dyDescent="0.35">
      <c r="A48" s="65" t="s">
        <v>3</v>
      </c>
      <c r="B48" s="66" t="str">
        <f>IF(_epmOfflineCondition_,"'Rooms'!$O$16:$AN$18",_xll.EVRNG($O$16:$AN$18))</f>
        <v>'Rooms'!$O$16:$AN$18</v>
      </c>
      <c r="C48" s="11"/>
      <c r="D48" s="11"/>
      <c r="E48" s="11"/>
      <c r="F48" s="11"/>
      <c r="G48" s="11"/>
      <c r="H48" s="88" t="s">
        <v>119</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IF(_epmOfflineCondition_,"Contract Rooms Revenue",IF(_xll.EVDES(H48,$B$1)="#NODATA","",_xll.EVDES(H48,$B$1)))</f>
        <v>Contract Rooms Revenue</v>
      </c>
      <c r="O48" s="210"/>
      <c r="P48" s="210"/>
      <c r="Q48" s="210"/>
      <c r="R48" s="210"/>
      <c r="S48" s="210"/>
      <c r="T48" s="210"/>
      <c r="U48" s="210"/>
      <c r="V48" s="210"/>
      <c r="W48" s="210"/>
      <c r="X48" s="210"/>
      <c r="Y48" s="210"/>
      <c r="Z48" s="210"/>
      <c r="AA48" s="252">
        <f t="shared" si="1"/>
        <v>0</v>
      </c>
      <c r="AB48" s="211" t="str">
        <f t="shared" si="2"/>
        <v/>
      </c>
      <c r="AC48" s="140"/>
      <c r="AD48" s="210"/>
      <c r="AE48" s="211" t="str">
        <f t="shared" si="3"/>
        <v/>
      </c>
      <c r="AF48" s="253">
        <f t="shared" si="4"/>
        <v>0</v>
      </c>
      <c r="AG48" s="210"/>
      <c r="AH48" s="211" t="str">
        <f t="shared" si="5"/>
        <v/>
      </c>
      <c r="AI48" s="253">
        <f t="shared" si="6"/>
        <v>0</v>
      </c>
      <c r="AJ48" s="234">
        <f t="shared" si="7"/>
        <v>0</v>
      </c>
      <c r="AK48" s="235">
        <f t="shared" si="8"/>
        <v>0</v>
      </c>
      <c r="AL48" s="236">
        <f t="shared" si="9"/>
        <v>0</v>
      </c>
      <c r="AM48" s="237">
        <f t="shared" si="10"/>
        <v>0</v>
      </c>
      <c r="AN48" s="236">
        <f t="shared" si="11"/>
        <v>0</v>
      </c>
      <c r="AO48" s="11"/>
    </row>
    <row r="49" spans="1:41" x14ac:dyDescent="0.35">
      <c r="A49" s="65" t="s">
        <v>4</v>
      </c>
      <c r="B49" s="66" t="str">
        <f>IF(_epmOfflineCondition_,"'Rooms'!$H$55:$H$56,'Rooms'!$H$58:$H$70,'Rooms'!$H$73:$H$96",_xll.EVRNG(H55:H56,H58:H70,H73:H96))</f>
        <v>'Rooms'!$H$55:$H$56,'Rooms'!$H$58:$H$70,'Rooms'!$H$73:$H$96</v>
      </c>
      <c r="C49" s="11"/>
      <c r="D49" s="11"/>
      <c r="E49" s="11"/>
      <c r="F49" s="11"/>
      <c r="G49" s="11"/>
      <c r="H49" s="88" t="s">
        <v>67</v>
      </c>
      <c r="I49" s="122" t="str">
        <f>IF(_epmOfflineCondition_,"T5",_xll.EVPRO($B$1,$H49,"STYLE"))</f>
        <v>T5</v>
      </c>
      <c r="J49" s="122" t="str">
        <f>IF(_epmOfflineCondition_,"Y",_xll.EVPRO($B$1,$H49,"CALC"))</f>
        <v>Y</v>
      </c>
      <c r="K49" s="179" t="str">
        <f t="shared" si="0"/>
        <v>&gt;</v>
      </c>
      <c r="L49" s="90" t="str">
        <f>IF(_epmOfflineCondition_,"403000",_xll.EVPRO($B$1,H49,"JDEID"))</f>
        <v>403000</v>
      </c>
      <c r="M49" s="90" t="str">
        <f>IF(_epmOfflineCondition_,"",IF(AND(I49="N",J49="N"),_xll.EVPRO($B$1,H49,"PSFTID"),""))</f>
        <v/>
      </c>
      <c r="N49" s="90" t="str">
        <f>IF(_epmOfflineCondition_,"Other Rooms Revenue",IF(_xll.EVDES(H49,$B$1)="#NODATA","",_xll.EVDES(H49,$B$1)))</f>
        <v>Other Rooms Revenue</v>
      </c>
      <c r="O49" s="143">
        <v>6797.08</v>
      </c>
      <c r="P49" s="143">
        <v>5635.4</v>
      </c>
      <c r="Q49" s="143">
        <v>5887.67</v>
      </c>
      <c r="R49" s="143">
        <v>7831.03</v>
      </c>
      <c r="S49" s="143">
        <v>8210.6299999999992</v>
      </c>
      <c r="T49" s="143">
        <v>9842.18</v>
      </c>
      <c r="U49" s="143">
        <v>8054.02</v>
      </c>
      <c r="V49" s="143">
        <v>8510.56</v>
      </c>
      <c r="W49" s="143">
        <v>3549.56</v>
      </c>
      <c r="X49" s="143">
        <v>5743.37</v>
      </c>
      <c r="Y49" s="143">
        <v>8703.7999999999993</v>
      </c>
      <c r="Z49" s="143">
        <v>7812.53</v>
      </c>
      <c r="AA49" s="250">
        <f t="shared" si="1"/>
        <v>86577.829999999987</v>
      </c>
      <c r="AB49" s="144">
        <f t="shared" si="2"/>
        <v>9.2209476864900039E-3</v>
      </c>
      <c r="AC49" s="140"/>
      <c r="AD49" s="143">
        <v>60792.63</v>
      </c>
      <c r="AE49" s="144">
        <f t="shared" si="3"/>
        <v>1.023090068141717E-2</v>
      </c>
      <c r="AF49" s="145">
        <f t="shared" si="4"/>
        <v>25785.19999999999</v>
      </c>
      <c r="AG49" s="143">
        <v>72713.03</v>
      </c>
      <c r="AH49" s="144">
        <f t="shared" si="5"/>
        <v>1.787246494190237E-2</v>
      </c>
      <c r="AI49" s="145">
        <f t="shared" si="6"/>
        <v>13864.799999999988</v>
      </c>
      <c r="AJ49" s="212">
        <f t="shared" si="7"/>
        <v>2.1526599368457693</v>
      </c>
      <c r="AK49" s="213">
        <f t="shared" si="8"/>
        <v>1.6200567621585609</v>
      </c>
      <c r="AL49" s="214">
        <f t="shared" si="9"/>
        <v>0.53260317468720841</v>
      </c>
      <c r="AM49" s="215">
        <f t="shared" si="10"/>
        <v>3.6265850374064836</v>
      </c>
      <c r="AN49" s="214">
        <f t="shared" si="11"/>
        <v>-1.4739251005607144</v>
      </c>
      <c r="AO49" s="11"/>
    </row>
    <row r="50" spans="1:41" x14ac:dyDescent="0.35">
      <c r="A50" s="65" t="s">
        <v>5</v>
      </c>
      <c r="B50" s="66"/>
      <c r="C50" s="11"/>
      <c r="D50" s="11"/>
      <c r="E50" s="11"/>
      <c r="F50" s="11"/>
      <c r="G50" s="11"/>
      <c r="H50" s="88" t="s">
        <v>91</v>
      </c>
      <c r="I50" s="122" t="str">
        <f>IF(_epmOfflineCondition_,"N",_xll.EVPRO($B$1,$H50,"STYLE"))</f>
        <v>N</v>
      </c>
      <c r="J50" s="122" t="str">
        <f>IF(_epmOfflineCondition_,"N",_xll.EVPRO($B$1,$H50,"CALC"))</f>
        <v>N</v>
      </c>
      <c r="K50" s="179" t="str">
        <f t="shared" si="0"/>
        <v/>
      </c>
      <c r="L50" s="90" t="str">
        <f>IF(_epmOfflineCondition_,"403990",_xll.EVPRO($B$1,H50,"JDEID"))</f>
        <v>403990</v>
      </c>
      <c r="M50" s="90" t="str">
        <f>IF(_epmOfflineCondition_,"200529",IF(AND(I50="N",J50="N"),_xll.EVPRO($B$1,H50,"PSFTID"),""))</f>
        <v>200529</v>
      </c>
      <c r="N50" s="90" t="str">
        <f>IF(_epmOfflineCondition_,"Rooms: Allowances",IF(_xll.EVDES(H50,$B$1)="#NODATA","",_xll.EVDES(H50,$B$1)))</f>
        <v>Rooms: Allowances</v>
      </c>
      <c r="O50" s="217">
        <v>-1507.44</v>
      </c>
      <c r="P50" s="217">
        <v>-4518.3599999999997</v>
      </c>
      <c r="Q50" s="217">
        <v>-3003.59</v>
      </c>
      <c r="R50" s="217">
        <v>-6831</v>
      </c>
      <c r="S50" s="217">
        <v>-2950.88</v>
      </c>
      <c r="T50" s="217">
        <v>-2623.33</v>
      </c>
      <c r="U50" s="217">
        <v>-8583.27</v>
      </c>
      <c r="V50" s="217">
        <v>-3867.4</v>
      </c>
      <c r="W50" s="217">
        <v>-1259.8900000000001</v>
      </c>
      <c r="X50" s="217">
        <v>-667.54</v>
      </c>
      <c r="Y50" s="217">
        <v>-2623.58</v>
      </c>
      <c r="Z50" s="217">
        <v>-3034.16</v>
      </c>
      <c r="AA50" s="251">
        <f t="shared" si="1"/>
        <v>-41470.44</v>
      </c>
      <c r="AB50" s="219">
        <f t="shared" si="2"/>
        <v>-4.4167976695156548E-3</v>
      </c>
      <c r="AC50" s="140"/>
      <c r="AD50" s="217">
        <v>-25721.89</v>
      </c>
      <c r="AE50" s="219">
        <f t="shared" si="3"/>
        <v>-4.3287829779421862E-3</v>
      </c>
      <c r="AF50" s="220">
        <f t="shared" si="4"/>
        <v>-15748.550000000003</v>
      </c>
      <c r="AG50" s="217">
        <v>-10352.799999999999</v>
      </c>
      <c r="AH50" s="219">
        <f t="shared" si="5"/>
        <v>-2.5446615971102681E-3</v>
      </c>
      <c r="AI50" s="220">
        <f t="shared" si="6"/>
        <v>-31117.640000000003</v>
      </c>
      <c r="AJ50" s="221">
        <f t="shared" si="7"/>
        <v>-1.0311156418608121</v>
      </c>
      <c r="AK50" s="222">
        <f t="shared" si="8"/>
        <v>-0.68546009327115254</v>
      </c>
      <c r="AL50" s="223">
        <f t="shared" si="9"/>
        <v>-0.34565554858965952</v>
      </c>
      <c r="AM50" s="224">
        <f t="shared" si="10"/>
        <v>-0.51634912718204484</v>
      </c>
      <c r="AN50" s="223">
        <f t="shared" si="11"/>
        <v>-0.51476651467876722</v>
      </c>
      <c r="AO50" s="11"/>
    </row>
    <row r="51" spans="1:41" x14ac:dyDescent="0.35">
      <c r="A51" s="65" t="s">
        <v>6</v>
      </c>
      <c r="B51" s="66"/>
      <c r="C51" s="11"/>
      <c r="D51" s="11"/>
      <c r="E51" s="11"/>
      <c r="F51" s="11"/>
      <c r="G51" s="11"/>
      <c r="H51" s="88" t="s">
        <v>72</v>
      </c>
      <c r="I51" s="188" t="str">
        <f>IF(_epmOfflineCondition_,"T4",_xll.EVPRO($B$1,$H51,"STYLE"))</f>
        <v>T4</v>
      </c>
      <c r="J51" s="188" t="str">
        <f>IF(_epmOfflineCondition_,"Y",_xll.EVPRO($B$1,$H51,"CALC"))</f>
        <v>Y</v>
      </c>
      <c r="K51" s="189" t="str">
        <f t="shared" si="0"/>
        <v/>
      </c>
      <c r="L51" s="190" t="str">
        <f>IF(_epmOfflineCondition_,"",_xll.EVPRO($B$1,H51,"JDEID"))</f>
        <v/>
      </c>
      <c r="M51" s="190" t="str">
        <f>IF(_epmOfflineCondition_,"",IF(AND(I51="N",J51="N"),_xll.EVPRO($B$1,H51,"PSFTID"),""))</f>
        <v/>
      </c>
      <c r="N51" s="190" t="str">
        <f>IF(_epmOfflineCondition_,"Total Rooms Revenue",IF(_xll.EVDES(H51,$B$1)="#NODATA","",_xll.EVDES(H51,$B$1)))</f>
        <v>Total Rooms Revenue</v>
      </c>
      <c r="O51" s="225">
        <v>585722.42000000004</v>
      </c>
      <c r="P51" s="225">
        <v>685888.23</v>
      </c>
      <c r="Q51" s="225">
        <v>866484.81</v>
      </c>
      <c r="R51" s="225">
        <v>858626.19</v>
      </c>
      <c r="S51" s="225">
        <v>1017537.54</v>
      </c>
      <c r="T51" s="225">
        <v>833963.74</v>
      </c>
      <c r="U51" s="225">
        <v>950761.77</v>
      </c>
      <c r="V51" s="225">
        <v>537089.01</v>
      </c>
      <c r="W51" s="225">
        <v>428353.93</v>
      </c>
      <c r="X51" s="225">
        <v>555853.94999999995</v>
      </c>
      <c r="Y51" s="225">
        <v>777982.41</v>
      </c>
      <c r="Z51" s="225">
        <v>1290991.0900000001</v>
      </c>
      <c r="AA51" s="225">
        <f t="shared" si="1"/>
        <v>9389255.0899999999</v>
      </c>
      <c r="AB51" s="226">
        <f t="shared" si="2"/>
        <v>1</v>
      </c>
      <c r="AC51" s="227"/>
      <c r="AD51" s="225">
        <v>5942060.4199999999</v>
      </c>
      <c r="AE51" s="226">
        <f t="shared" si="3"/>
        <v>1</v>
      </c>
      <c r="AF51" s="228">
        <f t="shared" si="4"/>
        <v>3447194.67</v>
      </c>
      <c r="AG51" s="225">
        <v>4068438.81</v>
      </c>
      <c r="AH51" s="226">
        <f t="shared" si="5"/>
        <v>1</v>
      </c>
      <c r="AI51" s="228">
        <f t="shared" si="6"/>
        <v>5320816.2799999993</v>
      </c>
      <c r="AJ51" s="229">
        <f t="shared" si="7"/>
        <v>233.45322086575996</v>
      </c>
      <c r="AK51" s="230">
        <f t="shared" si="8"/>
        <v>158.3493782811459</v>
      </c>
      <c r="AL51" s="231">
        <f t="shared" si="9"/>
        <v>75.103842584614057</v>
      </c>
      <c r="AM51" s="232">
        <f t="shared" si="10"/>
        <v>202.91465386533667</v>
      </c>
      <c r="AN51" s="231">
        <f t="shared" si="11"/>
        <v>30.538567000423285</v>
      </c>
      <c r="AO51" s="11"/>
    </row>
    <row r="52" spans="1:41" x14ac:dyDescent="0.35">
      <c r="A52" s="65" t="s">
        <v>7</v>
      </c>
      <c r="B52" s="66" t="str">
        <f>IF(_epmOfflineCondition_,"'Rooms'!$A$66:$F$72",_xll.EVRNG(A66:F72))</f>
        <v>'Rooms'!$A$66:$F$72</v>
      </c>
      <c r="C52" s="11"/>
      <c r="D52" s="11"/>
      <c r="E52" s="11"/>
      <c r="F52" s="11"/>
      <c r="G52" s="76"/>
      <c r="H52" s="11"/>
      <c r="I52" s="59"/>
      <c r="J52" s="59"/>
      <c r="K52" s="11"/>
      <c r="L52" s="59"/>
      <c r="M52" s="59"/>
      <c r="N52" s="11"/>
      <c r="O52" s="203"/>
      <c r="P52" s="204"/>
      <c r="Q52" s="204"/>
      <c r="R52" s="204"/>
      <c r="S52" s="204"/>
      <c r="T52" s="204"/>
      <c r="U52" s="204"/>
      <c r="V52" s="204"/>
      <c r="W52" s="204"/>
      <c r="X52" s="204"/>
      <c r="Y52" s="204"/>
      <c r="Z52" s="204"/>
      <c r="AA52" s="204"/>
      <c r="AB52" s="118"/>
      <c r="AC52" s="11"/>
      <c r="AD52" s="203"/>
      <c r="AE52" s="204"/>
      <c r="AF52" s="118"/>
      <c r="AG52" s="203"/>
      <c r="AH52" s="204"/>
      <c r="AI52" s="118"/>
      <c r="AJ52" s="11"/>
      <c r="AK52" s="11"/>
      <c r="AL52" s="11"/>
      <c r="AM52" s="11"/>
      <c r="AN52" s="11"/>
      <c r="AO52" s="11"/>
    </row>
    <row r="53" spans="1:41" x14ac:dyDescent="0.35">
      <c r="A53" s="65" t="s">
        <v>47</v>
      </c>
      <c r="B53" s="66" t="str">
        <f>IF(_epmOfflineCondition_,"'Rooms'!$A$89:$B$110",_xll.EVRNG($A$89:$B$110))</f>
        <v>'Rooms'!$A$89:$B$110</v>
      </c>
      <c r="C53" s="11"/>
      <c r="D53" s="11"/>
      <c r="E53" s="11"/>
      <c r="F53" s="11"/>
      <c r="G53" s="11"/>
      <c r="H53" s="11" t="s">
        <v>73</v>
      </c>
      <c r="I53" s="59" t="str">
        <f>IF(_epmOfflineCondition_,"B1",_xll.EVPRO($B$1,$H53,"STYLE"))</f>
        <v>B1</v>
      </c>
      <c r="J53" s="59" t="str">
        <f>IF(_epmOfflineCondition_,"Y",_xll.EVPRO($B$1,$H53,"CALC"))</f>
        <v>Y</v>
      </c>
      <c r="K53" s="11"/>
      <c r="L53" s="59"/>
      <c r="M53" s="90"/>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118"/>
      <c r="AC53" s="11"/>
      <c r="AD53" s="203"/>
      <c r="AE53" s="204"/>
      <c r="AF53" s="118"/>
      <c r="AG53" s="203"/>
      <c r="AH53" s="204"/>
      <c r="AI53" s="118"/>
      <c r="AJ53" s="11"/>
      <c r="AK53" s="11"/>
      <c r="AL53" s="11"/>
      <c r="AM53" s="11"/>
      <c r="AN53" s="11"/>
      <c r="AO53" s="11"/>
    </row>
    <row r="54" spans="1:41" x14ac:dyDescent="0.35">
      <c r="A54" s="65" t="s">
        <v>8</v>
      </c>
      <c r="B54" s="66"/>
      <c r="C54" s="11"/>
      <c r="D54" s="11"/>
      <c r="E54" s="11"/>
      <c r="F54" s="11"/>
      <c r="G54" s="11"/>
      <c r="H54" s="11" t="s">
        <v>74</v>
      </c>
      <c r="I54" s="59" t="str">
        <f>IF(_epmOfflineCondition_,"B1",_xll.EVPRO($B$1,$H54,"STYLE"))</f>
        <v>B1</v>
      </c>
      <c r="J54" s="59" t="str">
        <f>IF(_epmOfflineCondition_,"Y",_xll.EVPRO($B$1,$H54,"CALC"))</f>
        <v>Y</v>
      </c>
      <c r="K54" s="11"/>
      <c r="L54" s="59"/>
      <c r="M54" s="90"/>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19"/>
      <c r="AH54" s="120"/>
      <c r="AI54" s="121"/>
      <c r="AJ54" s="11"/>
      <c r="AK54" s="11"/>
      <c r="AL54" s="11"/>
      <c r="AM54" s="11"/>
      <c r="AN54" s="11"/>
      <c r="AO54" s="11"/>
    </row>
    <row r="55" spans="1:41" x14ac:dyDescent="0.35">
      <c r="A55" s="11"/>
      <c r="B55" s="11"/>
      <c r="C55" s="11"/>
      <c r="D55" s="11"/>
      <c r="E55" s="11"/>
      <c r="F55" s="11"/>
      <c r="G55" s="11"/>
      <c r="H55" s="88" t="s">
        <v>855</v>
      </c>
      <c r="I55" s="122" t="str">
        <f>IF(_epmOfflineCondition_,"T3",_xll.EVPRO($B$1,$H55,"STYLE"))</f>
        <v>T3</v>
      </c>
      <c r="J55" s="122" t="str">
        <f>IF(_epmOfflineCondition_,"Y",_xll.EVPRO($B$1,$H55,"CALC"))</f>
        <v>Y</v>
      </c>
      <c r="K55" s="179" t="str">
        <f t="shared" ref="K55:K70" si="12">IF(AND(I55&gt;="T3"),"&gt;","")</f>
        <v>&gt;</v>
      </c>
      <c r="L55" s="90" t="str">
        <f>IF(_epmOfflineCondition_,"",_xll.EVPRO($B$1,H55,"JDEID"))</f>
        <v/>
      </c>
      <c r="M55" s="90" t="str">
        <f>IF(_epmOfflineCondition_,"",IF(AND(I55="N",J55="N"),_xll.EVPRO($B$1,H55,"PSFTID"),""))</f>
        <v/>
      </c>
      <c r="N55" s="90" t="str">
        <f>IF(_epmOfflineCondition_,"Management",IF(_xll.EVDES(H55,$B$1)="#NODATA","",_xll.EVDES(H55,$B$1)))</f>
        <v>Management</v>
      </c>
      <c r="O55" s="210">
        <v>8021.57</v>
      </c>
      <c r="P55" s="210">
        <v>10401.44</v>
      </c>
      <c r="Q55" s="210">
        <v>16699.57</v>
      </c>
      <c r="R55" s="210">
        <v>7419.94</v>
      </c>
      <c r="S55" s="210">
        <v>10260.549999999999</v>
      </c>
      <c r="T55" s="210">
        <v>9861.8799999999992</v>
      </c>
      <c r="U55" s="210">
        <v>13291.08</v>
      </c>
      <c r="V55" s="210">
        <v>14873.36</v>
      </c>
      <c r="W55" s="210">
        <v>8312.5400000000009</v>
      </c>
      <c r="X55" s="210">
        <v>10055.61</v>
      </c>
      <c r="Y55" s="210">
        <v>12774.83</v>
      </c>
      <c r="Z55" s="210">
        <v>12661.47</v>
      </c>
      <c r="AA55" s="143">
        <f>IF($I55="B1","",SUM(O55:Z55))</f>
        <v>134633.84</v>
      </c>
      <c r="AB55" s="211">
        <f>IF(AA55=0,"",IFERROR(AA55/AA$19,""))</f>
        <v>1.4339139655859536E-2</v>
      </c>
      <c r="AC55" s="140"/>
      <c r="AD55" s="143">
        <v>121245.438115446</v>
      </c>
      <c r="AE55" s="144">
        <f>IF(AD55=0,"",IFERROR(AD55/AD$19,""))</f>
        <v>2.0404612128707707E-2</v>
      </c>
      <c r="AF55" s="145">
        <f>IF(AND($AA55="",AD55=""),"",$AA55-AD55)</f>
        <v>13388.401884553998</v>
      </c>
      <c r="AG55" s="143">
        <v>118963.87</v>
      </c>
      <c r="AH55" s="144">
        <f>IF(AG55=0,"",IFERROR(AG55/AG$19,""))</f>
        <v>2.9240668363401046E-2</v>
      </c>
      <c r="AI55" s="145">
        <f>IF(AND($AA55="",AG55=""),"",$AA55-AG55)</f>
        <v>15669.970000000001</v>
      </c>
      <c r="AJ55" s="212">
        <f t="shared" ref="AJ55:AJ70" si="13">IFERROR(AA55/AA$20,0)</f>
        <v>3.3475183371043538</v>
      </c>
      <c r="AK55" s="213">
        <f t="shared" ref="AK55:AK70" si="14">IFERROR(AD55/AD$20,0)</f>
        <v>3.2310576446487942</v>
      </c>
      <c r="AL55" s="214">
        <f t="shared" ref="AL55:AL70" si="15">AJ55-AK55</f>
        <v>0.11646069245555957</v>
      </c>
      <c r="AM55" s="215">
        <f t="shared" ref="AM55:AM70" si="16">IFERROR(AG55/AG$20,0)</f>
        <v>5.9333600997506233</v>
      </c>
      <c r="AN55" s="214">
        <f t="shared" ref="AN55:AN70" si="17">AJ55-AM55</f>
        <v>-2.5858417626462695</v>
      </c>
      <c r="AO55" s="11"/>
    </row>
    <row r="56" spans="1:41" hidden="1" x14ac:dyDescent="0.35">
      <c r="A56" s="62" t="s">
        <v>9</v>
      </c>
      <c r="B56" s="63" t="s">
        <v>10</v>
      </c>
      <c r="C56" s="11"/>
      <c r="D56" s="11"/>
      <c r="E56" s="11"/>
      <c r="F56" s="11"/>
      <c r="G56" s="11"/>
      <c r="H56" s="88"/>
      <c r="I56" s="122" t="str">
        <f>IF(_epmOfflineCondition_,"",_xll.EVPRO($B$1,$H56,"STYLE"))</f>
        <v/>
      </c>
      <c r="J56" s="122" t="str">
        <f>IF(_epmOfflineCondition_,"",_xll.EVPRO($B$1,$H56,"CALC"))</f>
        <v/>
      </c>
      <c r="K56" s="179" t="str">
        <f t="shared" si="12"/>
        <v/>
      </c>
      <c r="L56" s="90" t="str">
        <f>IF(_epmOfflineCondition_,"",_xll.EVPRO($B$1,H56,"JDEID"))</f>
        <v/>
      </c>
      <c r="M56" s="90" t="str">
        <f>IF(_epmOfflineCondition_,"",IF(AND(I56="N",J56="N"),_xll.EVPRO($B$1,H56,"PSFTID"),""))</f>
        <v/>
      </c>
      <c r="N56" s="90" t="str">
        <f>IF(_epmOfflineCondition_,"",IF(_xll.EVDES(H56,$B$1)="#NODATA","",_xll.EVDES(H56,$B$1)))</f>
        <v/>
      </c>
      <c r="O56" s="210"/>
      <c r="P56" s="210"/>
      <c r="Q56" s="210"/>
      <c r="R56" s="210"/>
      <c r="S56" s="210"/>
      <c r="T56" s="210"/>
      <c r="U56" s="210"/>
      <c r="V56" s="210"/>
      <c r="W56" s="210"/>
      <c r="X56" s="210"/>
      <c r="Y56" s="210"/>
      <c r="Z56" s="210"/>
      <c r="AA56" s="143">
        <f>IF($I56="B1","",SUM(O56:Z56))</f>
        <v>0</v>
      </c>
      <c r="AB56" s="211" t="str">
        <f>IF(AA56=0,"",IFERROR(AA56/AA$19,""))</f>
        <v/>
      </c>
      <c r="AC56" s="140"/>
      <c r="AD56" s="143"/>
      <c r="AE56" s="144" t="str">
        <f>IF(AD56=0,"",IFERROR(AD56/AD$19,""))</f>
        <v/>
      </c>
      <c r="AF56" s="145">
        <f>IF(AND($AA56="",AD56=""),"",$AA56-AD56)</f>
        <v>0</v>
      </c>
      <c r="AG56" s="143"/>
      <c r="AH56" s="144" t="str">
        <f>IF(AG56=0,"",IFERROR(AG56/AG$19,""))</f>
        <v/>
      </c>
      <c r="AI56" s="145">
        <f>IF(AND($AA56="",AG56=""),"",$AA56-AG56)</f>
        <v>0</v>
      </c>
      <c r="AJ56" s="212">
        <f t="shared" si="13"/>
        <v>0</v>
      </c>
      <c r="AK56" s="213">
        <f t="shared" si="14"/>
        <v>0</v>
      </c>
      <c r="AL56" s="214">
        <f t="shared" si="15"/>
        <v>0</v>
      </c>
      <c r="AM56" s="215">
        <f t="shared" si="16"/>
        <v>0</v>
      </c>
      <c r="AN56" s="214">
        <f t="shared" si="17"/>
        <v>0</v>
      </c>
      <c r="AO56" s="11"/>
    </row>
    <row r="57" spans="1:41" x14ac:dyDescent="0.35">
      <c r="A57" s="65" t="s">
        <v>11</v>
      </c>
      <c r="B57" s="66" t="s">
        <v>21</v>
      </c>
      <c r="C57" s="11"/>
      <c r="D57" s="11"/>
      <c r="E57" s="11"/>
      <c r="F57" s="11"/>
      <c r="G57" s="11"/>
      <c r="H57" s="88" t="s">
        <v>75</v>
      </c>
      <c r="I57" s="122" t="str">
        <f>IF(_epmOfflineCondition_,"B1",_xll.EVPRO($B$1,$H57,"STYLE"))</f>
        <v>B1</v>
      </c>
      <c r="J57" s="122" t="str">
        <f>IF(_epmOfflineCondition_,"Y",_xll.EVPRO($B$1,$H57,"CALC"))</f>
        <v>Y</v>
      </c>
      <c r="K57" s="179" t="str">
        <f t="shared" si="12"/>
        <v/>
      </c>
      <c r="L57" s="90"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91"/>
      <c r="AB57" s="198"/>
      <c r="AC57" s="11"/>
      <c r="AD57" s="91"/>
      <c r="AE57" s="100"/>
      <c r="AF57" s="92"/>
      <c r="AG57" s="91"/>
      <c r="AH57" s="100"/>
      <c r="AI57" s="92"/>
      <c r="AJ57" s="181">
        <f t="shared" si="13"/>
        <v>0</v>
      </c>
      <c r="AK57" s="182">
        <f t="shared" si="14"/>
        <v>0</v>
      </c>
      <c r="AL57" s="183">
        <f t="shared" si="15"/>
        <v>0</v>
      </c>
      <c r="AM57" s="184">
        <f t="shared" si="16"/>
        <v>0</v>
      </c>
      <c r="AN57" s="183">
        <f t="shared" si="17"/>
        <v>0</v>
      </c>
      <c r="AO57" s="11"/>
    </row>
    <row r="58" spans="1:41" x14ac:dyDescent="0.35">
      <c r="A58" s="65" t="s">
        <v>12</v>
      </c>
      <c r="B58" s="66" t="s">
        <v>22</v>
      </c>
      <c r="C58" s="11"/>
      <c r="D58" s="11"/>
      <c r="E58" s="11"/>
      <c r="F58" s="11"/>
      <c r="G58" s="11"/>
      <c r="H58" s="88" t="s">
        <v>940</v>
      </c>
      <c r="I58" s="122" t="str">
        <f>IF(_epmOfflineCondition_,"T3",_xll.EVPRO($B$1,$H58,"STYLE"))</f>
        <v>T3</v>
      </c>
      <c r="J58" s="122" t="str">
        <f>IF(_epmOfflineCondition_,"Y",_xll.EVPRO($B$1,$H58,"CALC"))</f>
        <v>Y</v>
      </c>
      <c r="K58" s="179" t="str">
        <f t="shared" si="12"/>
        <v>&gt;</v>
      </c>
      <c r="L58" s="90" t="str">
        <f>IF(_epmOfflineCondition_,"",_xll.EVPRO($B$1,H58,"JDEID"))</f>
        <v/>
      </c>
      <c r="M58" s="90" t="str">
        <f>IF(_epmOfflineCondition_,"",IF(AND(I58="N",J58="N"),_xll.EVPRO($B$1,H58,"PSFTID"),""))</f>
        <v/>
      </c>
      <c r="N58" s="90" t="str">
        <f>IF(_epmOfflineCondition_,"Front Office",IF(_xll.EVDES(H58,$B$1)="#NODATA","",_xll.EVDES(H58,$B$1)))</f>
        <v>Front Office</v>
      </c>
      <c r="O58" s="216">
        <v>14572.01</v>
      </c>
      <c r="P58" s="216">
        <v>13344.76</v>
      </c>
      <c r="Q58" s="216">
        <v>17194.98</v>
      </c>
      <c r="R58" s="216">
        <v>16727.189999999999</v>
      </c>
      <c r="S58" s="216">
        <v>17909.09</v>
      </c>
      <c r="T58" s="216">
        <v>16962.5</v>
      </c>
      <c r="U58" s="216">
        <v>14804.58</v>
      </c>
      <c r="V58" s="216">
        <v>14560.94</v>
      </c>
      <c r="W58" s="216">
        <v>11914.85</v>
      </c>
      <c r="X58" s="216">
        <v>12355.97</v>
      </c>
      <c r="Y58" s="216">
        <v>11416.14</v>
      </c>
      <c r="Z58" s="216">
        <v>11679.32</v>
      </c>
      <c r="AA58" s="217">
        <f t="shared" ref="AA58:AA70" si="18">IF($I58="B1","",SUM(O58:Z58))</f>
        <v>173442.33000000002</v>
      </c>
      <c r="AB58" s="218">
        <f t="shared" ref="AB58:AB70" si="19">IF(AA58=0,"",IFERROR(AA58/AA$19,""))</f>
        <v>1.8472427081539653E-2</v>
      </c>
      <c r="AC58" s="140"/>
      <c r="AD58" s="217">
        <v>246470.971428572</v>
      </c>
      <c r="AE58" s="219">
        <f t="shared" ref="AE58:AE70" si="20">IF(AD58=0,"",IFERROR(AD58/AD$19,""))</f>
        <v>4.1479041613072656E-2</v>
      </c>
      <c r="AF58" s="220">
        <f t="shared" ref="AF58:AF70" si="21">IF(AND($AA58="",AD58=""),"",$AA58-AD58)</f>
        <v>-73028.64142857198</v>
      </c>
      <c r="AG58" s="217">
        <v>103475.38</v>
      </c>
      <c r="AH58" s="219">
        <f t="shared" ref="AH58:AH70" si="22">IF(AG58=0,"",IFERROR(AG58/AG$19,""))</f>
        <v>2.5433682263000534E-2</v>
      </c>
      <c r="AI58" s="220">
        <f t="shared" ref="AI58:AI70" si="23">IF(AND($AA58="",AG58=""),"",$AA58-AG58)</f>
        <v>69966.950000000012</v>
      </c>
      <c r="AJ58" s="212">
        <f t="shared" si="13"/>
        <v>4.3124475993933222</v>
      </c>
      <c r="AK58" s="213">
        <f t="shared" si="14"/>
        <v>6.5681804511278346</v>
      </c>
      <c r="AL58" s="214">
        <f t="shared" si="15"/>
        <v>-2.2557328517345123</v>
      </c>
      <c r="AM58" s="215">
        <f t="shared" si="16"/>
        <v>5.1608668329177059</v>
      </c>
      <c r="AN58" s="214">
        <f t="shared" si="17"/>
        <v>-0.84841923352438364</v>
      </c>
      <c r="AO58" s="11"/>
    </row>
    <row r="59" spans="1:41" x14ac:dyDescent="0.35">
      <c r="A59" s="65" t="s">
        <v>13</v>
      </c>
      <c r="B59" s="66" t="s">
        <v>735</v>
      </c>
      <c r="C59" s="11"/>
      <c r="D59" s="11"/>
      <c r="E59" s="11"/>
      <c r="F59" s="11"/>
      <c r="G59" s="11"/>
      <c r="H59" s="88" t="s">
        <v>941</v>
      </c>
      <c r="I59" s="122" t="str">
        <f>IF(_epmOfflineCondition_,"T3",_xll.EVPRO($B$1,$H59,"STYLE"))</f>
        <v>T3</v>
      </c>
      <c r="J59" s="122" t="str">
        <f>IF(_epmOfflineCondition_,"Y",_xll.EVPRO($B$1,$H59,"CALC"))</f>
        <v>Y</v>
      </c>
      <c r="K59" s="179" t="str">
        <f t="shared" si="12"/>
        <v>&gt;</v>
      </c>
      <c r="L59" s="90" t="str">
        <f>IF(_epmOfflineCondition_,"",_xll.EVPRO($B$1,H59,"JDEID"))</f>
        <v/>
      </c>
      <c r="M59" s="90" t="str">
        <f>IF(_epmOfflineCondition_,"",IF(AND(I59="N",J59="N"),_xll.EVPRO($B$1,H59,"PSFTID"),""))</f>
        <v/>
      </c>
      <c r="N59" s="90" t="str">
        <f>IF(_epmOfflineCondition_,"Guest Services",IF(_xll.EVDES(H59,$B$1)="#NODATA","",_xll.EVDES(H59,$B$1)))</f>
        <v>Guest Services</v>
      </c>
      <c r="O59" s="216"/>
      <c r="P59" s="216"/>
      <c r="Q59" s="216"/>
      <c r="R59" s="216"/>
      <c r="S59" s="216"/>
      <c r="T59" s="216"/>
      <c r="U59" s="216"/>
      <c r="V59" s="216"/>
      <c r="W59" s="216"/>
      <c r="X59" s="216"/>
      <c r="Y59" s="216"/>
      <c r="Z59" s="216"/>
      <c r="AA59" s="217">
        <f t="shared" si="18"/>
        <v>0</v>
      </c>
      <c r="AB59" s="218" t="str">
        <f t="shared" si="19"/>
        <v/>
      </c>
      <c r="AC59" s="140"/>
      <c r="AD59" s="217"/>
      <c r="AE59" s="219" t="str">
        <f t="shared" si="20"/>
        <v/>
      </c>
      <c r="AF59" s="220">
        <f t="shared" si="21"/>
        <v>0</v>
      </c>
      <c r="AG59" s="217">
        <v>5696</v>
      </c>
      <c r="AH59" s="219">
        <f t="shared" si="22"/>
        <v>1.4000456356869724E-3</v>
      </c>
      <c r="AI59" s="220">
        <f t="shared" si="23"/>
        <v>-5696</v>
      </c>
      <c r="AJ59" s="212">
        <f t="shared" si="13"/>
        <v>0</v>
      </c>
      <c r="AK59" s="213">
        <f t="shared" si="14"/>
        <v>0</v>
      </c>
      <c r="AL59" s="214">
        <f t="shared" si="15"/>
        <v>0</v>
      </c>
      <c r="AM59" s="215">
        <f t="shared" si="16"/>
        <v>0.28408977556109727</v>
      </c>
      <c r="AN59" s="214">
        <f t="shared" si="17"/>
        <v>-0.28408977556109727</v>
      </c>
      <c r="AO59" s="11"/>
    </row>
    <row r="60" spans="1:41" x14ac:dyDescent="0.35">
      <c r="A60" s="65" t="s">
        <v>14</v>
      </c>
      <c r="B60" s="66"/>
      <c r="C60" s="11"/>
      <c r="D60" s="11"/>
      <c r="E60" s="11"/>
      <c r="F60" s="11"/>
      <c r="G60" s="11"/>
      <c r="H60" s="88" t="s">
        <v>942</v>
      </c>
      <c r="I60" s="122" t="str">
        <f>IF(_epmOfflineCondition_,"T3",_xll.EVPRO($B$1,$H60,"STYLE"))</f>
        <v>T3</v>
      </c>
      <c r="J60" s="122" t="str">
        <f>IF(_epmOfflineCondition_,"Y",_xll.EVPRO($B$1,$H60,"CALC"))</f>
        <v>Y</v>
      </c>
      <c r="K60" s="179" t="str">
        <f t="shared" si="12"/>
        <v>&gt;</v>
      </c>
      <c r="L60" s="90" t="str">
        <f>IF(_epmOfflineCondition_,"",_xll.EVPRO($B$1,H60,"JDEID"))</f>
        <v/>
      </c>
      <c r="M60" s="90" t="str">
        <f>IF(_epmOfflineCondition_,"",IF(AND(I60="N",J60="N"),_xll.EVPRO($B$1,H60,"PSFTID"),""))</f>
        <v/>
      </c>
      <c r="N60" s="90" t="str">
        <f>IF(_epmOfflineCondition_,"Housekeeping",IF(_xll.EVDES(H60,$B$1)="#NODATA","",_xll.EVDES(H60,$B$1)))</f>
        <v>Housekeeping</v>
      </c>
      <c r="O60" s="216">
        <v>16911.509999999998</v>
      </c>
      <c r="P60" s="216">
        <v>15724.71</v>
      </c>
      <c r="Q60" s="216">
        <v>16170.96</v>
      </c>
      <c r="R60" s="216">
        <v>14550.03</v>
      </c>
      <c r="S60" s="216">
        <v>12582.08</v>
      </c>
      <c r="T60" s="216">
        <v>11954.72</v>
      </c>
      <c r="U60" s="216">
        <v>11809.73</v>
      </c>
      <c r="V60" s="216">
        <v>10322.719999999999</v>
      </c>
      <c r="W60" s="216">
        <v>8431.74</v>
      </c>
      <c r="X60" s="216">
        <v>11346.44</v>
      </c>
      <c r="Y60" s="216">
        <v>10858.5</v>
      </c>
      <c r="Z60" s="216">
        <v>11617.51</v>
      </c>
      <c r="AA60" s="217">
        <f t="shared" si="18"/>
        <v>152280.65000000002</v>
      </c>
      <c r="AB60" s="218">
        <f t="shared" si="19"/>
        <v>1.6218608243180666E-2</v>
      </c>
      <c r="AC60" s="140"/>
      <c r="AD60" s="217">
        <v>460095.57088571403</v>
      </c>
      <c r="AE60" s="219">
        <f t="shared" si="20"/>
        <v>7.7430308405668155E-2</v>
      </c>
      <c r="AF60" s="220">
        <f t="shared" si="21"/>
        <v>-307814.920885714</v>
      </c>
      <c r="AG60" s="217">
        <v>143633.34</v>
      </c>
      <c r="AH60" s="219">
        <f t="shared" si="22"/>
        <v>3.5304289116247022E-2</v>
      </c>
      <c r="AI60" s="220">
        <f t="shared" si="23"/>
        <v>8647.3100000000268</v>
      </c>
      <c r="AJ60" s="212">
        <f t="shared" si="13"/>
        <v>3.7862863323304912</v>
      </c>
      <c r="AK60" s="213">
        <f t="shared" si="14"/>
        <v>12.261041196154938</v>
      </c>
      <c r="AL60" s="214">
        <f t="shared" si="15"/>
        <v>-8.4747548638244474</v>
      </c>
      <c r="AM60" s="215">
        <f t="shared" si="16"/>
        <v>7.1637576059850376</v>
      </c>
      <c r="AN60" s="214">
        <f t="shared" si="17"/>
        <v>-3.3774712736545465</v>
      </c>
      <c r="AO60" s="11"/>
    </row>
    <row r="61" spans="1:41" x14ac:dyDescent="0.35">
      <c r="A61" s="65" t="s">
        <v>15</v>
      </c>
      <c r="B61" s="66"/>
      <c r="C61" s="11"/>
      <c r="D61" s="11"/>
      <c r="E61" s="11"/>
      <c r="F61" s="11"/>
      <c r="G61" s="11"/>
      <c r="H61" s="88" t="s">
        <v>943</v>
      </c>
      <c r="I61" s="122" t="str">
        <f>IF(_epmOfflineCondition_,"T3",_xll.EVPRO($B$1,$H61,"STYLE"))</f>
        <v>T3</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IF(_epmOfflineCondition_,"Reservations",IF(_xll.EVDES(H61,$B$1)="#NODATA","",_xll.EVDES(H61,$B$1)))</f>
        <v>Reservations</v>
      </c>
      <c r="O61" s="216"/>
      <c r="P61" s="216"/>
      <c r="Q61" s="216"/>
      <c r="R61" s="216"/>
      <c r="S61" s="216"/>
      <c r="T61" s="216"/>
      <c r="U61" s="216"/>
      <c r="V61" s="216"/>
      <c r="W61" s="216"/>
      <c r="X61" s="216"/>
      <c r="Y61" s="216"/>
      <c r="Z61" s="216"/>
      <c r="AA61" s="217">
        <f t="shared" si="18"/>
        <v>0</v>
      </c>
      <c r="AB61" s="218" t="str">
        <f t="shared" si="19"/>
        <v/>
      </c>
      <c r="AC61" s="140"/>
      <c r="AD61" s="217"/>
      <c r="AE61" s="219" t="str">
        <f t="shared" si="20"/>
        <v/>
      </c>
      <c r="AF61" s="220">
        <f t="shared" si="21"/>
        <v>0</v>
      </c>
      <c r="AG61" s="217">
        <v>3533.11</v>
      </c>
      <c r="AH61" s="219">
        <f t="shared" si="22"/>
        <v>8.6841910742661507E-4</v>
      </c>
      <c r="AI61" s="220">
        <f t="shared" si="23"/>
        <v>-3533.11</v>
      </c>
      <c r="AJ61" s="221">
        <f t="shared" si="13"/>
        <v>0</v>
      </c>
      <c r="AK61" s="222">
        <f t="shared" si="14"/>
        <v>0</v>
      </c>
      <c r="AL61" s="223">
        <f t="shared" si="15"/>
        <v>0</v>
      </c>
      <c r="AM61" s="224">
        <f t="shared" si="16"/>
        <v>0.17621496259351621</v>
      </c>
      <c r="AN61" s="223">
        <f t="shared" si="17"/>
        <v>-0.17621496259351621</v>
      </c>
      <c r="AO61" s="11"/>
    </row>
    <row r="62" spans="1:41" x14ac:dyDescent="0.35">
      <c r="A62" s="65" t="s">
        <v>16</v>
      </c>
      <c r="B62" s="66" t="s">
        <v>78</v>
      </c>
      <c r="C62" s="11"/>
      <c r="D62" s="11"/>
      <c r="E62" s="11"/>
      <c r="F62" s="11"/>
      <c r="G62" s="11"/>
      <c r="H62" s="88" t="s">
        <v>848</v>
      </c>
      <c r="I62" s="188" t="str">
        <f>IF(_epmOfflineCondition_,"T2",_xll.EVPRO($B$1,$H62,"STYLE"))</f>
        <v>T2</v>
      </c>
      <c r="J62" s="188" t="str">
        <f>IF(_epmOfflineCondition_,"Y",_xll.EVPRO($B$1,$H62,"CALC"))</f>
        <v>Y</v>
      </c>
      <c r="K62" s="189" t="str">
        <f t="shared" si="12"/>
        <v/>
      </c>
      <c r="L62" s="190" t="str">
        <f>IF(_epmOfflineCondition_,"",_xll.EVPRO($B$1,H62,"JDEID"))</f>
        <v/>
      </c>
      <c r="M62" s="190" t="str">
        <f>IF(_epmOfflineCondition_,"",IF(AND(I62="N",J62="N"),_xll.EVPRO($B$1,H62,"PSFTID"),""))</f>
        <v/>
      </c>
      <c r="N62" s="190" t="str">
        <f>IF(_epmOfflineCondition_,"Total Salaries and Wages",IF(_xll.EVDES(H62,$B$1)="#NODATA","",_xll.EVDES(H62,$B$1)))</f>
        <v>Total Salaries and Wages</v>
      </c>
      <c r="O62" s="225">
        <v>39505.089999999997</v>
      </c>
      <c r="P62" s="225">
        <v>39470.910000000003</v>
      </c>
      <c r="Q62" s="225">
        <v>50065.51</v>
      </c>
      <c r="R62" s="225">
        <v>38697.160000000003</v>
      </c>
      <c r="S62" s="225">
        <v>40751.72</v>
      </c>
      <c r="T62" s="225">
        <v>38779.1</v>
      </c>
      <c r="U62" s="225">
        <v>39905.39</v>
      </c>
      <c r="V62" s="225">
        <v>39757.019999999997</v>
      </c>
      <c r="W62" s="225">
        <v>28659.13</v>
      </c>
      <c r="X62" s="225">
        <v>33758.019999999997</v>
      </c>
      <c r="Y62" s="225">
        <v>35049.47</v>
      </c>
      <c r="Z62" s="225">
        <v>35958.300000000003</v>
      </c>
      <c r="AA62" s="225">
        <f t="shared" si="18"/>
        <v>460356.82</v>
      </c>
      <c r="AB62" s="226">
        <f t="shared" si="19"/>
        <v>4.9030174980579849E-2</v>
      </c>
      <c r="AC62" s="227"/>
      <c r="AD62" s="225">
        <v>827811.98042973201</v>
      </c>
      <c r="AE62" s="226">
        <f t="shared" si="20"/>
        <v>0.13931396214744851</v>
      </c>
      <c r="AF62" s="228">
        <f t="shared" si="21"/>
        <v>-367455.160429732</v>
      </c>
      <c r="AG62" s="225">
        <v>375301.7</v>
      </c>
      <c r="AH62" s="226">
        <f t="shared" si="22"/>
        <v>9.2247104485762191E-2</v>
      </c>
      <c r="AI62" s="228">
        <f t="shared" si="23"/>
        <v>85055.12</v>
      </c>
      <c r="AJ62" s="229">
        <f t="shared" si="13"/>
        <v>11.446252268828166</v>
      </c>
      <c r="AK62" s="230">
        <f t="shared" si="14"/>
        <v>22.060279291931565</v>
      </c>
      <c r="AL62" s="231">
        <f t="shared" si="15"/>
        <v>-10.614027023103398</v>
      </c>
      <c r="AM62" s="232">
        <f t="shared" si="16"/>
        <v>18.71828927680798</v>
      </c>
      <c r="AN62" s="231">
        <f t="shared" si="17"/>
        <v>-7.2720370079798133</v>
      </c>
      <c r="AO62" s="11"/>
    </row>
    <row r="63" spans="1:41" x14ac:dyDescent="0.35">
      <c r="A63" s="65" t="s">
        <v>17</v>
      </c>
      <c r="B63" s="66"/>
      <c r="C63" s="11"/>
      <c r="D63" s="11"/>
      <c r="E63" s="11"/>
      <c r="F63" s="11"/>
      <c r="G63" s="11"/>
      <c r="H63" s="88" t="s">
        <v>867</v>
      </c>
      <c r="I63" s="122" t="str">
        <f>IF(_epmOfflineCondition_,"T3",_xll.EVPRO($B$1,$H63,"STYLE"))</f>
        <v>T3</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IF(_epmOfflineCondition_,"Contracted &amp; Leased Labor",IF(_xll.EVDES(H63,$B$1)="#NODATA","",_xll.EVDES(H63,$B$1)))</f>
        <v>Contracted &amp; Leased Labor</v>
      </c>
      <c r="O63" s="216">
        <v>20079.330000000002</v>
      </c>
      <c r="P63" s="216">
        <v>19700.669999999998</v>
      </c>
      <c r="Q63" s="216">
        <v>56058.76</v>
      </c>
      <c r="R63" s="216">
        <v>35769.39</v>
      </c>
      <c r="S63" s="216">
        <v>58348.23</v>
      </c>
      <c r="T63" s="216">
        <v>58134.3</v>
      </c>
      <c r="U63" s="216">
        <v>75497.539999999994</v>
      </c>
      <c r="V63" s="216">
        <v>57126.400000000001</v>
      </c>
      <c r="W63" s="216">
        <v>39651.9</v>
      </c>
      <c r="X63" s="216">
        <v>68271.289999999994</v>
      </c>
      <c r="Y63" s="216">
        <v>92526.16</v>
      </c>
      <c r="Z63" s="216">
        <v>81800.39</v>
      </c>
      <c r="AA63" s="216">
        <f t="shared" si="18"/>
        <v>662964.3600000001</v>
      </c>
      <c r="AB63" s="218">
        <f t="shared" si="19"/>
        <v>7.0608834635464149E-2</v>
      </c>
      <c r="AC63" s="140"/>
      <c r="AD63" s="216">
        <v>19800</v>
      </c>
      <c r="AE63" s="218">
        <f t="shared" si="20"/>
        <v>3.3321774940820951E-3</v>
      </c>
      <c r="AF63" s="233">
        <f t="shared" si="21"/>
        <v>643164.3600000001</v>
      </c>
      <c r="AG63" s="216">
        <v>103427.27</v>
      </c>
      <c r="AH63" s="218">
        <f t="shared" si="22"/>
        <v>2.5421857088222991E-2</v>
      </c>
      <c r="AI63" s="233">
        <f t="shared" si="23"/>
        <v>559537.09000000008</v>
      </c>
      <c r="AJ63" s="234">
        <f t="shared" si="13"/>
        <v>16.483859867226936</v>
      </c>
      <c r="AK63" s="235">
        <f t="shared" si="14"/>
        <v>0.5276482345103265</v>
      </c>
      <c r="AL63" s="236">
        <f t="shared" si="15"/>
        <v>15.956211632716609</v>
      </c>
      <c r="AM63" s="237">
        <f t="shared" si="16"/>
        <v>5.1584673316708232</v>
      </c>
      <c r="AN63" s="236">
        <f t="shared" si="17"/>
        <v>11.325392535556112</v>
      </c>
      <c r="AO63" s="11"/>
    </row>
    <row r="64" spans="1:41" x14ac:dyDescent="0.35">
      <c r="A64" s="11"/>
      <c r="B64" s="11"/>
      <c r="C64" s="11"/>
      <c r="D64" s="11"/>
      <c r="E64" s="11"/>
      <c r="F64" s="11"/>
      <c r="G64" s="11"/>
      <c r="H64" s="88" t="s">
        <v>849</v>
      </c>
      <c r="I64" s="122" t="str">
        <f>IF(_epmOfflineCondition_,"T3",_xll.EVPRO($B$1,$H64,"STYLE"))</f>
        <v>T3</v>
      </c>
      <c r="J64" s="122" t="str">
        <f>IF(_epmOfflineCondition_,"Y",_xll.EVPRO($B$1,$H64,"CALC"))</f>
        <v>Y</v>
      </c>
      <c r="K64" s="179" t="str">
        <f t="shared" si="12"/>
        <v>&gt;</v>
      </c>
      <c r="L64" s="90" t="str">
        <f>IF(_epmOfflineCondition_,"",_xll.EVPRO($B$1,H64,"JDEID"))</f>
        <v/>
      </c>
      <c r="M64" s="90" t="str">
        <f>IF(_epmOfflineCondition_,"",IF(AND(I64="N",J64="N"),_xll.EVPRO($B$1,H64,"PSFTID"),""))</f>
        <v/>
      </c>
      <c r="N64" s="90" t="str">
        <f>IF(_epmOfflineCondition_,"Bonuses &amp; Incentives",IF(_xll.EVDES(H64,$B$1)="#NODATA","",_xll.EVDES(H64,$B$1)))</f>
        <v>Bonuses &amp; Incentives</v>
      </c>
      <c r="O64" s="216">
        <v>1237.18</v>
      </c>
      <c r="P64" s="216">
        <v>1067.33</v>
      </c>
      <c r="Q64" s="216">
        <v>710.62</v>
      </c>
      <c r="R64" s="216">
        <v>200.42</v>
      </c>
      <c r="S64" s="216">
        <v>1706.62</v>
      </c>
      <c r="T64" s="216">
        <v>1345.66</v>
      </c>
      <c r="U64" s="216">
        <v>1917.79</v>
      </c>
      <c r="V64" s="216">
        <v>1243.8</v>
      </c>
      <c r="W64" s="216">
        <v>2830.73</v>
      </c>
      <c r="X64" s="216">
        <v>1719.45</v>
      </c>
      <c r="Y64" s="216">
        <v>1864.07</v>
      </c>
      <c r="Z64" s="216">
        <v>4611.01</v>
      </c>
      <c r="AA64" s="217">
        <f t="shared" si="18"/>
        <v>20454.68</v>
      </c>
      <c r="AB64" s="218">
        <f t="shared" si="19"/>
        <v>2.1785200001419921E-3</v>
      </c>
      <c r="AC64" s="140"/>
      <c r="AD64" s="217">
        <v>9269.9269219434009</v>
      </c>
      <c r="AE64" s="219">
        <f t="shared" si="20"/>
        <v>1.5600526192467428E-3</v>
      </c>
      <c r="AF64" s="220">
        <f t="shared" si="21"/>
        <v>11184.753078056599</v>
      </c>
      <c r="AG64" s="217">
        <v>5187.96</v>
      </c>
      <c r="AH64" s="219">
        <f t="shared" si="22"/>
        <v>1.2751721833073361E-3</v>
      </c>
      <c r="AI64" s="220">
        <f t="shared" si="23"/>
        <v>15266.720000000001</v>
      </c>
      <c r="AJ64" s="221">
        <f t="shared" si="13"/>
        <v>0.50858251075362393</v>
      </c>
      <c r="AK64" s="222">
        <f t="shared" si="14"/>
        <v>0.24703336234359496</v>
      </c>
      <c r="AL64" s="223">
        <f t="shared" si="15"/>
        <v>0.26154914841002896</v>
      </c>
      <c r="AM64" s="224">
        <f t="shared" si="16"/>
        <v>0.25875112219451374</v>
      </c>
      <c r="AN64" s="223">
        <f t="shared" si="17"/>
        <v>0.24983138855911019</v>
      </c>
      <c r="AO64" s="11"/>
    </row>
    <row r="65" spans="1:41" x14ac:dyDescent="0.35">
      <c r="A65" s="97" t="s">
        <v>92</v>
      </c>
      <c r="B65" s="98" t="s">
        <v>93</v>
      </c>
      <c r="C65" s="98" t="s">
        <v>94</v>
      </c>
      <c r="D65" s="98" t="s">
        <v>95</v>
      </c>
      <c r="E65" s="98" t="s">
        <v>96</v>
      </c>
      <c r="F65" s="99" t="s">
        <v>97</v>
      </c>
      <c r="G65" s="11"/>
      <c r="H65" s="88" t="s">
        <v>850</v>
      </c>
      <c r="I65" s="188" t="str">
        <f>IF(_epmOfflineCondition_,"T2",_xll.EVPRO($B$1,$H65,"STYLE"))</f>
        <v>T2</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IF(_epmOfflineCondition_,"Total Labor Expense",IF(_xll.EVDES(H65,$B$1)="#NODATA","",_xll.EVDES(H65,$B$1)))</f>
        <v>Total Labor Expense</v>
      </c>
      <c r="O65" s="225">
        <v>60821.599999999999</v>
      </c>
      <c r="P65" s="225">
        <v>60238.91</v>
      </c>
      <c r="Q65" s="225">
        <v>106834.89</v>
      </c>
      <c r="R65" s="225">
        <v>74666.97</v>
      </c>
      <c r="S65" s="225">
        <v>100806.57</v>
      </c>
      <c r="T65" s="225">
        <v>98259.06</v>
      </c>
      <c r="U65" s="225">
        <v>117320.72</v>
      </c>
      <c r="V65" s="225">
        <v>98127.22</v>
      </c>
      <c r="W65" s="225">
        <v>71141.759999999995</v>
      </c>
      <c r="X65" s="225">
        <v>103748.76</v>
      </c>
      <c r="Y65" s="225">
        <v>129439.7</v>
      </c>
      <c r="Z65" s="225">
        <v>122369.7</v>
      </c>
      <c r="AA65" s="225">
        <f t="shared" si="18"/>
        <v>1143775.8599999999</v>
      </c>
      <c r="AB65" s="226">
        <f t="shared" si="19"/>
        <v>0.12181752961618597</v>
      </c>
      <c r="AC65" s="227"/>
      <c r="AD65" s="225">
        <v>856881.90735167498</v>
      </c>
      <c r="AE65" s="226">
        <f t="shared" si="20"/>
        <v>0.14420619226077727</v>
      </c>
      <c r="AF65" s="228">
        <f t="shared" si="21"/>
        <v>286893.95264832489</v>
      </c>
      <c r="AG65" s="225">
        <v>483916.93</v>
      </c>
      <c r="AH65" s="226">
        <f t="shared" si="22"/>
        <v>0.11894413375729251</v>
      </c>
      <c r="AI65" s="228">
        <f t="shared" si="23"/>
        <v>659858.92999999993</v>
      </c>
      <c r="AJ65" s="229">
        <f t="shared" si="13"/>
        <v>28.43869464680872</v>
      </c>
      <c r="AK65" s="230">
        <f t="shared" si="14"/>
        <v>22.834960888785474</v>
      </c>
      <c r="AL65" s="231">
        <f t="shared" si="15"/>
        <v>5.603733758023246</v>
      </c>
      <c r="AM65" s="232">
        <f t="shared" si="16"/>
        <v>24.135507730673318</v>
      </c>
      <c r="AN65" s="231">
        <f t="shared" si="17"/>
        <v>4.3031869161354024</v>
      </c>
      <c r="AO65" s="11"/>
    </row>
    <row r="66" spans="1:41" x14ac:dyDescent="0.35">
      <c r="A66" s="11"/>
      <c r="B66" s="11"/>
      <c r="C66" s="11"/>
      <c r="D66" s="11"/>
      <c r="E66" s="11"/>
      <c r="F66" s="11"/>
      <c r="G66" s="11"/>
      <c r="H66" s="88" t="s">
        <v>851</v>
      </c>
      <c r="I66" s="122" t="str">
        <f>IF(_epmOfflineCondition_,"T3",_xll.EVPRO($B$1,$H66,"STYLE"))</f>
        <v>T3</v>
      </c>
      <c r="J66" s="122" t="str">
        <f>IF(_epmOfflineCondition_,"Y",_xll.EVPRO($B$1,$H66,"CALC"))</f>
        <v>Y</v>
      </c>
      <c r="K66" s="179" t="str">
        <f t="shared" si="12"/>
        <v>&gt;</v>
      </c>
      <c r="L66" s="90" t="str">
        <f>IF(_epmOfflineCondition_,"",_xll.EVPRO($B$1,H66,"JDEID"))</f>
        <v/>
      </c>
      <c r="M66" s="90" t="str">
        <f>IF(_epmOfflineCondition_,"",IF(AND(I66="N",J66="N"),_xll.EVPRO($B$1,H66,"PSFTID"),""))</f>
        <v/>
      </c>
      <c r="N66" s="90" t="str">
        <f>IF(_epmOfflineCondition_,"Payroll Taxes",IF(_xll.EVDES(H66,$B$1)="#NODATA","",_xll.EVDES(H66,$B$1)))</f>
        <v>Payroll Taxes</v>
      </c>
      <c r="O66" s="216">
        <v>3808.56</v>
      </c>
      <c r="P66" s="216">
        <v>4725.43</v>
      </c>
      <c r="Q66" s="216">
        <v>4680.49</v>
      </c>
      <c r="R66" s="216">
        <v>3573.95</v>
      </c>
      <c r="S66" s="216">
        <v>3294.83</v>
      </c>
      <c r="T66" s="216">
        <v>3133.79</v>
      </c>
      <c r="U66" s="216">
        <v>3483.19</v>
      </c>
      <c r="V66" s="216">
        <v>4064.14</v>
      </c>
      <c r="W66" s="216">
        <v>2679.88</v>
      </c>
      <c r="X66" s="216">
        <v>2939.87</v>
      </c>
      <c r="Y66" s="216">
        <v>3306.02</v>
      </c>
      <c r="Z66" s="216">
        <v>4033.21</v>
      </c>
      <c r="AA66" s="216">
        <f t="shared" si="18"/>
        <v>43723.360000000001</v>
      </c>
      <c r="AB66" s="218">
        <f t="shared" si="19"/>
        <v>4.6567442870486548E-3</v>
      </c>
      <c r="AC66" s="140"/>
      <c r="AD66" s="216">
        <v>72931.141992432298</v>
      </c>
      <c r="AE66" s="218">
        <f t="shared" si="20"/>
        <v>1.2273712624489319E-2</v>
      </c>
      <c r="AF66" s="233">
        <f t="shared" si="21"/>
        <v>-29207.781992432298</v>
      </c>
      <c r="AG66" s="216">
        <v>33457.42</v>
      </c>
      <c r="AH66" s="218">
        <f t="shared" si="22"/>
        <v>8.2236507816618731E-3</v>
      </c>
      <c r="AI66" s="233">
        <f t="shared" si="23"/>
        <v>10265.940000000002</v>
      </c>
      <c r="AJ66" s="234">
        <f t="shared" si="13"/>
        <v>1.0871319525597354</v>
      </c>
      <c r="AK66" s="235">
        <f t="shared" si="14"/>
        <v>1.9435347632893352</v>
      </c>
      <c r="AL66" s="236">
        <f t="shared" si="15"/>
        <v>-0.85640281072959978</v>
      </c>
      <c r="AM66" s="237">
        <f t="shared" si="16"/>
        <v>1.6686992518703241</v>
      </c>
      <c r="AN66" s="236">
        <f t="shared" si="17"/>
        <v>-0.5815672993105887</v>
      </c>
      <c r="AO66" s="11"/>
    </row>
    <row r="67" spans="1:41" x14ac:dyDescent="0.35">
      <c r="A67" s="11" t="s">
        <v>108</v>
      </c>
      <c r="B67" s="11"/>
      <c r="C67" s="104" t="s">
        <v>101</v>
      </c>
      <c r="D67" s="11" t="s">
        <v>106</v>
      </c>
      <c r="E67" s="11"/>
      <c r="F67" s="11" t="s">
        <v>98</v>
      </c>
      <c r="G67" s="76"/>
      <c r="H67" s="88" t="s">
        <v>852</v>
      </c>
      <c r="I67" s="122" t="str">
        <f>IF(_epmOfflineCondition_,"T3",_xll.EVPRO($B$1,$H67,"STYLE"))</f>
        <v>T3</v>
      </c>
      <c r="J67" s="122" t="str">
        <f>IF(_epmOfflineCondition_,"Y",_xll.EVPRO($B$1,$H67,"CALC"))</f>
        <v>Y</v>
      </c>
      <c r="K67" s="179" t="str">
        <f t="shared" si="12"/>
        <v>&gt;</v>
      </c>
      <c r="L67" s="90" t="str">
        <f>IF(_epmOfflineCondition_,"",_xll.EVPRO($B$1,H67,"JDEID"))</f>
        <v/>
      </c>
      <c r="M67" s="90" t="str">
        <f>IF(_epmOfflineCondition_,"",IF(AND(I67="N",J67="N"),_xll.EVPRO($B$1,H67,"PSFTID"),""))</f>
        <v/>
      </c>
      <c r="N67" s="90" t="str">
        <f>IF(_epmOfflineCondition_,"Supplemental Pay",IF(_xll.EVDES(H67,$B$1)="#NODATA","",_xll.EVDES(H67,$B$1)))</f>
        <v>Supplemental Pay</v>
      </c>
      <c r="O67" s="216">
        <v>6098.29</v>
      </c>
      <c r="P67" s="216">
        <v>2928.48</v>
      </c>
      <c r="Q67" s="216">
        <v>5274.81</v>
      </c>
      <c r="R67" s="216">
        <v>4923.53</v>
      </c>
      <c r="S67" s="216">
        <v>4588.2299999999996</v>
      </c>
      <c r="T67" s="216">
        <v>2813.69</v>
      </c>
      <c r="U67" s="216">
        <v>5860.23</v>
      </c>
      <c r="V67" s="216">
        <v>27246.18</v>
      </c>
      <c r="W67" s="216">
        <v>3297.49</v>
      </c>
      <c r="X67" s="216">
        <v>3098.93</v>
      </c>
      <c r="Y67" s="216">
        <v>5464.44</v>
      </c>
      <c r="Z67" s="216">
        <v>7127.84</v>
      </c>
      <c r="AA67" s="217">
        <f t="shared" si="18"/>
        <v>78722.14</v>
      </c>
      <c r="AB67" s="218">
        <f t="shared" si="19"/>
        <v>8.3842796095552671E-3</v>
      </c>
      <c r="AC67" s="140"/>
      <c r="AD67" s="217">
        <v>73969.926187598598</v>
      </c>
      <c r="AE67" s="219">
        <f t="shared" si="20"/>
        <v>1.2448531478849991E-2</v>
      </c>
      <c r="AF67" s="220">
        <f t="shared" si="21"/>
        <v>4752.2138124014018</v>
      </c>
      <c r="AG67" s="217">
        <v>35005.769999999997</v>
      </c>
      <c r="AH67" s="219">
        <f t="shared" si="22"/>
        <v>8.6042267402320835E-3</v>
      </c>
      <c r="AI67" s="220">
        <f t="shared" si="23"/>
        <v>43716.37</v>
      </c>
      <c r="AJ67" s="212">
        <f t="shared" si="13"/>
        <v>1.9573370794897933</v>
      </c>
      <c r="AK67" s="213">
        <f t="shared" si="14"/>
        <v>1.9712172201891698</v>
      </c>
      <c r="AL67" s="214">
        <f t="shared" si="15"/>
        <v>-1.3880140699376486E-2</v>
      </c>
      <c r="AM67" s="215">
        <f t="shared" si="16"/>
        <v>1.7459236907730671</v>
      </c>
      <c r="AN67" s="214">
        <f t="shared" si="17"/>
        <v>0.21141338871672621</v>
      </c>
      <c r="AO67" s="11"/>
    </row>
    <row r="68" spans="1:41" x14ac:dyDescent="0.35">
      <c r="A68" s="11" t="s">
        <v>100</v>
      </c>
      <c r="B68" s="11"/>
      <c r="C68" s="53" t="s">
        <v>101</v>
      </c>
      <c r="D68" s="11" t="s">
        <v>106</v>
      </c>
      <c r="E68" s="11"/>
      <c r="F68" s="11" t="s">
        <v>98</v>
      </c>
      <c r="G68" s="11"/>
      <c r="H68" s="88" t="s">
        <v>853</v>
      </c>
      <c r="I68" s="122" t="str">
        <f>IF(_epmOfflineCondition_,"T3",_xll.EVPRO($B$1,$H68,"STYLE"))</f>
        <v>T3</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IF(_epmOfflineCondition_,"Employee Benefits",IF(_xll.EVDES(H68,$B$1)="#NODATA","",_xll.EVDES(H68,$B$1)))</f>
        <v>Employee Benefits</v>
      </c>
      <c r="O68" s="216">
        <v>3666.13</v>
      </c>
      <c r="P68" s="216">
        <v>4125.76</v>
      </c>
      <c r="Q68" s="216">
        <v>4787.32</v>
      </c>
      <c r="R68" s="216">
        <v>3171.31</v>
      </c>
      <c r="S68" s="216">
        <v>5346.3</v>
      </c>
      <c r="T68" s="216">
        <v>5324.36</v>
      </c>
      <c r="U68" s="216">
        <v>4622.79</v>
      </c>
      <c r="V68" s="216">
        <v>4839.62</v>
      </c>
      <c r="W68" s="216">
        <v>4728.8900000000003</v>
      </c>
      <c r="X68" s="216">
        <v>5026.8500000000004</v>
      </c>
      <c r="Y68" s="216">
        <v>6122.88</v>
      </c>
      <c r="Z68" s="216">
        <v>7265.29</v>
      </c>
      <c r="AA68" s="217">
        <f t="shared" si="18"/>
        <v>59027.5</v>
      </c>
      <c r="AB68" s="218">
        <f t="shared" si="19"/>
        <v>6.2867074580673686E-3</v>
      </c>
      <c r="AC68" s="140"/>
      <c r="AD68" s="217">
        <v>44483.316621860104</v>
      </c>
      <c r="AE68" s="219">
        <f t="shared" si="20"/>
        <v>7.4861770964388986E-3</v>
      </c>
      <c r="AF68" s="220">
        <f t="shared" si="21"/>
        <v>14544.183378139896</v>
      </c>
      <c r="AG68" s="217">
        <v>37209.24</v>
      </c>
      <c r="AH68" s="219">
        <f t="shared" si="22"/>
        <v>9.1458276104685963E-3</v>
      </c>
      <c r="AI68" s="220">
        <f t="shared" si="23"/>
        <v>21818.260000000002</v>
      </c>
      <c r="AJ68" s="221">
        <f t="shared" si="13"/>
        <v>1.4676521047266218</v>
      </c>
      <c r="AK68" s="222">
        <f t="shared" si="14"/>
        <v>1.1854314889236537</v>
      </c>
      <c r="AL68" s="223">
        <f t="shared" si="15"/>
        <v>0.28222061580296809</v>
      </c>
      <c r="AM68" s="224">
        <f t="shared" si="16"/>
        <v>1.8558224438902742</v>
      </c>
      <c r="AN68" s="223">
        <f t="shared" si="17"/>
        <v>-0.3881703391636524</v>
      </c>
      <c r="AO68" s="11"/>
    </row>
    <row r="69" spans="1:41" x14ac:dyDescent="0.35">
      <c r="A69" s="11" t="s">
        <v>109</v>
      </c>
      <c r="B69" s="11"/>
      <c r="C69" s="106" t="s">
        <v>101</v>
      </c>
      <c r="D69" s="11" t="s">
        <v>106</v>
      </c>
      <c r="E69" s="11"/>
      <c r="F69" s="11" t="s">
        <v>98</v>
      </c>
      <c r="G69" s="11"/>
      <c r="H69" s="88" t="s">
        <v>854</v>
      </c>
      <c r="I69" s="188" t="str">
        <f>IF(_epmOfflineCondition_,"T2",_xll.EVPRO($B$1,$H69,"STYLE"))</f>
        <v>T2</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Payroll Related",IF(_xll.EVDES(H69,$B$1)="#NODATA","",_xll.EVDES(H69,$B$1)))</f>
        <v>Total Payroll Related</v>
      </c>
      <c r="O69" s="238">
        <v>13572.98</v>
      </c>
      <c r="P69" s="238">
        <v>11779.67</v>
      </c>
      <c r="Q69" s="238">
        <v>14742.62</v>
      </c>
      <c r="R69" s="238">
        <v>11668.79</v>
      </c>
      <c r="S69" s="238">
        <v>13229.36</v>
      </c>
      <c r="T69" s="238">
        <v>11271.84</v>
      </c>
      <c r="U69" s="238">
        <v>13966.21</v>
      </c>
      <c r="V69" s="238">
        <v>36149.94</v>
      </c>
      <c r="W69" s="238">
        <v>10706.26</v>
      </c>
      <c r="X69" s="238">
        <v>11065.65</v>
      </c>
      <c r="Y69" s="238">
        <v>14893.34</v>
      </c>
      <c r="Z69" s="238">
        <v>18426.34</v>
      </c>
      <c r="AA69" s="238">
        <f t="shared" si="18"/>
        <v>181473</v>
      </c>
      <c r="AB69" s="239">
        <f t="shared" si="19"/>
        <v>1.932773135467129E-2</v>
      </c>
      <c r="AC69" s="240"/>
      <c r="AD69" s="238">
        <v>191384.38480189099</v>
      </c>
      <c r="AE69" s="239">
        <f t="shared" si="20"/>
        <v>3.2208421199778209E-2</v>
      </c>
      <c r="AF69" s="241">
        <f t="shared" si="21"/>
        <v>-9911.3848018909921</v>
      </c>
      <c r="AG69" s="238">
        <v>105672.43</v>
      </c>
      <c r="AH69" s="239">
        <f t="shared" si="22"/>
        <v>2.5973705132362551E-2</v>
      </c>
      <c r="AI69" s="241">
        <f t="shared" si="23"/>
        <v>75800.570000000007</v>
      </c>
      <c r="AJ69" s="242">
        <f t="shared" si="13"/>
        <v>4.5121211367761509</v>
      </c>
      <c r="AK69" s="243">
        <f t="shared" si="14"/>
        <v>5.1001834724021586</v>
      </c>
      <c r="AL69" s="244">
        <f t="shared" si="15"/>
        <v>-0.58806233562600774</v>
      </c>
      <c r="AM69" s="245">
        <f t="shared" si="16"/>
        <v>5.2704453865336651</v>
      </c>
      <c r="AN69" s="244">
        <f t="shared" si="17"/>
        <v>-0.75832424975751422</v>
      </c>
      <c r="AO69" s="11"/>
    </row>
    <row r="70" spans="1:41" x14ac:dyDescent="0.35">
      <c r="A70" s="11" t="s">
        <v>109</v>
      </c>
      <c r="B70" s="11"/>
      <c r="C70" s="196" t="s">
        <v>101</v>
      </c>
      <c r="D70" s="11" t="s">
        <v>107</v>
      </c>
      <c r="E70" s="11"/>
      <c r="F70" s="11" t="s">
        <v>99</v>
      </c>
      <c r="G70" s="11"/>
      <c r="H70" s="88" t="s">
        <v>76</v>
      </c>
      <c r="I70" s="188" t="str">
        <f>IF(_epmOfflineCondition_,"T1",_xll.EVPRO($B$1,$H70,"STYLE"))</f>
        <v>T1</v>
      </c>
      <c r="J70" s="188" t="str">
        <f>IF(_epmOfflineCondition_,"Y",_xll.EVPRO($B$1,$H70,"CALC"))</f>
        <v>Y</v>
      </c>
      <c r="K70" s="189" t="str">
        <f t="shared" si="12"/>
        <v/>
      </c>
      <c r="L70" s="190" t="str">
        <f>IF(_epmOfflineCondition_,"600000",_xll.EVPRO($B$1,H70,"JDEID"))</f>
        <v>600000</v>
      </c>
      <c r="M70" s="190" t="str">
        <f>IF(_epmOfflineCondition_,"",IF(AND(I70="N",J70="N"),_xll.EVPRO($B$1,H70,"PSFTID"),""))</f>
        <v/>
      </c>
      <c r="N70" s="190" t="str">
        <f>IF(_epmOfflineCondition_,"Total Labor &amp; Related Exp",IF(_xll.EVDES(H70,$B$1)="#NODATA","",_xll.EVDES(H70,$B$1)))</f>
        <v>Total Labor &amp; Related Exp</v>
      </c>
      <c r="O70" s="238">
        <v>74394.58</v>
      </c>
      <c r="P70" s="238">
        <v>72018.58</v>
      </c>
      <c r="Q70" s="238">
        <v>121577.51</v>
      </c>
      <c r="R70" s="238">
        <v>86335.76</v>
      </c>
      <c r="S70" s="238">
        <v>114035.93</v>
      </c>
      <c r="T70" s="238">
        <v>109530.9</v>
      </c>
      <c r="U70" s="238">
        <v>131286.93</v>
      </c>
      <c r="V70" s="238">
        <v>134277.16</v>
      </c>
      <c r="W70" s="238">
        <v>81848.02</v>
      </c>
      <c r="X70" s="238">
        <v>114814.41</v>
      </c>
      <c r="Y70" s="238">
        <v>144333.04</v>
      </c>
      <c r="Z70" s="238">
        <v>140796.04</v>
      </c>
      <c r="AA70" s="238">
        <f t="shared" si="18"/>
        <v>1325248.8600000001</v>
      </c>
      <c r="AB70" s="239">
        <f t="shared" si="19"/>
        <v>0.14114526097085728</v>
      </c>
      <c r="AC70" s="240"/>
      <c r="AD70" s="238">
        <v>1048266.29215357</v>
      </c>
      <c r="AE70" s="239">
        <f t="shared" si="20"/>
        <v>0.17641461346055617</v>
      </c>
      <c r="AF70" s="241">
        <f t="shared" si="21"/>
        <v>276982.56784643012</v>
      </c>
      <c r="AG70" s="238">
        <v>589589.36</v>
      </c>
      <c r="AH70" s="239">
        <f t="shared" si="22"/>
        <v>0.14491783888965507</v>
      </c>
      <c r="AI70" s="241">
        <f t="shared" si="23"/>
        <v>735659.50000000012</v>
      </c>
      <c r="AJ70" s="246">
        <f t="shared" si="13"/>
        <v>32.950815783584872</v>
      </c>
      <c r="AK70" s="247">
        <f t="shared" si="14"/>
        <v>27.935144361187742</v>
      </c>
      <c r="AL70" s="248">
        <f t="shared" si="15"/>
        <v>5.0156714223971299</v>
      </c>
      <c r="AM70" s="249">
        <f t="shared" si="16"/>
        <v>29.40595311720698</v>
      </c>
      <c r="AN70" s="248">
        <f t="shared" si="17"/>
        <v>3.5448626663778917</v>
      </c>
      <c r="AO70" s="11"/>
    </row>
    <row r="71" spans="1:41" x14ac:dyDescent="0.35">
      <c r="A71" s="11" t="s">
        <v>110</v>
      </c>
      <c r="B71" s="11"/>
      <c r="C71" s="106" t="s">
        <v>101</v>
      </c>
      <c r="D71" s="11" t="s">
        <v>106</v>
      </c>
      <c r="E71" s="11"/>
      <c r="F71" s="11" t="s">
        <v>98</v>
      </c>
      <c r="G71" s="11"/>
      <c r="H71" s="11"/>
      <c r="I71" s="59"/>
      <c r="J71" s="59"/>
      <c r="K71" s="11"/>
      <c r="L71" s="59"/>
      <c r="M71" s="59"/>
      <c r="N71" s="11"/>
      <c r="O71" s="129"/>
      <c r="P71" s="130"/>
      <c r="Q71" s="130"/>
      <c r="R71" s="130"/>
      <c r="S71" s="130"/>
      <c r="T71" s="130"/>
      <c r="U71" s="130"/>
      <c r="V71" s="130"/>
      <c r="W71" s="130"/>
      <c r="X71" s="130"/>
      <c r="Y71" s="130"/>
      <c r="Z71" s="130"/>
      <c r="AA71" s="130"/>
      <c r="AB71" s="131"/>
      <c r="AC71" s="11"/>
      <c r="AD71" s="129"/>
      <c r="AE71" s="130"/>
      <c r="AF71" s="131"/>
      <c r="AG71" s="129"/>
      <c r="AH71" s="130"/>
      <c r="AI71" s="131"/>
      <c r="AJ71" s="11"/>
      <c r="AK71" s="11"/>
      <c r="AL71" s="11"/>
      <c r="AM71" s="11"/>
      <c r="AN71" s="11"/>
      <c r="AO71" s="11"/>
    </row>
    <row r="72" spans="1:41" x14ac:dyDescent="0.35">
      <c r="A72" s="11" t="s">
        <v>110</v>
      </c>
      <c r="B72" s="11"/>
      <c r="C72" s="109" t="s">
        <v>101</v>
      </c>
      <c r="D72" s="11" t="s">
        <v>107</v>
      </c>
      <c r="E72" s="11"/>
      <c r="F72" s="11" t="s">
        <v>99</v>
      </c>
      <c r="G72" s="76"/>
      <c r="H72" s="11" t="s">
        <v>82</v>
      </c>
      <c r="I72" s="59" t="str">
        <f>IF(_epmOfflineCondition_,"B1",_xll.EVPRO($B$1,$H72,"STYLE"))</f>
        <v>B1</v>
      </c>
      <c r="J72" s="59" t="str">
        <f>IF(_epmOfflineCondition_,"Y",_xll.EVPRO($B$1,$H72,"CALC"))</f>
        <v>Y</v>
      </c>
      <c r="K72" s="11"/>
      <c r="L72" s="59"/>
      <c r="M72" s="59"/>
      <c r="N72" s="105" t="str">
        <f>IF(_epmOfflineCondition_,"Other Expenses",IF(_xll.EVDES(H72,$B$1)="#NODATA","",_xll.EVDES(H72,$B$1)))</f>
        <v>Other Expenses</v>
      </c>
      <c r="O72" s="119"/>
      <c r="P72" s="120"/>
      <c r="Q72" s="120"/>
      <c r="R72" s="120"/>
      <c r="S72" s="120"/>
      <c r="T72" s="120"/>
      <c r="U72" s="120"/>
      <c r="V72" s="120"/>
      <c r="W72" s="120"/>
      <c r="X72" s="120"/>
      <c r="Y72" s="120"/>
      <c r="Z72" s="120"/>
      <c r="AA72" s="120"/>
      <c r="AB72" s="121"/>
      <c r="AC72" s="11"/>
      <c r="AD72" s="119"/>
      <c r="AE72" s="120"/>
      <c r="AF72" s="121"/>
      <c r="AG72" s="119"/>
      <c r="AH72" s="120"/>
      <c r="AI72" s="121"/>
      <c r="AJ72" s="11"/>
      <c r="AK72" s="11"/>
      <c r="AL72" s="11"/>
      <c r="AM72" s="11"/>
      <c r="AN72" s="11"/>
      <c r="AO72" s="11"/>
    </row>
    <row r="73" spans="1:41" x14ac:dyDescent="0.35">
      <c r="A73" s="11"/>
      <c r="B73" s="11"/>
      <c r="C73" s="208"/>
      <c r="D73" s="11"/>
      <c r="E73" s="11"/>
      <c r="F73" s="11"/>
      <c r="G73" s="76"/>
      <c r="H73" s="88" t="s">
        <v>828</v>
      </c>
      <c r="I73" s="122" t="str">
        <f>IF(_epmOfflineCondition_,"N",_xll.EVPRO($B$1,$H73,"STYLE"))</f>
        <v>N</v>
      </c>
      <c r="J73" s="122" t="str">
        <f>IF(_epmOfflineCondition_,"N",_xll.EVPRO($B$1,$H73,"CALC"))</f>
        <v>N</v>
      </c>
      <c r="K73" s="179" t="str">
        <f t="shared" ref="K73:K96" si="24">IF(AND(I73&lt;&gt;"B1",J73="Y"),"&gt;","")</f>
        <v/>
      </c>
      <c r="L73" s="90" t="str">
        <f>IF(_epmOfflineCondition_,"701100",_xll.EVPRO($B$1,H73,"JDEID"))</f>
        <v>701100</v>
      </c>
      <c r="M73" s="90" t="str">
        <f>IF(_epmOfflineCondition_,"690015",IF(AND(I73="N",J73="N"),_xll.EVPRO($B$1,H73,"PSFTID"),""))</f>
        <v>690015</v>
      </c>
      <c r="N73" s="90" t="str">
        <f>IF(_epmOfflineCondition_,"Dues and Subscriptions",IF(_xll.EVDES(H73,$B$1)="#NODATA","",_xll.EVDES(H73,$B$1)))</f>
        <v>Dues and Subscriptions</v>
      </c>
      <c r="O73" s="143"/>
      <c r="P73" s="143"/>
      <c r="Q73" s="143"/>
      <c r="R73" s="143">
        <v>200</v>
      </c>
      <c r="S73" s="143"/>
      <c r="T73" s="143"/>
      <c r="U73" s="143"/>
      <c r="V73" s="143"/>
      <c r="W73" s="143"/>
      <c r="X73" s="143"/>
      <c r="Y73" s="143">
        <v>13.08</v>
      </c>
      <c r="Z73" s="143">
        <v>413.09</v>
      </c>
      <c r="AA73" s="143">
        <f t="shared" ref="AA73:AA97" si="25">IF($I73="B1","",SUM(O73:Z73))</f>
        <v>626.16999999999996</v>
      </c>
      <c r="AB73" s="144">
        <f t="shared" ref="AB73:AB97" si="26">IF(AA73=0,"",IFERROR(AA73/AA$19,""))</f>
        <v>6.6690061564830694E-5</v>
      </c>
      <c r="AC73" s="140"/>
      <c r="AD73" s="143">
        <v>200</v>
      </c>
      <c r="AE73" s="144">
        <f t="shared" ref="AE73:AE97" si="27">IF(AD73=0,"",IFERROR(AD73/AD$19,""))</f>
        <v>3.3658358526081763E-5</v>
      </c>
      <c r="AF73" s="145">
        <f t="shared" ref="AF73:AF97" si="28">IF(AND($AA73="",AD73=""),"",$AA73-AD73)</f>
        <v>426.16999999999996</v>
      </c>
      <c r="AG73" s="143">
        <v>390.11</v>
      </c>
      <c r="AH73" s="144">
        <f t="shared" ref="AH73:AH97" si="29">IF(AG73=0,"",IFERROR(AG73/AG$19,""))</f>
        <v>9.5886903605660968E-5</v>
      </c>
      <c r="AI73" s="145">
        <f t="shared" ref="AI73:AI97" si="30">IF(AND($AA73="",AG73=""),"",$AA73-AG73)</f>
        <v>236.05999999999995</v>
      </c>
      <c r="AJ73" s="212">
        <f t="shared" ref="AJ73:AJ97" si="31">IFERROR(AA73/AA$20,0)</f>
        <v>1.5569009672045549E-2</v>
      </c>
      <c r="AK73" s="213">
        <f t="shared" ref="AK73:AK97" si="32">IFERROR(AD73/AD$20,0)</f>
        <v>5.3297801465689541E-3</v>
      </c>
      <c r="AL73" s="214">
        <f t="shared" ref="AL73:AL97" si="33">AJ73-AK73</f>
        <v>1.0239229525476595E-2</v>
      </c>
      <c r="AM73" s="215">
        <f t="shared" ref="AM73:AM97" si="34">IFERROR(AG73/AG$20,0)</f>
        <v>1.9456857855361595E-2</v>
      </c>
      <c r="AN73" s="214">
        <f t="shared" ref="AN73:AN97" si="35">AJ73-AM73</f>
        <v>-3.8878481833160457E-3</v>
      </c>
      <c r="AO73" s="11"/>
    </row>
    <row r="74" spans="1:41" x14ac:dyDescent="0.35">
      <c r="A74" s="11"/>
      <c r="B74" s="11"/>
      <c r="C74" s="11"/>
      <c r="D74" s="11"/>
      <c r="E74" s="11"/>
      <c r="F74" s="11"/>
      <c r="G74" s="11"/>
      <c r="H74" s="88" t="s">
        <v>856</v>
      </c>
      <c r="I74" s="122" t="str">
        <f>IF(_epmOfflineCondition_,"N",_xll.EVPRO($B$1,$H74,"STYLE"))</f>
        <v>N</v>
      </c>
      <c r="J74" s="122" t="str">
        <f>IF(_epmOfflineCondition_,"N",_xll.EVPRO($B$1,$H74,"CALC"))</f>
        <v>N</v>
      </c>
      <c r="K74" s="179" t="str">
        <f t="shared" si="24"/>
        <v/>
      </c>
      <c r="L74" s="90" t="str">
        <f>IF(_epmOfflineCondition_,"701300",_xll.EVPRO($B$1,H74,"JDEID"))</f>
        <v>701300</v>
      </c>
      <c r="M74" s="90" t="str">
        <f>IF(_epmOfflineCondition_,"690205",IF(AND(I74="N",J74="N"),_xll.EVPRO($B$1,H74,"PSFTID"),""))</f>
        <v>690205</v>
      </c>
      <c r="N74" s="90" t="str">
        <f>IF(_epmOfflineCondition_,"Printing &amp; Stationery",IF(_xll.EVDES(H74,$B$1)="#NODATA","",_xll.EVDES(H74,$B$1)))</f>
        <v>Printing &amp; Stationery</v>
      </c>
      <c r="O74" s="143">
        <v>693.81</v>
      </c>
      <c r="P74" s="143">
        <v>337.95</v>
      </c>
      <c r="Q74" s="143">
        <v>1996.22</v>
      </c>
      <c r="R74" s="143">
        <v>54.19</v>
      </c>
      <c r="S74" s="143">
        <v>1206.0899999999999</v>
      </c>
      <c r="T74" s="143">
        <v>925.09</v>
      </c>
      <c r="U74" s="143">
        <v>1258.1500000000001</v>
      </c>
      <c r="V74" s="143">
        <v>1494.8</v>
      </c>
      <c r="W74" s="143">
        <v>631.96</v>
      </c>
      <c r="X74" s="143">
        <v>1076.76</v>
      </c>
      <c r="Y74" s="143">
        <v>1036.3</v>
      </c>
      <c r="Z74" s="143">
        <v>339.04</v>
      </c>
      <c r="AA74" s="143">
        <f t="shared" si="25"/>
        <v>11050.36</v>
      </c>
      <c r="AB74" s="144">
        <f t="shared" si="26"/>
        <v>1.1769155160955373E-3</v>
      </c>
      <c r="AC74" s="140"/>
      <c r="AD74" s="143">
        <v>10882.25</v>
      </c>
      <c r="AE74" s="144">
        <f t="shared" si="27"/>
        <v>1.8313933603522664E-3</v>
      </c>
      <c r="AF74" s="145">
        <f t="shared" si="28"/>
        <v>168.11000000000058</v>
      </c>
      <c r="AG74" s="143">
        <v>4684.8100000000004</v>
      </c>
      <c r="AH74" s="144">
        <f t="shared" si="29"/>
        <v>1.1515006661732244E-3</v>
      </c>
      <c r="AI74" s="145">
        <f t="shared" si="30"/>
        <v>6365.55</v>
      </c>
      <c r="AJ74" s="212">
        <f t="shared" si="31"/>
        <v>0.27475471791939132</v>
      </c>
      <c r="AK74" s="213">
        <f t="shared" si="32"/>
        <v>0.28999999999999998</v>
      </c>
      <c r="AL74" s="214">
        <f t="shared" si="33"/>
        <v>-1.5245282080608658E-2</v>
      </c>
      <c r="AM74" s="215">
        <f t="shared" si="34"/>
        <v>0.23365635910224442</v>
      </c>
      <c r="AN74" s="214">
        <f t="shared" si="35"/>
        <v>4.1098358817146907E-2</v>
      </c>
      <c r="AO74" s="11"/>
    </row>
    <row r="75" spans="1:41" x14ac:dyDescent="0.35">
      <c r="A75" s="61" t="str">
        <f>IF(_epmOfflineCondition_,"Evdre:Ok",_xll.EVDRE($B$1,A78:B85))</f>
        <v>Evdre:Ok</v>
      </c>
      <c r="B75" s="11" t="s">
        <v>736</v>
      </c>
      <c r="C75" s="11"/>
      <c r="D75" s="11"/>
      <c r="E75" s="11"/>
      <c r="F75" s="11"/>
      <c r="G75" s="11"/>
      <c r="H75" s="88" t="s">
        <v>831</v>
      </c>
      <c r="I75" s="122" t="str">
        <f>IF(_epmOfflineCondition_,"T4",_xll.EVPRO($B$1,$H75,"STYLE"))</f>
        <v>T4</v>
      </c>
      <c r="J75" s="122" t="str">
        <f>IF(_epmOfflineCondition_,"Y",_xll.EVPRO($B$1,$H75,"CALC"))</f>
        <v>Y</v>
      </c>
      <c r="K75" s="179" t="str">
        <f t="shared" si="24"/>
        <v>&gt;</v>
      </c>
      <c r="L75" s="90" t="str">
        <f>IF(_epmOfflineCondition_,"701500",_xll.EVPRO($B$1,H75,"JDEID"))</f>
        <v>701500</v>
      </c>
      <c r="M75" s="90" t="str">
        <f>IF(_epmOfflineCondition_,"",IF(AND(I75="N",J75="N"),_xll.EVPRO($B$1,H75,"PSFTID"),""))</f>
        <v/>
      </c>
      <c r="N75" s="90" t="str">
        <f>IF(_epmOfflineCondition_,"Operating Supplies",IF(_xll.EVDES(H75,$B$1)="#NODATA","",_xll.EVDES(H75,$B$1)))</f>
        <v>Operating Supplies</v>
      </c>
      <c r="O75" s="143">
        <v>3320.89</v>
      </c>
      <c r="P75" s="143">
        <v>3919.37</v>
      </c>
      <c r="Q75" s="143">
        <v>5249.3</v>
      </c>
      <c r="R75" s="143">
        <v>3958.82</v>
      </c>
      <c r="S75" s="143">
        <v>3730.91</v>
      </c>
      <c r="T75" s="143">
        <v>2796.27</v>
      </c>
      <c r="U75" s="143">
        <v>2737.64</v>
      </c>
      <c r="V75" s="143">
        <v>2698.92</v>
      </c>
      <c r="W75" s="143">
        <v>2368.73</v>
      </c>
      <c r="X75" s="143">
        <v>5314.21</v>
      </c>
      <c r="Y75" s="143">
        <v>6216.72</v>
      </c>
      <c r="Z75" s="143">
        <v>4678.12</v>
      </c>
      <c r="AA75" s="143">
        <f t="shared" si="25"/>
        <v>46989.900000000009</v>
      </c>
      <c r="AB75" s="144">
        <f t="shared" si="26"/>
        <v>5.0046462205555016E-3</v>
      </c>
      <c r="AC75" s="140"/>
      <c r="AD75" s="143">
        <v>38575.5</v>
      </c>
      <c r="AE75" s="144">
        <f t="shared" si="27"/>
        <v>6.4919400466143355E-3</v>
      </c>
      <c r="AF75" s="145">
        <f t="shared" si="28"/>
        <v>8414.4000000000087</v>
      </c>
      <c r="AG75" s="143">
        <v>17186.96</v>
      </c>
      <c r="AH75" s="144">
        <f t="shared" si="29"/>
        <v>4.2244607336247488E-3</v>
      </c>
      <c r="AI75" s="145">
        <f t="shared" si="30"/>
        <v>29802.94000000001</v>
      </c>
      <c r="AJ75" s="212">
        <f t="shared" si="31"/>
        <v>1.1683507794823345</v>
      </c>
      <c r="AK75" s="213">
        <f t="shared" si="32"/>
        <v>1.0279946702198535</v>
      </c>
      <c r="AL75" s="214">
        <f t="shared" si="33"/>
        <v>0.14035610926248099</v>
      </c>
      <c r="AM75" s="215">
        <f t="shared" si="34"/>
        <v>0.85720498753117202</v>
      </c>
      <c r="AN75" s="214">
        <f t="shared" si="35"/>
        <v>0.31114579195116243</v>
      </c>
      <c r="AO75" s="11"/>
    </row>
    <row r="76" spans="1:41" x14ac:dyDescent="0.35">
      <c r="A76" s="11"/>
      <c r="B76" s="11"/>
      <c r="C76" s="11"/>
      <c r="D76" s="11"/>
      <c r="E76" s="11"/>
      <c r="F76" s="11"/>
      <c r="G76" s="11"/>
      <c r="H76" s="88" t="s">
        <v>857</v>
      </c>
      <c r="I76" s="122" t="str">
        <f>IF(_epmOfflineCondition_,"N",_xll.EVPRO($B$1,$H76,"STYLE"))</f>
        <v>N</v>
      </c>
      <c r="J76" s="122" t="str">
        <f>IF(_epmOfflineCondition_,"N",_xll.EVPRO($B$1,$H76,"CALC"))</f>
        <v>N</v>
      </c>
      <c r="K76" s="179" t="str">
        <f t="shared" si="24"/>
        <v/>
      </c>
      <c r="L76" s="90" t="str">
        <f>IF(_epmOfflineCondition_,"701600",_xll.EVPRO($B$1,H76,"JDEID"))</f>
        <v>701600</v>
      </c>
      <c r="M76" s="90" t="str">
        <f>IF(_epmOfflineCondition_,"590015",IF(AND(I76="N",J76="N"),_xll.EVPRO($B$1,H76,"PSFTID"),""))</f>
        <v>590015</v>
      </c>
      <c r="N76" s="90" t="str">
        <f>IF(_epmOfflineCondition_,"Cleaning Supplies",IF(_xll.EVDES(H76,$B$1)="#NODATA","",_xll.EVDES(H76,$B$1)))</f>
        <v>Cleaning Supplies</v>
      </c>
      <c r="O76" s="143">
        <v>3068.17</v>
      </c>
      <c r="P76" s="143">
        <v>690.48</v>
      </c>
      <c r="Q76" s="143">
        <v>1356.03</v>
      </c>
      <c r="R76" s="143">
        <v>1019.25</v>
      </c>
      <c r="S76" s="143">
        <v>1194.21</v>
      </c>
      <c r="T76" s="143">
        <v>1815.04</v>
      </c>
      <c r="U76" s="143">
        <v>1881.68</v>
      </c>
      <c r="V76" s="143">
        <v>2280</v>
      </c>
      <c r="W76" s="143">
        <v>1793.72</v>
      </c>
      <c r="X76" s="143">
        <v>1507.18</v>
      </c>
      <c r="Y76" s="143">
        <v>1503.57</v>
      </c>
      <c r="Z76" s="143">
        <v>3659.67</v>
      </c>
      <c r="AA76" s="143">
        <f t="shared" si="25"/>
        <v>21769</v>
      </c>
      <c r="AB76" s="144">
        <f t="shared" si="26"/>
        <v>2.3185012859204364E-3</v>
      </c>
      <c r="AC76" s="140"/>
      <c r="AD76" s="143">
        <v>23185.25</v>
      </c>
      <c r="AE76" s="144">
        <f t="shared" si="27"/>
        <v>3.9018872850841864E-3</v>
      </c>
      <c r="AF76" s="145">
        <f t="shared" si="28"/>
        <v>-1416.25</v>
      </c>
      <c r="AG76" s="143">
        <v>10370.040000000001</v>
      </c>
      <c r="AH76" s="144">
        <f t="shared" si="29"/>
        <v>2.5488990947856974E-3</v>
      </c>
      <c r="AI76" s="145">
        <f t="shared" si="30"/>
        <v>11398.96</v>
      </c>
      <c r="AJ76" s="212">
        <f t="shared" si="31"/>
        <v>0.54126159277953201</v>
      </c>
      <c r="AK76" s="213">
        <f t="shared" si="32"/>
        <v>0.61786142571618918</v>
      </c>
      <c r="AL76" s="214">
        <f t="shared" si="33"/>
        <v>-7.6599832936657175E-2</v>
      </c>
      <c r="AM76" s="215">
        <f t="shared" si="34"/>
        <v>0.51720897755610973</v>
      </c>
      <c r="AN76" s="214">
        <f t="shared" si="35"/>
        <v>2.405261522342228E-2</v>
      </c>
      <c r="AO76" s="11"/>
    </row>
    <row r="77" spans="1:41" x14ac:dyDescent="0.35">
      <c r="A77" s="62" t="s">
        <v>0</v>
      </c>
      <c r="B77" s="63" t="s">
        <v>1</v>
      </c>
      <c r="C77" s="11"/>
      <c r="D77" s="11"/>
      <c r="E77" s="11"/>
      <c r="F77" s="11"/>
      <c r="G77" s="11"/>
      <c r="H77" s="88" t="s">
        <v>933</v>
      </c>
      <c r="I77" s="122" t="str">
        <f>IF(_epmOfflineCondition_,"N",_xll.EVPRO($B$1,$H77,"STYLE"))</f>
        <v>N</v>
      </c>
      <c r="J77" s="122" t="str">
        <f>IF(_epmOfflineCondition_,"N",_xll.EVPRO($B$1,$H77,"CALC"))</f>
        <v>N</v>
      </c>
      <c r="K77" s="179" t="str">
        <f t="shared" si="24"/>
        <v/>
      </c>
      <c r="L77" s="90" t="str">
        <f>IF(_epmOfflineCondition_,"701800",_xll.EVPRO($B$1,H77,"JDEID"))</f>
        <v>701800</v>
      </c>
      <c r="M77" s="90" t="str">
        <f>IF(_epmOfflineCondition_,"590020",IF(AND(I77="N",J77="N"),_xll.EVPRO($B$1,H77,"PSFTID"),""))</f>
        <v>590020</v>
      </c>
      <c r="N77" s="90" t="str">
        <f>IF(_epmOfflineCondition_,"Guest Supplies",IF(_xll.EVDES(H77,$B$1)="#NODATA","",_xll.EVDES(H77,$B$1)))</f>
        <v>Guest Supplies</v>
      </c>
      <c r="O77" s="143">
        <v>2759.24</v>
      </c>
      <c r="P77" s="143">
        <v>3363.61</v>
      </c>
      <c r="Q77" s="143">
        <v>4292.21</v>
      </c>
      <c r="R77" s="143">
        <v>3315.65</v>
      </c>
      <c r="S77" s="143">
        <v>4388.3900000000003</v>
      </c>
      <c r="T77" s="143">
        <v>3255.35</v>
      </c>
      <c r="U77" s="143">
        <v>4138.3</v>
      </c>
      <c r="V77" s="143">
        <v>3168.62</v>
      </c>
      <c r="W77" s="143">
        <v>3626.2</v>
      </c>
      <c r="X77" s="143">
        <v>5233.07</v>
      </c>
      <c r="Y77" s="143">
        <v>4207.9399999999996</v>
      </c>
      <c r="Z77" s="143">
        <v>4391.74</v>
      </c>
      <c r="AA77" s="143">
        <f t="shared" si="25"/>
        <v>46140.32</v>
      </c>
      <c r="AB77" s="144">
        <f t="shared" si="26"/>
        <v>4.914161939123543E-3</v>
      </c>
      <c r="AC77" s="140"/>
      <c r="AD77" s="143">
        <v>47656.75</v>
      </c>
      <c r="AE77" s="144">
        <f t="shared" si="27"/>
        <v>8.0202398884392356E-3</v>
      </c>
      <c r="AF77" s="145">
        <f t="shared" si="28"/>
        <v>-1516.4300000000003</v>
      </c>
      <c r="AG77" s="143">
        <v>17219.82</v>
      </c>
      <c r="AH77" s="144">
        <f t="shared" si="29"/>
        <v>4.2325375418390526E-3</v>
      </c>
      <c r="AI77" s="145">
        <f t="shared" si="30"/>
        <v>28920.5</v>
      </c>
      <c r="AJ77" s="212">
        <f t="shared" si="31"/>
        <v>1.1472269325443198</v>
      </c>
      <c r="AK77" s="213">
        <f t="shared" si="32"/>
        <v>1.27</v>
      </c>
      <c r="AL77" s="214">
        <f t="shared" si="33"/>
        <v>-0.12277306745568017</v>
      </c>
      <c r="AM77" s="215">
        <f t="shared" si="34"/>
        <v>0.85884389027431418</v>
      </c>
      <c r="AN77" s="214">
        <f t="shared" si="35"/>
        <v>0.28838304227000566</v>
      </c>
      <c r="AO77" s="11"/>
    </row>
    <row r="78" spans="1:41" x14ac:dyDescent="0.35">
      <c r="A78" s="65" t="s">
        <v>2</v>
      </c>
      <c r="B78" s="66" t="str">
        <f>IF(_epmOfflineCondition_,"'Rooms'!$B$2:$B$10",_xll.EVRNG($B$2:$B$10))</f>
        <v>'Rooms'!$B$2:$B$10</v>
      </c>
      <c r="C78" s="11"/>
      <c r="D78" s="11"/>
      <c r="E78" s="11"/>
      <c r="F78" s="11"/>
      <c r="G78" s="11"/>
      <c r="H78" s="88" t="s">
        <v>871</v>
      </c>
      <c r="I78" s="122" t="str">
        <f>IF(_epmOfflineCondition_,"N",_xll.EVPRO($B$1,$H78,"STYLE"))</f>
        <v>N</v>
      </c>
      <c r="J78" s="122" t="str">
        <f>IF(_epmOfflineCondition_,"N",_xll.EVPRO($B$1,$H78,"CALC"))</f>
        <v>N</v>
      </c>
      <c r="K78" s="179" t="str">
        <f t="shared" si="24"/>
        <v/>
      </c>
      <c r="L78" s="90" t="str">
        <f>IF(_epmOfflineCondition_,"702300",_xll.EVPRO($B$1,H78,"JDEID"))</f>
        <v>702300</v>
      </c>
      <c r="M78" s="90" t="str">
        <f>IF(_epmOfflineCondition_,"590040",IF(AND(I78="N",J78="N"),_xll.EVPRO($B$1,H78,"PSFTID"),""))</f>
        <v>590040</v>
      </c>
      <c r="N78" s="90" t="str">
        <f>IF(_epmOfflineCondition_,"Decorations",IF(_xll.EVDES(H78,$B$1)="#NODATA","",_xll.EVDES(H78,$B$1)))</f>
        <v>Decorations</v>
      </c>
      <c r="O78" s="143">
        <v>344.99</v>
      </c>
      <c r="P78" s="143"/>
      <c r="Q78" s="143"/>
      <c r="R78" s="143"/>
      <c r="S78" s="143"/>
      <c r="T78" s="143"/>
      <c r="U78" s="143"/>
      <c r="V78" s="143"/>
      <c r="W78" s="143"/>
      <c r="X78" s="143">
        <v>146.41999999999999</v>
      </c>
      <c r="Y78" s="143"/>
      <c r="Z78" s="143">
        <v>3025.39</v>
      </c>
      <c r="AA78" s="143">
        <f t="shared" si="25"/>
        <v>3516.7999999999997</v>
      </c>
      <c r="AB78" s="144">
        <f t="shared" si="26"/>
        <v>3.7455580515067247E-4</v>
      </c>
      <c r="AC78" s="140"/>
      <c r="AD78" s="143">
        <v>3605</v>
      </c>
      <c r="AE78" s="144">
        <f t="shared" si="27"/>
        <v>6.0669191243262384E-4</v>
      </c>
      <c r="AF78" s="145">
        <f t="shared" si="28"/>
        <v>-88.200000000000273</v>
      </c>
      <c r="AG78" s="143">
        <v>2365.0100000000002</v>
      </c>
      <c r="AH78" s="144">
        <f t="shared" si="29"/>
        <v>5.813065184087161E-4</v>
      </c>
      <c r="AI78" s="145">
        <f t="shared" si="30"/>
        <v>1151.7899999999995</v>
      </c>
      <c r="AJ78" s="212">
        <f t="shared" si="31"/>
        <v>8.7441259106392499E-2</v>
      </c>
      <c r="AK78" s="213">
        <f t="shared" si="32"/>
        <v>9.6069287141905393E-2</v>
      </c>
      <c r="AL78" s="214">
        <f t="shared" si="33"/>
        <v>-8.6280280355128941E-3</v>
      </c>
      <c r="AM78" s="215">
        <f t="shared" si="34"/>
        <v>0.11795561097256858</v>
      </c>
      <c r="AN78" s="214">
        <f t="shared" si="35"/>
        <v>-3.0514351866176084E-2</v>
      </c>
      <c r="AO78" s="11"/>
    </row>
    <row r="79" spans="1:41" x14ac:dyDescent="0.35">
      <c r="A79" s="65" t="s">
        <v>3</v>
      </c>
      <c r="B79" s="66" t="str">
        <f>IF(_epmOfflineCondition_,"'Rooms'!$O$16:$AN$18",_xll.EVRNG($O$16:$AN$18))</f>
        <v>'Rooms'!$O$16:$AN$18</v>
      </c>
      <c r="C79" s="11"/>
      <c r="D79" s="11"/>
      <c r="E79" s="11"/>
      <c r="F79" s="11"/>
      <c r="G79" s="11"/>
      <c r="H79" s="88" t="s">
        <v>872</v>
      </c>
      <c r="I79" s="122" t="str">
        <f>IF(_epmOfflineCondition_,"T4",_xll.EVPRO($B$1,$H79,"STYLE"))</f>
        <v>T4</v>
      </c>
      <c r="J79" s="122" t="str">
        <f>IF(_epmOfflineCondition_,"Y",_xll.EVPRO($B$1,$H79,"CALC"))</f>
        <v>Y</v>
      </c>
      <c r="K79" s="179" t="str">
        <f t="shared" si="24"/>
        <v>&gt;</v>
      </c>
      <c r="L79" s="90" t="str">
        <f>IF(_epmOfflineCondition_,"702500",_xll.EVPRO($B$1,H79,"JDEID"))</f>
        <v>702500</v>
      </c>
      <c r="M79" s="90" t="str">
        <f>IF(_epmOfflineCondition_,"",IF(AND(I79="N",J79="N"),_xll.EVPRO($B$1,H79,"PSFTID"),""))</f>
        <v/>
      </c>
      <c r="N79" s="90" t="str">
        <f>IF(_epmOfflineCondition_,"Laundry &amp; Dry Cleaning",IF(_xll.EVDES(H79,$B$1)="#NODATA","",_xll.EVDES(H79,$B$1)))</f>
        <v>Laundry &amp; Dry Cleaning</v>
      </c>
      <c r="O79" s="143">
        <v>13320.46</v>
      </c>
      <c r="P79" s="143">
        <v>13125.13</v>
      </c>
      <c r="Q79" s="143">
        <v>15135.8</v>
      </c>
      <c r="R79" s="143">
        <v>14939.3</v>
      </c>
      <c r="S79" s="143">
        <v>11370.78</v>
      </c>
      <c r="T79" s="143">
        <v>14942.53</v>
      </c>
      <c r="U79" s="143">
        <v>20719.95</v>
      </c>
      <c r="V79" s="143">
        <v>16074.74</v>
      </c>
      <c r="W79" s="143">
        <v>16379.95</v>
      </c>
      <c r="X79" s="143">
        <v>16731.3</v>
      </c>
      <c r="Y79" s="143">
        <v>15038.85</v>
      </c>
      <c r="Z79" s="143">
        <v>19734.89</v>
      </c>
      <c r="AA79" s="143">
        <f t="shared" si="25"/>
        <v>187513.68</v>
      </c>
      <c r="AB79" s="144">
        <f t="shared" si="26"/>
        <v>1.9971092296737249E-2</v>
      </c>
      <c r="AC79" s="140"/>
      <c r="AD79" s="143">
        <v>159106</v>
      </c>
      <c r="AE79" s="144">
        <f t="shared" si="27"/>
        <v>2.6776233958253827E-2</v>
      </c>
      <c r="AF79" s="145">
        <f t="shared" si="28"/>
        <v>28407.679999999993</v>
      </c>
      <c r="AG79" s="143">
        <v>78406.039999999994</v>
      </c>
      <c r="AH79" s="144">
        <f t="shared" si="29"/>
        <v>1.9271775651948417E-2</v>
      </c>
      <c r="AI79" s="145">
        <f t="shared" si="30"/>
        <v>109107.64</v>
      </c>
      <c r="AJ79" s="212">
        <f t="shared" si="31"/>
        <v>4.6623158208806785</v>
      </c>
      <c r="AK79" s="213">
        <f t="shared" si="32"/>
        <v>4.24</v>
      </c>
      <c r="AL79" s="214">
        <f t="shared" si="33"/>
        <v>0.42231582088067832</v>
      </c>
      <c r="AM79" s="215">
        <f t="shared" si="34"/>
        <v>3.9105256857855357</v>
      </c>
      <c r="AN79" s="214">
        <f t="shared" si="35"/>
        <v>0.75179013509514281</v>
      </c>
      <c r="AO79" s="11"/>
    </row>
    <row r="80" spans="1:41" x14ac:dyDescent="0.35">
      <c r="A80" s="65" t="s">
        <v>4</v>
      </c>
      <c r="B80" s="66" t="str">
        <f>IF(_epmOfflineCondition_,"'Rooms'!$H$97:$H$100",_xll.EVRNG(H97:H100))</f>
        <v>'Rooms'!$H$97:$H$100</v>
      </c>
      <c r="C80" s="11"/>
      <c r="D80" s="11"/>
      <c r="E80" s="11"/>
      <c r="F80" s="11"/>
      <c r="G80" s="11"/>
      <c r="H80" s="88" t="s">
        <v>832</v>
      </c>
      <c r="I80" s="122" t="str">
        <f>IF(_epmOfflineCondition_,"T4",_xll.EVPRO($B$1,$H80,"STYLE"))</f>
        <v>T4</v>
      </c>
      <c r="J80" s="122" t="str">
        <f>IF(_epmOfflineCondition_,"Y",_xll.EVPRO($B$1,$H80,"CALC"))</f>
        <v>Y</v>
      </c>
      <c r="K80" s="179" t="str">
        <f t="shared" si="24"/>
        <v>&gt;</v>
      </c>
      <c r="L80" s="90" t="str">
        <f>IF(_epmOfflineCondition_,"",_xll.EVPRO($B$1,H80,"JDEID"))</f>
        <v/>
      </c>
      <c r="M80" s="90" t="str">
        <f>IF(_epmOfflineCondition_,"",IF(AND(I80="N",J80="N"),_xll.EVPRO($B$1,H80,"PSFTID"),""))</f>
        <v/>
      </c>
      <c r="N80" s="90" t="str">
        <f>IF(_epmOfflineCondition_,"Contract Services",IF(_xll.EVDES(H80,$B$1)="#NODATA","",_xll.EVDES(H80,$B$1)))</f>
        <v>Contract Services</v>
      </c>
      <c r="O80" s="143">
        <v>2640</v>
      </c>
      <c r="P80" s="143">
        <v>1035</v>
      </c>
      <c r="Q80" s="143">
        <v>5515</v>
      </c>
      <c r="R80" s="143">
        <v>618</v>
      </c>
      <c r="S80" s="143">
        <v>3165</v>
      </c>
      <c r="T80" s="143">
        <v>1797.78</v>
      </c>
      <c r="U80" s="143">
        <v>3679</v>
      </c>
      <c r="V80" s="143">
        <v>500</v>
      </c>
      <c r="W80" s="143">
        <v>4706.6000000000004</v>
      </c>
      <c r="X80" s="143">
        <v>1789.95</v>
      </c>
      <c r="Y80" s="143">
        <v>2453.35</v>
      </c>
      <c r="Z80" s="143">
        <v>5105.3999999999996</v>
      </c>
      <c r="AA80" s="143">
        <f t="shared" si="25"/>
        <v>33005.079999999994</v>
      </c>
      <c r="AB80" s="144">
        <f t="shared" si="26"/>
        <v>3.5151968589235542E-3</v>
      </c>
      <c r="AC80" s="140"/>
      <c r="AD80" s="143">
        <v>32320</v>
      </c>
      <c r="AE80" s="144">
        <f t="shared" si="27"/>
        <v>5.4391907378148136E-3</v>
      </c>
      <c r="AF80" s="145">
        <f t="shared" si="28"/>
        <v>685.07999999999447</v>
      </c>
      <c r="AG80" s="143">
        <v>13744.84</v>
      </c>
      <c r="AH80" s="144">
        <f t="shared" si="29"/>
        <v>3.3784064703679295E-3</v>
      </c>
      <c r="AI80" s="145">
        <f t="shared" si="30"/>
        <v>19260.239999999994</v>
      </c>
      <c r="AJ80" s="212">
        <f t="shared" si="31"/>
        <v>0.82063402869290625</v>
      </c>
      <c r="AK80" s="213">
        <f t="shared" si="32"/>
        <v>0.86129247168554302</v>
      </c>
      <c r="AL80" s="214">
        <f t="shared" si="33"/>
        <v>-4.0658442992636767E-2</v>
      </c>
      <c r="AM80" s="215">
        <f t="shared" si="34"/>
        <v>0.68552817955112222</v>
      </c>
      <c r="AN80" s="214">
        <f t="shared" si="35"/>
        <v>0.13510584914178403</v>
      </c>
      <c r="AO80" s="11"/>
    </row>
    <row r="81" spans="1:41" x14ac:dyDescent="0.35">
      <c r="A81" s="65" t="s">
        <v>5</v>
      </c>
      <c r="B81" s="66"/>
      <c r="C81" s="11"/>
      <c r="D81" s="11"/>
      <c r="E81" s="11"/>
      <c r="F81" s="11"/>
      <c r="G81" s="11"/>
      <c r="H81" s="88" t="s">
        <v>833</v>
      </c>
      <c r="I81" s="122" t="str">
        <f>IF(_epmOfflineCondition_,"T4",_xll.EVPRO($B$1,$H81,"STYLE"))</f>
        <v>T4</v>
      </c>
      <c r="J81" s="122" t="str">
        <f>IF(_epmOfflineCondition_,"Y",_xll.EVPRO($B$1,$H81,"CALC"))</f>
        <v>Y</v>
      </c>
      <c r="K81" s="179" t="str">
        <f t="shared" si="24"/>
        <v>&gt;</v>
      </c>
      <c r="L81" s="90" t="str">
        <f>IF(_epmOfflineCondition_,"",_xll.EVPRO($B$1,H81,"JDEID"))</f>
        <v/>
      </c>
      <c r="M81" s="90" t="str">
        <f>IF(_epmOfflineCondition_,"",IF(AND(I81="N",J81="N"),_xll.EVPRO($B$1,H81,"PSFTID"),""))</f>
        <v/>
      </c>
      <c r="N81" s="90" t="str">
        <f>IF(_epmOfflineCondition_,"Travel - Other",IF(_xll.EVDES(H81,$B$1)="#NODATA","",_xll.EVDES(H81,$B$1)))</f>
        <v>Travel - Other</v>
      </c>
      <c r="O81" s="143"/>
      <c r="P81" s="143"/>
      <c r="Q81" s="143">
        <v>525.38</v>
      </c>
      <c r="R81" s="143">
        <v>249.18</v>
      </c>
      <c r="S81" s="143">
        <v>10.1</v>
      </c>
      <c r="T81" s="143"/>
      <c r="U81" s="143"/>
      <c r="V81" s="143"/>
      <c r="W81" s="143"/>
      <c r="X81" s="143">
        <v>8.2799999999999994</v>
      </c>
      <c r="Y81" s="143">
        <v>11.08</v>
      </c>
      <c r="Z81" s="143"/>
      <c r="AA81" s="143">
        <f t="shared" si="25"/>
        <v>804.02</v>
      </c>
      <c r="AB81" s="144">
        <f t="shared" si="26"/>
        <v>8.5631926312910512E-5</v>
      </c>
      <c r="AC81" s="140"/>
      <c r="AD81" s="143"/>
      <c r="AE81" s="144" t="str">
        <f t="shared" si="27"/>
        <v/>
      </c>
      <c r="AF81" s="145">
        <f t="shared" si="28"/>
        <v>804.02</v>
      </c>
      <c r="AG81" s="143">
        <v>645.41999999999996</v>
      </c>
      <c r="AH81" s="144">
        <f t="shared" si="29"/>
        <v>1.5864070473755018E-4</v>
      </c>
      <c r="AI81" s="145">
        <f t="shared" si="30"/>
        <v>158.60000000000002</v>
      </c>
      <c r="AJ81" s="212">
        <f t="shared" si="31"/>
        <v>1.9991049006688379E-2</v>
      </c>
      <c r="AK81" s="213">
        <f t="shared" si="32"/>
        <v>0</v>
      </c>
      <c r="AL81" s="214">
        <f t="shared" si="33"/>
        <v>1.9991049006688379E-2</v>
      </c>
      <c r="AM81" s="215">
        <f t="shared" si="34"/>
        <v>3.2190523690773062E-2</v>
      </c>
      <c r="AN81" s="214">
        <f t="shared" si="35"/>
        <v>-1.2199474684084683E-2</v>
      </c>
      <c r="AO81" s="11"/>
    </row>
    <row r="82" spans="1:41" x14ac:dyDescent="0.35">
      <c r="A82" s="65" t="s">
        <v>6</v>
      </c>
      <c r="B82" s="66"/>
      <c r="C82" s="11"/>
      <c r="D82" s="11"/>
      <c r="E82" s="11"/>
      <c r="F82" s="11"/>
      <c r="G82" s="11"/>
      <c r="H82" s="88" t="s">
        <v>834</v>
      </c>
      <c r="I82" s="122" t="str">
        <f>IF(_epmOfflineCondition_,"T4",_xll.EVPRO($B$1,$H82,"STYLE"))</f>
        <v>T4</v>
      </c>
      <c r="J82" s="122" t="str">
        <f>IF(_epmOfflineCondition_,"Y",_xll.EVPRO($B$1,$H82,"CALC"))</f>
        <v>Y</v>
      </c>
      <c r="K82" s="179" t="str">
        <f t="shared" si="24"/>
        <v>&gt;</v>
      </c>
      <c r="L82" s="90" t="str">
        <f>IF(_epmOfflineCondition_,"702900",_xll.EVPRO($B$1,H82,"JDEID"))</f>
        <v>702900</v>
      </c>
      <c r="M82" s="90" t="str">
        <f>IF(_epmOfflineCondition_,"",IF(AND(I82="N",J82="N"),_xll.EVPRO($B$1,H82,"PSFTID"),""))</f>
        <v/>
      </c>
      <c r="N82" s="90" t="str">
        <f>IF(_epmOfflineCondition_,"Travel - Meals &amp; Entertainment",IF(_xll.EVDES(H82,$B$1)="#NODATA","",_xll.EVDES(H82,$B$1)))</f>
        <v>Travel - Meals &amp; Entertainment</v>
      </c>
      <c r="O82" s="143"/>
      <c r="P82" s="143"/>
      <c r="Q82" s="143">
        <v>314.81</v>
      </c>
      <c r="R82" s="143">
        <v>536.61</v>
      </c>
      <c r="S82" s="143">
        <v>23.63</v>
      </c>
      <c r="T82" s="143"/>
      <c r="U82" s="143"/>
      <c r="V82" s="143"/>
      <c r="W82" s="143"/>
      <c r="X82" s="143">
        <v>0.81</v>
      </c>
      <c r="Y82" s="143"/>
      <c r="Z82" s="143"/>
      <c r="AA82" s="143">
        <f t="shared" si="25"/>
        <v>875.86</v>
      </c>
      <c r="AB82" s="144">
        <f t="shared" si="26"/>
        <v>9.3283225517307785E-5</v>
      </c>
      <c r="AC82" s="140"/>
      <c r="AD82" s="143"/>
      <c r="AE82" s="144" t="str">
        <f t="shared" si="27"/>
        <v/>
      </c>
      <c r="AF82" s="145">
        <f t="shared" si="28"/>
        <v>875.86</v>
      </c>
      <c r="AG82" s="143">
        <v>185.53</v>
      </c>
      <c r="AH82" s="144">
        <f t="shared" si="29"/>
        <v>4.5602258916608851E-5</v>
      </c>
      <c r="AI82" s="145">
        <f t="shared" si="30"/>
        <v>690.33</v>
      </c>
      <c r="AJ82" s="212">
        <f t="shared" si="31"/>
        <v>2.1777269449762552E-2</v>
      </c>
      <c r="AK82" s="213">
        <f t="shared" si="32"/>
        <v>0</v>
      </c>
      <c r="AL82" s="214">
        <f t="shared" si="33"/>
        <v>2.1777269449762552E-2</v>
      </c>
      <c r="AM82" s="215">
        <f t="shared" si="34"/>
        <v>9.2533665835411467E-3</v>
      </c>
      <c r="AN82" s="214">
        <f t="shared" si="35"/>
        <v>1.2523902866221405E-2</v>
      </c>
      <c r="AO82" s="11"/>
    </row>
    <row r="83" spans="1:41" x14ac:dyDescent="0.35">
      <c r="A83" s="65" t="s">
        <v>7</v>
      </c>
      <c r="B83" s="66"/>
      <c r="C83" s="11"/>
      <c r="D83" s="11"/>
      <c r="E83" s="11"/>
      <c r="F83" s="11"/>
      <c r="G83" s="11"/>
      <c r="H83" s="88" t="s">
        <v>934</v>
      </c>
      <c r="I83" s="122" t="str">
        <f>IF(_epmOfflineCondition_,"N",_xll.EVPRO($B$1,$H83,"STYLE"))</f>
        <v>N</v>
      </c>
      <c r="J83" s="122" t="str">
        <f>IF(_epmOfflineCondition_,"N",_xll.EVPRO($B$1,$H83,"CALC"))</f>
        <v>N</v>
      </c>
      <c r="K83" s="179" t="str">
        <f t="shared" si="24"/>
        <v/>
      </c>
      <c r="L83" s="90" t="str">
        <f>IF(_epmOfflineCondition_,"703010",_xll.EVPRO($B$1,H83,"JDEID"))</f>
        <v>703010</v>
      </c>
      <c r="M83" s="90" t="str">
        <f>IF(_epmOfflineCondition_,"590021",IF(AND(I83="N",J83="N"),_xll.EVPRO($B$1,H83,"PSFTID"),""))</f>
        <v>590021</v>
      </c>
      <c r="N83" s="90" t="str">
        <f>IF(_epmOfflineCondition_,"Complimentary Food &amp; Beverage",IF(_xll.EVDES(H83,$B$1)="#NODATA","",_xll.EVDES(H83,$B$1)))</f>
        <v>Complimentary Food &amp; Beverage</v>
      </c>
      <c r="O83" s="143">
        <v>3425.48</v>
      </c>
      <c r="P83" s="143">
        <v>2749.31</v>
      </c>
      <c r="Q83" s="143">
        <v>3887.27</v>
      </c>
      <c r="R83" s="143">
        <v>3634.71</v>
      </c>
      <c r="S83" s="143">
        <v>3667</v>
      </c>
      <c r="T83" s="143">
        <v>4682.33</v>
      </c>
      <c r="U83" s="143">
        <v>3601.52</v>
      </c>
      <c r="V83" s="143">
        <v>1947.72</v>
      </c>
      <c r="W83" s="143">
        <v>2658.79</v>
      </c>
      <c r="X83" s="143">
        <v>2969</v>
      </c>
      <c r="Y83" s="143">
        <v>3812.63</v>
      </c>
      <c r="Z83" s="143">
        <v>4090.29</v>
      </c>
      <c r="AA83" s="143">
        <f t="shared" si="25"/>
        <v>41126.050000000003</v>
      </c>
      <c r="AB83" s="144">
        <f t="shared" si="26"/>
        <v>4.3801185084215242E-3</v>
      </c>
      <c r="AC83" s="140"/>
      <c r="AD83" s="143">
        <v>43153.75</v>
      </c>
      <c r="AE83" s="144">
        <f t="shared" si="27"/>
        <v>7.2624219462245048E-3</v>
      </c>
      <c r="AF83" s="145">
        <f t="shared" si="28"/>
        <v>-2027.6999999999971</v>
      </c>
      <c r="AG83" s="143">
        <v>16902.82</v>
      </c>
      <c r="AH83" s="144">
        <f t="shared" si="29"/>
        <v>4.1546206762293663E-3</v>
      </c>
      <c r="AI83" s="145">
        <f t="shared" si="30"/>
        <v>24223.230000000003</v>
      </c>
      <c r="AJ83" s="212">
        <f t="shared" si="31"/>
        <v>1.0225527735647331</v>
      </c>
      <c r="AK83" s="213">
        <f t="shared" si="32"/>
        <v>1.1499999999999999</v>
      </c>
      <c r="AL83" s="214">
        <f t="shared" si="33"/>
        <v>-0.12744722643526685</v>
      </c>
      <c r="AM83" s="215">
        <f t="shared" si="34"/>
        <v>0.84303341645885288</v>
      </c>
      <c r="AN83" s="214">
        <f t="shared" si="35"/>
        <v>0.17951935710588018</v>
      </c>
      <c r="AO83" s="11"/>
    </row>
    <row r="84" spans="1:41" x14ac:dyDescent="0.35">
      <c r="A84" s="65" t="s">
        <v>47</v>
      </c>
      <c r="B84" s="66" t="str">
        <f>IF(_epmOfflineCondition_,"'Rooms'!$A$89:$B$110",_xll.EVRNG($A$89:$B$110))</f>
        <v>'Rooms'!$A$89:$B$110</v>
      </c>
      <c r="C84" s="11"/>
      <c r="D84" s="11"/>
      <c r="E84" s="11"/>
      <c r="F84" s="11"/>
      <c r="G84" s="11"/>
      <c r="H84" s="88" t="s">
        <v>874</v>
      </c>
      <c r="I84" s="122" t="str">
        <f>IF(_epmOfflineCondition_,"T4",_xll.EVPRO($B$1,$H84,"STYLE"))</f>
        <v>T4</v>
      </c>
      <c r="J84" s="122" t="str">
        <f>IF(_epmOfflineCondition_,"Y",_xll.EVPRO($B$1,$H84,"CALC"))</f>
        <v>Y</v>
      </c>
      <c r="K84" s="179" t="str">
        <f t="shared" si="24"/>
        <v>&gt;</v>
      </c>
      <c r="L84" s="90" t="str">
        <f>IF(_epmOfflineCondition_,"703000",_xll.EVPRO($B$1,H84,"JDEID"))</f>
        <v>703000</v>
      </c>
      <c r="M84" s="90" t="str">
        <f>IF(_epmOfflineCondition_,"",IF(AND(I84="N",J84="N"),_xll.EVPRO($B$1,H84,"PSFTID"),""))</f>
        <v/>
      </c>
      <c r="N84" s="90" t="str">
        <f>IF(_epmOfflineCondition_,"Complimentary Services &amp; Gifts",IF(_xll.EVDES(H84,$B$1)="#NODATA","",_xll.EVDES(H84,$B$1)))</f>
        <v>Complimentary Services &amp; Gifts</v>
      </c>
      <c r="O84" s="143">
        <v>1964.52</v>
      </c>
      <c r="P84" s="143">
        <v>4032.35</v>
      </c>
      <c r="Q84" s="143">
        <v>4374.03</v>
      </c>
      <c r="R84" s="143">
        <v>3705.94</v>
      </c>
      <c r="S84" s="143">
        <v>3296.53</v>
      </c>
      <c r="T84" s="143">
        <v>4021.58</v>
      </c>
      <c r="U84" s="143">
        <v>2789.68</v>
      </c>
      <c r="V84" s="143">
        <v>2563.27</v>
      </c>
      <c r="W84" s="143">
        <v>3192.77</v>
      </c>
      <c r="X84" s="143">
        <v>3747.2</v>
      </c>
      <c r="Y84" s="143">
        <v>5283.44</v>
      </c>
      <c r="Z84" s="143">
        <v>4772.3599999999997</v>
      </c>
      <c r="AA84" s="143">
        <f t="shared" si="25"/>
        <v>43743.67</v>
      </c>
      <c r="AB84" s="144">
        <f t="shared" si="26"/>
        <v>4.6589073979456655E-3</v>
      </c>
      <c r="AC84" s="140"/>
      <c r="AD84" s="143">
        <v>46906.25</v>
      </c>
      <c r="AE84" s="144">
        <f t="shared" si="27"/>
        <v>7.8939368980701138E-3</v>
      </c>
      <c r="AF84" s="145">
        <f t="shared" si="28"/>
        <v>-3162.5800000000017</v>
      </c>
      <c r="AG84" s="143">
        <v>20422.03</v>
      </c>
      <c r="AH84" s="144">
        <f t="shared" si="29"/>
        <v>5.019623239706535E-3</v>
      </c>
      <c r="AI84" s="145">
        <f t="shared" si="30"/>
        <v>23321.64</v>
      </c>
      <c r="AJ84" s="212">
        <f t="shared" si="31"/>
        <v>1.0876369377657327</v>
      </c>
      <c r="AK84" s="213">
        <f t="shared" si="32"/>
        <v>1.25</v>
      </c>
      <c r="AL84" s="214">
        <f t="shared" si="33"/>
        <v>-0.16236306223426733</v>
      </c>
      <c r="AM84" s="215">
        <f t="shared" si="34"/>
        <v>1.0185551122194514</v>
      </c>
      <c r="AN84" s="214">
        <f t="shared" si="35"/>
        <v>6.9081825546281284E-2</v>
      </c>
      <c r="AO84" s="11"/>
    </row>
    <row r="85" spans="1:41" x14ac:dyDescent="0.35">
      <c r="A85" s="65" t="s">
        <v>8</v>
      </c>
      <c r="B85" s="66"/>
      <c r="C85" s="11"/>
      <c r="D85" s="11"/>
      <c r="E85" s="11"/>
      <c r="F85" s="11"/>
      <c r="G85" s="11"/>
      <c r="H85" s="88" t="s">
        <v>883</v>
      </c>
      <c r="I85" s="122" t="str">
        <f>IF(_epmOfflineCondition_,"N",_xll.EVPRO($B$1,$H85,"STYLE"))</f>
        <v>N</v>
      </c>
      <c r="J85" s="122" t="str">
        <f>IF(_epmOfflineCondition_,"N",_xll.EVPRO($B$1,$H85,"CALC"))</f>
        <v>N</v>
      </c>
      <c r="K85" s="179" t="str">
        <f t="shared" si="24"/>
        <v/>
      </c>
      <c r="L85" s="90" t="str">
        <f>IF(_epmOfflineCondition_,"703100",_xll.EVPRO($B$1,H85,"JDEID"))</f>
        <v>703100</v>
      </c>
      <c r="M85" s="90" t="str">
        <f>IF(_epmOfflineCondition_,"690035",IF(AND(I85="N",J85="N"),_xll.EVPRO($B$1,H85,"PSFTID"),""))</f>
        <v>690035</v>
      </c>
      <c r="N85" s="90" t="str">
        <f>IF(_epmOfflineCondition_,"Training",IF(_xll.EVDES(H85,$B$1)="#NODATA","",_xll.EVDES(H85,$B$1)))</f>
        <v>Training</v>
      </c>
      <c r="O85" s="143"/>
      <c r="P85" s="143"/>
      <c r="Q85" s="143"/>
      <c r="R85" s="143"/>
      <c r="S85" s="143"/>
      <c r="T85" s="143"/>
      <c r="U85" s="143"/>
      <c r="V85" s="143"/>
      <c r="W85" s="143"/>
      <c r="X85" s="143"/>
      <c r="Y85" s="143"/>
      <c r="Z85" s="143">
        <v>132</v>
      </c>
      <c r="AA85" s="143">
        <f t="shared" si="25"/>
        <v>132</v>
      </c>
      <c r="AB85" s="144">
        <f t="shared" si="26"/>
        <v>1.4058623259749991E-5</v>
      </c>
      <c r="AC85" s="140"/>
      <c r="AD85" s="143"/>
      <c r="AE85" s="144" t="str">
        <f t="shared" si="27"/>
        <v/>
      </c>
      <c r="AF85" s="145">
        <f t="shared" si="28"/>
        <v>132</v>
      </c>
      <c r="AG85" s="143">
        <v>43.71</v>
      </c>
      <c r="AH85" s="144">
        <f t="shared" si="29"/>
        <v>1.0743678851102102E-5</v>
      </c>
      <c r="AI85" s="145">
        <f t="shared" si="30"/>
        <v>88.289999999999992</v>
      </c>
      <c r="AJ85" s="212">
        <f t="shared" si="31"/>
        <v>3.2820308809269252E-3</v>
      </c>
      <c r="AK85" s="213">
        <f t="shared" si="32"/>
        <v>0</v>
      </c>
      <c r="AL85" s="214">
        <f t="shared" si="33"/>
        <v>3.2820308809269252E-3</v>
      </c>
      <c r="AM85" s="215">
        <f t="shared" si="34"/>
        <v>2.1800498753117206E-3</v>
      </c>
      <c r="AN85" s="214">
        <f t="shared" si="35"/>
        <v>1.1019810056152046E-3</v>
      </c>
      <c r="AO85" s="11"/>
    </row>
    <row r="86" spans="1:41" x14ac:dyDescent="0.35">
      <c r="A86" s="11"/>
      <c r="B86" s="11"/>
      <c r="C86" s="11"/>
      <c r="D86" s="11"/>
      <c r="E86" s="11"/>
      <c r="F86" s="11"/>
      <c r="G86" s="11"/>
      <c r="H86" s="88" t="s">
        <v>875</v>
      </c>
      <c r="I86" s="122" t="str">
        <f>IF(_epmOfflineCondition_,"N",_xll.EVPRO($B$1,$H86,"STYLE"))</f>
        <v>N</v>
      </c>
      <c r="J86" s="122" t="str">
        <f>IF(_epmOfflineCondition_,"N",_xll.EVPRO($B$1,$H86,"CALC"))</f>
        <v>N</v>
      </c>
      <c r="K86" s="179" t="str">
        <f t="shared" si="24"/>
        <v/>
      </c>
      <c r="L86" s="90" t="str">
        <f>IF(_epmOfflineCondition_,"703200",_xll.EVPRO($B$1,H86,"JDEID"))</f>
        <v>703200</v>
      </c>
      <c r="M86" s="90" t="str">
        <f>IF(_epmOfflineCondition_,"590035",IF(AND(I86="N",J86="N"),_xll.EVPRO($B$1,H86,"PSFTID"),""))</f>
        <v>590035</v>
      </c>
      <c r="N86" s="90" t="str">
        <f>IF(_epmOfflineCondition_,"Uniform Costs",IF(_xll.EVDES(H86,$B$1)="#NODATA","",_xll.EVDES(H86,$B$1)))</f>
        <v>Uniform Costs</v>
      </c>
      <c r="O86" s="143">
        <v>614.17999999999995</v>
      </c>
      <c r="P86" s="143">
        <v>51.36</v>
      </c>
      <c r="Q86" s="143"/>
      <c r="R86" s="143">
        <v>172.6</v>
      </c>
      <c r="S86" s="143"/>
      <c r="T86" s="143"/>
      <c r="U86" s="143">
        <v>627.91999999999996</v>
      </c>
      <c r="V86" s="143">
        <v>190.36</v>
      </c>
      <c r="W86" s="143">
        <v>122.23</v>
      </c>
      <c r="X86" s="143"/>
      <c r="Y86" s="143">
        <v>115.5</v>
      </c>
      <c r="Z86" s="143">
        <v>216.59</v>
      </c>
      <c r="AA86" s="143">
        <f t="shared" si="25"/>
        <v>2110.7400000000002</v>
      </c>
      <c r="AB86" s="144">
        <f t="shared" si="26"/>
        <v>2.2480377620670228E-4</v>
      </c>
      <c r="AC86" s="140"/>
      <c r="AD86" s="143">
        <v>2000</v>
      </c>
      <c r="AE86" s="144">
        <f t="shared" si="27"/>
        <v>3.3658358526081767E-4</v>
      </c>
      <c r="AF86" s="145">
        <f t="shared" si="28"/>
        <v>110.74000000000024</v>
      </c>
      <c r="AG86" s="143">
        <v>1413.3</v>
      </c>
      <c r="AH86" s="144">
        <f t="shared" si="29"/>
        <v>3.4738140746425528E-4</v>
      </c>
      <c r="AI86" s="145">
        <f t="shared" si="30"/>
        <v>697.44000000000028</v>
      </c>
      <c r="AJ86" s="212">
        <f t="shared" si="31"/>
        <v>5.2481165618240143E-2</v>
      </c>
      <c r="AK86" s="213">
        <f t="shared" si="32"/>
        <v>5.3297801465689541E-2</v>
      </c>
      <c r="AL86" s="214">
        <f t="shared" si="33"/>
        <v>-8.1663584744939843E-4</v>
      </c>
      <c r="AM86" s="215">
        <f t="shared" si="34"/>
        <v>7.0488778054862838E-2</v>
      </c>
      <c r="AN86" s="214">
        <f t="shared" si="35"/>
        <v>-1.8007612436622696E-2</v>
      </c>
      <c r="AO86" s="11"/>
    </row>
    <row r="87" spans="1:41" x14ac:dyDescent="0.35">
      <c r="A87" s="11"/>
      <c r="B87" s="11"/>
      <c r="C87" s="11"/>
      <c r="D87" s="11"/>
      <c r="E87" s="11"/>
      <c r="F87" s="11"/>
      <c r="G87" s="11"/>
      <c r="H87" s="88" t="s">
        <v>876</v>
      </c>
      <c r="I87" s="122" t="str">
        <f>IF(_epmOfflineCondition_,"N",_xll.EVPRO($B$1,$H87,"STYLE"))</f>
        <v>N</v>
      </c>
      <c r="J87" s="122" t="str">
        <f>IF(_epmOfflineCondition_,"N",_xll.EVPRO($B$1,$H87,"CALC"))</f>
        <v>N</v>
      </c>
      <c r="K87" s="179" t="str">
        <f t="shared" si="24"/>
        <v/>
      </c>
      <c r="L87" s="90" t="str">
        <f>IF(_epmOfflineCondition_,"703300",_xll.EVPRO($B$1,H87,"JDEID"))</f>
        <v>703300</v>
      </c>
      <c r="M87" s="90" t="str">
        <f>IF(_epmOfflineCondition_,"590115",IF(AND(I87="N",J87="N"),_xll.EVPRO($B$1,H87,"PSFTID"),""))</f>
        <v>590115</v>
      </c>
      <c r="N87" s="90" t="str">
        <f>IF(_epmOfflineCondition_,"Uniforms Laundry",IF(_xll.EVDES(H87,$B$1)="#NODATA","",_xll.EVDES(H87,$B$1)))</f>
        <v>Uniforms Laundry</v>
      </c>
      <c r="O87" s="143">
        <v>512.1</v>
      </c>
      <c r="P87" s="143">
        <v>141.30000000000001</v>
      </c>
      <c r="Q87" s="143">
        <v>525.42999999999995</v>
      </c>
      <c r="R87" s="143">
        <v>497.4</v>
      </c>
      <c r="S87" s="143">
        <v>334.4</v>
      </c>
      <c r="T87" s="143">
        <v>399</v>
      </c>
      <c r="U87" s="143">
        <v>383.4</v>
      </c>
      <c r="V87" s="143">
        <v>487.15</v>
      </c>
      <c r="W87" s="143">
        <v>335.3</v>
      </c>
      <c r="X87" s="143">
        <v>437</v>
      </c>
      <c r="Y87" s="143">
        <v>399.3</v>
      </c>
      <c r="Z87" s="143">
        <v>339.3</v>
      </c>
      <c r="AA87" s="143">
        <f t="shared" si="25"/>
        <v>4791.0800000000008</v>
      </c>
      <c r="AB87" s="144">
        <f t="shared" si="26"/>
        <v>5.1027264187365913E-4</v>
      </c>
      <c r="AC87" s="140"/>
      <c r="AD87" s="143">
        <v>7505</v>
      </c>
      <c r="AE87" s="144">
        <f t="shared" si="27"/>
        <v>1.2630299036912184E-3</v>
      </c>
      <c r="AF87" s="145">
        <f t="shared" si="28"/>
        <v>-2713.9199999999992</v>
      </c>
      <c r="AG87" s="143">
        <v>2904.85</v>
      </c>
      <c r="AH87" s="144">
        <f t="shared" si="29"/>
        <v>7.1399623680219488E-4</v>
      </c>
      <c r="AI87" s="145">
        <f t="shared" si="30"/>
        <v>1886.2300000000009</v>
      </c>
      <c r="AJ87" s="212">
        <f t="shared" si="31"/>
        <v>0.11912479176508617</v>
      </c>
      <c r="AK87" s="213">
        <f t="shared" si="32"/>
        <v>0.2</v>
      </c>
      <c r="AL87" s="214">
        <f t="shared" si="33"/>
        <v>-8.0875208234913842E-2</v>
      </c>
      <c r="AM87" s="215">
        <f t="shared" si="34"/>
        <v>0.14488029925187032</v>
      </c>
      <c r="AN87" s="214">
        <f t="shared" si="35"/>
        <v>-2.5755507486784152E-2</v>
      </c>
      <c r="AO87" s="11"/>
    </row>
    <row r="88" spans="1:41" x14ac:dyDescent="0.35">
      <c r="A88" s="62" t="s">
        <v>23</v>
      </c>
      <c r="B88" s="63" t="s">
        <v>24</v>
      </c>
      <c r="C88" s="11"/>
      <c r="D88" s="11"/>
      <c r="E88" s="11"/>
      <c r="F88" s="11"/>
      <c r="G88" s="11"/>
      <c r="H88" s="88" t="s">
        <v>860</v>
      </c>
      <c r="I88" s="122" t="str">
        <f>IF(_epmOfflineCondition_,"N",_xll.EVPRO($B$1,$H88,"STYLE"))</f>
        <v>N</v>
      </c>
      <c r="J88" s="122" t="str">
        <f>IF(_epmOfflineCondition_,"N",_xll.EVPRO($B$1,$H88,"CALC"))</f>
        <v>N</v>
      </c>
      <c r="K88" s="179" t="str">
        <f t="shared" si="24"/>
        <v/>
      </c>
      <c r="L88" s="90" t="str">
        <f>IF(_epmOfflineCondition_,"703400",_xll.EVPRO($B$1,H88,"JDEID"))</f>
        <v>703400</v>
      </c>
      <c r="M88" s="90" t="str">
        <f>IF(_epmOfflineCondition_,"590010",IF(AND(I88="N",J88="N"),_xll.EVPRO($B$1,H88,"PSFTID"),""))</f>
        <v>590010</v>
      </c>
      <c r="N88" s="90" t="str">
        <f>IF(_epmOfflineCondition_,"Linen",IF(_xll.EVDES(H88,$B$1)="#NODATA","",_xll.EVDES(H88,$B$1)))</f>
        <v>Linen</v>
      </c>
      <c r="O88" s="143">
        <v>8443.5300000000007</v>
      </c>
      <c r="P88" s="143">
        <v>3811.82</v>
      </c>
      <c r="Q88" s="143">
        <v>5266.45</v>
      </c>
      <c r="R88" s="143">
        <v>3901.31</v>
      </c>
      <c r="S88" s="143">
        <v>9920.66</v>
      </c>
      <c r="T88" s="143">
        <v>9736.7800000000007</v>
      </c>
      <c r="U88" s="143">
        <v>10742.51</v>
      </c>
      <c r="V88" s="143">
        <v>3376.45</v>
      </c>
      <c r="W88" s="143">
        <v>2855.09</v>
      </c>
      <c r="X88" s="143">
        <v>10606.43</v>
      </c>
      <c r="Y88" s="143">
        <v>8119.49</v>
      </c>
      <c r="Z88" s="143">
        <v>7341.93</v>
      </c>
      <c r="AA88" s="143">
        <f t="shared" si="25"/>
        <v>84122.450000000012</v>
      </c>
      <c r="AB88" s="144">
        <f t="shared" si="26"/>
        <v>8.9594381230087561E-3</v>
      </c>
      <c r="AC88" s="140"/>
      <c r="AD88" s="143">
        <v>35000</v>
      </c>
      <c r="AE88" s="144">
        <f t="shared" si="27"/>
        <v>5.890212742064309E-3</v>
      </c>
      <c r="AF88" s="145">
        <f t="shared" si="28"/>
        <v>49122.450000000012</v>
      </c>
      <c r="AG88" s="143">
        <v>16960.27</v>
      </c>
      <c r="AH88" s="144">
        <f t="shared" si="29"/>
        <v>4.1687415719053175E-3</v>
      </c>
      <c r="AI88" s="145">
        <f t="shared" si="30"/>
        <v>67162.180000000008</v>
      </c>
      <c r="AJ88" s="212">
        <f t="shared" si="31"/>
        <v>2.0916096869638729</v>
      </c>
      <c r="AK88" s="213">
        <f t="shared" si="32"/>
        <v>0.93271152564956694</v>
      </c>
      <c r="AL88" s="214">
        <f t="shared" si="33"/>
        <v>1.1588981613143061</v>
      </c>
      <c r="AM88" s="215">
        <f t="shared" si="34"/>
        <v>0.84589875311720697</v>
      </c>
      <c r="AN88" s="214">
        <f t="shared" si="35"/>
        <v>1.2457109338466661</v>
      </c>
      <c r="AO88" s="11"/>
    </row>
    <row r="89" spans="1:41" x14ac:dyDescent="0.35">
      <c r="A89" s="65" t="s">
        <v>25</v>
      </c>
      <c r="B89" s="66"/>
      <c r="C89" s="11"/>
      <c r="D89" s="11"/>
      <c r="E89" s="11"/>
      <c r="F89" s="11"/>
      <c r="G89" s="11"/>
      <c r="H89" s="88" t="s">
        <v>935</v>
      </c>
      <c r="I89" s="122" t="str">
        <f>IF(_epmOfflineCondition_,"N",_xll.EVPRO($B$1,$H89,"STYLE"))</f>
        <v>N</v>
      </c>
      <c r="J89" s="122" t="str">
        <f>IF(_epmOfflineCondition_,"N",_xll.EVPRO($B$1,$H89,"CALC"))</f>
        <v>N</v>
      </c>
      <c r="K89" s="179" t="str">
        <f t="shared" si="24"/>
        <v/>
      </c>
      <c r="L89" s="90" t="str">
        <f>IF(_epmOfflineCondition_,"704000",_xll.EVPRO($B$1,H89,"JDEID"))</f>
        <v>704000</v>
      </c>
      <c r="M89" s="90" t="str">
        <f>IF(_epmOfflineCondition_,"590141",IF(AND(I89="N",J89="N"),_xll.EVPRO($B$1,H89,"PSFTID"),""))</f>
        <v>590141</v>
      </c>
      <c r="N89" s="90" t="str">
        <f>IF(_epmOfflineCondition_,"Complimentary In Room Media Ent.",IF(_xll.EVDES(H89,$B$1)="#NODATA","",_xll.EVDES(H89,$B$1)))</f>
        <v>Complimentary In Room Media Ent.</v>
      </c>
      <c r="O89" s="143">
        <v>2122.13</v>
      </c>
      <c r="P89" s="143">
        <v>2122.13</v>
      </c>
      <c r="Q89" s="143">
        <v>2122.13</v>
      </c>
      <c r="R89" s="143">
        <v>2122.13</v>
      </c>
      <c r="S89" s="143">
        <v>2122.13</v>
      </c>
      <c r="T89" s="143">
        <v>2122.13</v>
      </c>
      <c r="U89" s="143">
        <v>2122.13</v>
      </c>
      <c r="V89" s="143">
        <v>2122.13</v>
      </c>
      <c r="W89" s="143">
        <v>2172.31</v>
      </c>
      <c r="X89" s="143">
        <v>2175.5100000000002</v>
      </c>
      <c r="Y89" s="143">
        <v>2175.5100000000002</v>
      </c>
      <c r="Z89" s="143">
        <v>2175.5100000000002</v>
      </c>
      <c r="AA89" s="143">
        <f t="shared" si="25"/>
        <v>25675.880000000012</v>
      </c>
      <c r="AB89" s="144">
        <f t="shared" si="26"/>
        <v>2.7346024528981045E-3</v>
      </c>
      <c r="AC89" s="140"/>
      <c r="AD89" s="143">
        <v>25464</v>
      </c>
      <c r="AE89" s="144">
        <f t="shared" si="27"/>
        <v>4.2853822075407302E-3</v>
      </c>
      <c r="AF89" s="145">
        <f t="shared" si="28"/>
        <v>211.88000000001193</v>
      </c>
      <c r="AG89" s="143">
        <v>20668.509999999998</v>
      </c>
      <c r="AH89" s="144">
        <f t="shared" si="29"/>
        <v>5.0802066751496743E-3</v>
      </c>
      <c r="AI89" s="145">
        <f t="shared" si="30"/>
        <v>5007.3700000000135</v>
      </c>
      <c r="AJ89" s="212">
        <f t="shared" si="31"/>
        <v>0.63840175041647007</v>
      </c>
      <c r="AK89" s="213">
        <f t="shared" si="32"/>
        <v>0.67858760826115927</v>
      </c>
      <c r="AL89" s="214">
        <f t="shared" si="33"/>
        <v>-4.0185857844689199E-2</v>
      </c>
      <c r="AM89" s="215">
        <f t="shared" si="34"/>
        <v>1.030848379052369</v>
      </c>
      <c r="AN89" s="214">
        <f t="shared" si="35"/>
        <v>-0.39244662863589896</v>
      </c>
      <c r="AO89" s="11"/>
    </row>
    <row r="90" spans="1:41" x14ac:dyDescent="0.35">
      <c r="A90" s="65" t="s">
        <v>26</v>
      </c>
      <c r="B90" s="66"/>
      <c r="C90" s="11"/>
      <c r="D90" s="11"/>
      <c r="E90" s="11"/>
      <c r="F90" s="11"/>
      <c r="G90" s="11"/>
      <c r="H90" s="88" t="s">
        <v>936</v>
      </c>
      <c r="I90" s="122" t="str">
        <f>IF(_epmOfflineCondition_,"T4",_xll.EVPRO($B$1,$H90,"STYLE"))</f>
        <v>T4</v>
      </c>
      <c r="J90" s="122" t="str">
        <f>IF(_epmOfflineCondition_,"Y",_xll.EVPRO($B$1,$H90,"CALC"))</f>
        <v>Y</v>
      </c>
      <c r="K90" s="179" t="str">
        <f t="shared" si="24"/>
        <v>&gt;</v>
      </c>
      <c r="L90" s="90" t="str">
        <f>IF(_epmOfflineCondition_,"704200",_xll.EVPRO($B$1,H90,"JDEID"))</f>
        <v>704200</v>
      </c>
      <c r="M90" s="90" t="str">
        <f>IF(_epmOfflineCondition_,"",IF(AND(I90="N",J90="N"),_xll.EVPRO($B$1,H90,"PSFTID"),""))</f>
        <v/>
      </c>
      <c r="N90" s="90" t="str">
        <f>IF(_epmOfflineCondition_,"Commissions",IF(_xll.EVDES(H90,$B$1)="#NODATA","",_xll.EVDES(H90,$B$1)))</f>
        <v>Commissions</v>
      </c>
      <c r="O90" s="143">
        <v>30233.26</v>
      </c>
      <c r="P90" s="143">
        <v>31388.68</v>
      </c>
      <c r="Q90" s="143">
        <v>41104.21</v>
      </c>
      <c r="R90" s="143">
        <v>61702.9</v>
      </c>
      <c r="S90" s="143">
        <v>50157.8</v>
      </c>
      <c r="T90" s="143">
        <v>66746.759999999995</v>
      </c>
      <c r="U90" s="143">
        <v>61486.86</v>
      </c>
      <c r="V90" s="143">
        <v>34439.31</v>
      </c>
      <c r="W90" s="143">
        <v>30424.37</v>
      </c>
      <c r="X90" s="143">
        <v>20021.32</v>
      </c>
      <c r="Y90" s="143">
        <v>26736.23</v>
      </c>
      <c r="Z90" s="143">
        <v>48657.08</v>
      </c>
      <c r="AA90" s="143">
        <f t="shared" si="25"/>
        <v>503098.77999999997</v>
      </c>
      <c r="AB90" s="144">
        <f t="shared" si="26"/>
        <v>5.3582395533786693E-2</v>
      </c>
      <c r="AC90" s="140"/>
      <c r="AD90" s="143">
        <v>229115.03479999999</v>
      </c>
      <c r="AE90" s="144">
        <f t="shared" si="27"/>
        <v>3.8558179925070504E-2</v>
      </c>
      <c r="AF90" s="145">
        <f t="shared" si="28"/>
        <v>273983.7452</v>
      </c>
      <c r="AG90" s="143">
        <v>156533.88</v>
      </c>
      <c r="AH90" s="144">
        <f t="shared" si="29"/>
        <v>3.8475171266002153E-2</v>
      </c>
      <c r="AI90" s="145">
        <f t="shared" si="30"/>
        <v>346564.89999999997</v>
      </c>
      <c r="AJ90" s="212">
        <f t="shared" si="31"/>
        <v>12.508982819065615</v>
      </c>
      <c r="AK90" s="213">
        <f t="shared" si="32"/>
        <v>6.105663818787475</v>
      </c>
      <c r="AL90" s="214">
        <f t="shared" si="33"/>
        <v>6.4033190002781399</v>
      </c>
      <c r="AM90" s="215">
        <f t="shared" si="34"/>
        <v>7.8071760598503745</v>
      </c>
      <c r="AN90" s="214">
        <f t="shared" si="35"/>
        <v>4.7018067592152404</v>
      </c>
      <c r="AO90" s="11"/>
    </row>
    <row r="91" spans="1:41" x14ac:dyDescent="0.35">
      <c r="A91" s="65" t="s">
        <v>27</v>
      </c>
      <c r="B91" s="66"/>
      <c r="C91" s="11"/>
      <c r="D91" s="11"/>
      <c r="E91" s="11"/>
      <c r="F91" s="11"/>
      <c r="G91" s="11"/>
      <c r="H91" s="88" t="s">
        <v>937</v>
      </c>
      <c r="I91" s="122" t="str">
        <f>IF(_epmOfflineCondition_,"N",_xll.EVPRO($B$1,$H91,"STYLE"))</f>
        <v>N</v>
      </c>
      <c r="J91" s="122" t="str">
        <f>IF(_epmOfflineCondition_,"N",_xll.EVPRO($B$1,$H91,"CALC"))</f>
        <v>N</v>
      </c>
      <c r="K91" s="179" t="str">
        <f t="shared" si="24"/>
        <v/>
      </c>
      <c r="L91" s="90" t="str">
        <f>IF(_epmOfflineCondition_,"704300",_xll.EVPRO($B$1,H91,"JDEID"))</f>
        <v>704300</v>
      </c>
      <c r="M91" s="90" t="str">
        <f>IF(_epmOfflineCondition_,"590190",IF(AND(I91="N",J91="N"),_xll.EVPRO($B$1,H91,"PSFTID"),""))</f>
        <v>590190</v>
      </c>
      <c r="N91" s="90" t="str">
        <f>IF(_epmOfflineCondition_,"Commissions &amp; Fees - Group",IF(_xll.EVDES(H91,$B$1)="#NODATA","",_xll.EVDES(H91,$B$1)))</f>
        <v>Commissions &amp; Fees - Group</v>
      </c>
      <c r="O91" s="143"/>
      <c r="P91" s="143">
        <v>3939.7</v>
      </c>
      <c r="Q91" s="143">
        <v>807.3</v>
      </c>
      <c r="R91" s="143">
        <v>1012.1</v>
      </c>
      <c r="S91" s="143">
        <v>772.2</v>
      </c>
      <c r="T91" s="143"/>
      <c r="U91" s="143">
        <v>820.5</v>
      </c>
      <c r="V91" s="143">
        <v>523.9</v>
      </c>
      <c r="W91" s="143">
        <v>718.6</v>
      </c>
      <c r="X91" s="143"/>
      <c r="Y91" s="143">
        <v>178.4</v>
      </c>
      <c r="Z91" s="143">
        <v>517.83000000000004</v>
      </c>
      <c r="AA91" s="143">
        <f t="shared" si="25"/>
        <v>9290.5299999999988</v>
      </c>
      <c r="AB91" s="144">
        <f t="shared" si="26"/>
        <v>9.894853117682202E-4</v>
      </c>
      <c r="AC91" s="140"/>
      <c r="AD91" s="143">
        <v>33330.672738165798</v>
      </c>
      <c r="AE91" s="144">
        <f t="shared" si="27"/>
        <v>5.6092786646834191E-3</v>
      </c>
      <c r="AF91" s="145">
        <f t="shared" si="28"/>
        <v>-24040.1427381658</v>
      </c>
      <c r="AG91" s="143">
        <v>23234.880000000001</v>
      </c>
      <c r="AH91" s="144">
        <f t="shared" si="29"/>
        <v>5.7110063798649097E-3</v>
      </c>
      <c r="AI91" s="145">
        <f t="shared" si="30"/>
        <v>-13944.350000000002</v>
      </c>
      <c r="AJ91" s="212">
        <f t="shared" si="31"/>
        <v>0.23099853303165169</v>
      </c>
      <c r="AK91" s="213">
        <f t="shared" si="32"/>
        <v>0.88822578915831574</v>
      </c>
      <c r="AL91" s="214">
        <f t="shared" si="33"/>
        <v>-0.65722725612666411</v>
      </c>
      <c r="AM91" s="215">
        <f t="shared" si="34"/>
        <v>1.1588468827930174</v>
      </c>
      <c r="AN91" s="214">
        <f t="shared" si="35"/>
        <v>-0.92784834976136565</v>
      </c>
      <c r="AO91" s="11"/>
    </row>
    <row r="92" spans="1:41" x14ac:dyDescent="0.35">
      <c r="A92" s="65" t="s">
        <v>28</v>
      </c>
      <c r="B92" s="66"/>
      <c r="C92" s="11"/>
      <c r="D92" s="11"/>
      <c r="E92" s="11"/>
      <c r="F92" s="11"/>
      <c r="G92" s="11"/>
      <c r="H92" s="88" t="s">
        <v>938</v>
      </c>
      <c r="I92" s="122" t="str">
        <f>IF(_epmOfflineCondition_,"N",_xll.EVPRO($B$1,$H92,"STYLE"))</f>
        <v>N</v>
      </c>
      <c r="J92" s="122" t="str">
        <f>IF(_epmOfflineCondition_,"N",_xll.EVPRO($B$1,$H92,"CALC"))</f>
        <v>N</v>
      </c>
      <c r="K92" s="179" t="str">
        <f t="shared" si="24"/>
        <v/>
      </c>
      <c r="L92" s="90" t="str">
        <f>IF(_epmOfflineCondition_,"704400",_xll.EVPRO($B$1,H92,"JDEID"))</f>
        <v>704400</v>
      </c>
      <c r="M92" s="90" t="str">
        <f>IF(_epmOfflineCondition_,"590175",IF(AND(I92="N",J92="N"),_xll.EVPRO($B$1,H92,"PSFTID"),""))</f>
        <v>590175</v>
      </c>
      <c r="N92" s="90" t="str">
        <f>IF(_epmOfflineCondition_,"Guest Relocation",IF(_xll.EVDES(H92,$B$1)="#NODATA","",_xll.EVDES(H92,$B$1)))</f>
        <v>Guest Relocation</v>
      </c>
      <c r="O92" s="143"/>
      <c r="P92" s="143"/>
      <c r="Q92" s="143">
        <v>495.9</v>
      </c>
      <c r="R92" s="143"/>
      <c r="S92" s="143"/>
      <c r="T92" s="143">
        <v>27.51</v>
      </c>
      <c r="U92" s="143">
        <v>329.46</v>
      </c>
      <c r="V92" s="143">
        <v>2346.64</v>
      </c>
      <c r="W92" s="143">
        <v>-1173.32</v>
      </c>
      <c r="X92" s="143"/>
      <c r="Y92" s="143"/>
      <c r="Z92" s="143">
        <v>948.48</v>
      </c>
      <c r="AA92" s="143">
        <f t="shared" si="25"/>
        <v>2974.67</v>
      </c>
      <c r="AB92" s="144">
        <f t="shared" si="26"/>
        <v>3.1681640039454931E-4</v>
      </c>
      <c r="AC92" s="140"/>
      <c r="AD92" s="143">
        <v>2626.75</v>
      </c>
      <c r="AE92" s="144">
        <f t="shared" si="27"/>
        <v>4.4206046629192638E-4</v>
      </c>
      <c r="AF92" s="145">
        <f t="shared" si="28"/>
        <v>347.92000000000007</v>
      </c>
      <c r="AG92" s="143">
        <v>2053.9499999999998</v>
      </c>
      <c r="AH92" s="144">
        <f t="shared" si="29"/>
        <v>5.0484967229972905E-4</v>
      </c>
      <c r="AI92" s="145">
        <f t="shared" si="30"/>
        <v>920.72000000000025</v>
      </c>
      <c r="AJ92" s="212">
        <f t="shared" si="31"/>
        <v>7.3961809095203765E-2</v>
      </c>
      <c r="AK92" s="213">
        <f t="shared" si="32"/>
        <v>7.0000000000000007E-2</v>
      </c>
      <c r="AL92" s="214">
        <f t="shared" si="33"/>
        <v>3.9618090952037582E-3</v>
      </c>
      <c r="AM92" s="215">
        <f t="shared" si="34"/>
        <v>0.10244139650872817</v>
      </c>
      <c r="AN92" s="214">
        <f t="shared" si="35"/>
        <v>-2.847958741352441E-2</v>
      </c>
      <c r="AO92" s="11"/>
    </row>
    <row r="93" spans="1:41" x14ac:dyDescent="0.35">
      <c r="A93" s="65" t="s">
        <v>29</v>
      </c>
      <c r="B93" s="66"/>
      <c r="C93" s="11"/>
      <c r="D93" s="11"/>
      <c r="E93" s="11"/>
      <c r="F93" s="11"/>
      <c r="G93" s="11"/>
      <c r="H93" s="88" t="s">
        <v>939</v>
      </c>
      <c r="I93" s="122" t="str">
        <f>IF(_epmOfflineCondition_,"N",_xll.EVPRO($B$1,$H93,"STYLE"))</f>
        <v>N</v>
      </c>
      <c r="J93" s="122" t="str">
        <f>IF(_epmOfflineCondition_,"N",_xll.EVPRO($B$1,$H93,"CALC"))</f>
        <v>N</v>
      </c>
      <c r="K93" s="179" t="str">
        <f t="shared" si="24"/>
        <v/>
      </c>
      <c r="L93" s="90" t="str">
        <f>IF(_epmOfflineCondition_,"704500",_xll.EVPRO($B$1,H93,"JDEID"))</f>
        <v>704500</v>
      </c>
      <c r="M93" s="90" t="str">
        <f>IF(_epmOfflineCondition_,"590215",IF(AND(I93="N",J93="N"),_xll.EVPRO($B$1,H93,"PSFTID"),""))</f>
        <v>590215</v>
      </c>
      <c r="N93" s="90" t="str">
        <f>IF(_epmOfflineCondition_,"Guest Transportation",IF(_xll.EVDES(H93,$B$1)="#NODATA","",_xll.EVDES(H93,$B$1)))</f>
        <v>Guest Transportation</v>
      </c>
      <c r="O93" s="143">
        <v>18.760000000000002</v>
      </c>
      <c r="P93" s="143">
        <v>18.760000000000002</v>
      </c>
      <c r="Q93" s="143">
        <v>-18.760000000000002</v>
      </c>
      <c r="R93" s="143"/>
      <c r="S93" s="143"/>
      <c r="T93" s="143"/>
      <c r="U93" s="143"/>
      <c r="V93" s="143"/>
      <c r="W93" s="143"/>
      <c r="X93" s="143"/>
      <c r="Y93" s="143"/>
      <c r="Z93" s="143"/>
      <c r="AA93" s="143">
        <f t="shared" si="25"/>
        <v>18.760000000000002</v>
      </c>
      <c r="AB93" s="144">
        <f t="shared" si="26"/>
        <v>1.9980285784311354E-6</v>
      </c>
      <c r="AC93" s="140"/>
      <c r="AD93" s="143"/>
      <c r="AE93" s="144" t="str">
        <f t="shared" si="27"/>
        <v/>
      </c>
      <c r="AF93" s="145">
        <f t="shared" si="28"/>
        <v>18.760000000000002</v>
      </c>
      <c r="AG93" s="143"/>
      <c r="AH93" s="144" t="str">
        <f t="shared" si="29"/>
        <v/>
      </c>
      <c r="AI93" s="145">
        <f t="shared" si="30"/>
        <v>18.760000000000002</v>
      </c>
      <c r="AJ93" s="212">
        <f t="shared" si="31"/>
        <v>4.6644620701658424E-4</v>
      </c>
      <c r="AK93" s="213">
        <f t="shared" si="32"/>
        <v>0</v>
      </c>
      <c r="AL93" s="214">
        <f t="shared" si="33"/>
        <v>4.6644620701658424E-4</v>
      </c>
      <c r="AM93" s="215">
        <f t="shared" si="34"/>
        <v>0</v>
      </c>
      <c r="AN93" s="214">
        <f t="shared" si="35"/>
        <v>4.6644620701658424E-4</v>
      </c>
      <c r="AO93" s="11"/>
    </row>
    <row r="94" spans="1:41" x14ac:dyDescent="0.35">
      <c r="A94" s="65" t="s">
        <v>30</v>
      </c>
      <c r="B94" s="66" t="s">
        <v>78</v>
      </c>
      <c r="C94" s="11"/>
      <c r="D94" s="11"/>
      <c r="E94" s="11"/>
      <c r="F94" s="11"/>
      <c r="G94" s="11"/>
      <c r="H94" s="88" t="s">
        <v>841</v>
      </c>
      <c r="I94" s="122" t="str">
        <f>IF(_epmOfflineCondition_,"N",_xll.EVPRO($B$1,$H94,"STYLE"))</f>
        <v>N</v>
      </c>
      <c r="J94" s="122" t="str">
        <f>IF(_epmOfflineCondition_,"N",_xll.EVPRO($B$1,$H94,"CALC"))</f>
        <v>N</v>
      </c>
      <c r="K94" s="179" t="str">
        <f t="shared" si="24"/>
        <v/>
      </c>
      <c r="L94" s="90" t="str">
        <f>IF(_epmOfflineCondition_,"705500",_xll.EVPRO($B$1,H94,"JDEID"))</f>
        <v>705500</v>
      </c>
      <c r="M94" s="90" t="str">
        <f>IF(_epmOfflineCondition_,"690105",IF(AND(I94="N",J94="N"),_xll.EVPRO($B$1,H94,"PSFTID"),""))</f>
        <v>690105</v>
      </c>
      <c r="N94" s="90" t="str">
        <f>IF(_epmOfflineCondition_,"Licenses &amp; Permits",IF(_xll.EVDES(H94,$B$1)="#NODATA","",_xll.EVDES(H94,$B$1)))</f>
        <v>Licenses &amp; Permits</v>
      </c>
      <c r="O94" s="143"/>
      <c r="P94" s="143"/>
      <c r="Q94" s="143">
        <v>1561.68</v>
      </c>
      <c r="R94" s="143"/>
      <c r="S94" s="143"/>
      <c r="T94" s="143"/>
      <c r="U94" s="143"/>
      <c r="V94" s="143"/>
      <c r="W94" s="143"/>
      <c r="X94" s="143"/>
      <c r="Y94" s="143"/>
      <c r="Z94" s="143"/>
      <c r="AA94" s="143">
        <f t="shared" si="25"/>
        <v>1561.68</v>
      </c>
      <c r="AB94" s="144">
        <f t="shared" si="26"/>
        <v>1.6632629372944217E-4</v>
      </c>
      <c r="AC94" s="140"/>
      <c r="AD94" s="143">
        <v>808</v>
      </c>
      <c r="AE94" s="144">
        <f t="shared" si="27"/>
        <v>1.3597976844537034E-4</v>
      </c>
      <c r="AF94" s="145">
        <f t="shared" si="28"/>
        <v>753.68000000000006</v>
      </c>
      <c r="AG94" s="143">
        <v>807.79</v>
      </c>
      <c r="AH94" s="144">
        <f t="shared" si="29"/>
        <v>1.9855036236860593E-4</v>
      </c>
      <c r="AI94" s="145">
        <f t="shared" si="30"/>
        <v>753.8900000000001</v>
      </c>
      <c r="AJ94" s="212">
        <f t="shared" si="31"/>
        <v>3.8829408985802734E-2</v>
      </c>
      <c r="AK94" s="213">
        <f t="shared" si="32"/>
        <v>2.1532311792138575E-2</v>
      </c>
      <c r="AL94" s="214">
        <f t="shared" si="33"/>
        <v>1.7297097193664158E-2</v>
      </c>
      <c r="AM94" s="215">
        <f t="shared" si="34"/>
        <v>4.0288778054862841E-2</v>
      </c>
      <c r="AN94" s="214">
        <f t="shared" si="35"/>
        <v>-1.4593690690601069E-3</v>
      </c>
      <c r="AO94" s="11"/>
    </row>
    <row r="95" spans="1:41" x14ac:dyDescent="0.35">
      <c r="A95" s="65" t="s">
        <v>31</v>
      </c>
      <c r="B95" s="66" t="s">
        <v>78</v>
      </c>
      <c r="C95" s="11"/>
      <c r="D95" s="11"/>
      <c r="E95" s="11"/>
      <c r="F95" s="11"/>
      <c r="G95" s="11"/>
      <c r="H95" s="88" t="s">
        <v>845</v>
      </c>
      <c r="I95" s="122" t="str">
        <f>IF(_epmOfflineCondition_,"T4",_xll.EVPRO($B$1,$H95,"STYLE"))</f>
        <v>T4</v>
      </c>
      <c r="J95" s="122" t="str">
        <f>IF(_epmOfflineCondition_,"Y",_xll.EVPRO($B$1,$H95,"CALC"))</f>
        <v>Y</v>
      </c>
      <c r="K95" s="179" t="str">
        <f t="shared" si="24"/>
        <v>&gt;</v>
      </c>
      <c r="L95" s="90" t="str">
        <f>IF(_epmOfflineCondition_,"706500",_xll.EVPRO($B$1,H95,"JDEID"))</f>
        <v>706500</v>
      </c>
      <c r="M95" s="90" t="str">
        <f>IF(_epmOfflineCondition_,"",IF(AND(I95="N",J95="N"),_xll.EVPRO($B$1,H95,"PSFTID"),""))</f>
        <v/>
      </c>
      <c r="N95" s="90" t="str">
        <f>IF(_epmOfflineCondition_,"Corporate Office Reimbursement",IF(_xll.EVDES(H95,$B$1)="#NODATA","",_xll.EVDES(H95,$B$1)))</f>
        <v>Corporate Office Reimbursement</v>
      </c>
      <c r="O95" s="143">
        <v>5865.52</v>
      </c>
      <c r="P95" s="143">
        <v>6866.96</v>
      </c>
      <c r="Q95" s="143">
        <v>8672.51</v>
      </c>
      <c r="R95" s="143">
        <v>8585.14</v>
      </c>
      <c r="S95" s="143">
        <v>10214.34</v>
      </c>
      <c r="T95" s="143">
        <v>8291.56</v>
      </c>
      <c r="U95" s="143">
        <v>9503.26</v>
      </c>
      <c r="V95" s="143">
        <v>5581.28</v>
      </c>
      <c r="W95" s="143">
        <v>4076.31</v>
      </c>
      <c r="X95" s="143">
        <v>5604.88</v>
      </c>
      <c r="Y95" s="143">
        <v>7227.14</v>
      </c>
      <c r="Z95" s="143">
        <v>11120.65</v>
      </c>
      <c r="AA95" s="143">
        <f t="shared" si="25"/>
        <v>91609.55</v>
      </c>
      <c r="AB95" s="144">
        <f t="shared" si="26"/>
        <v>9.7568496245850744E-3</v>
      </c>
      <c r="AC95" s="140"/>
      <c r="AD95" s="143">
        <v>59420.604200000002</v>
      </c>
      <c r="AE95" s="144">
        <f t="shared" si="27"/>
        <v>0.01</v>
      </c>
      <c r="AF95" s="145">
        <f t="shared" si="28"/>
        <v>32188.945800000001</v>
      </c>
      <c r="AG95" s="143">
        <v>40692.870000000003</v>
      </c>
      <c r="AH95" s="144">
        <f t="shared" si="29"/>
        <v>1.0002084804613296E-2</v>
      </c>
      <c r="AI95" s="145">
        <f t="shared" si="30"/>
        <v>50916.68</v>
      </c>
      <c r="AJ95" s="212">
        <f t="shared" si="31"/>
        <v>2.2777679703622669</v>
      </c>
      <c r="AK95" s="213">
        <f t="shared" si="32"/>
        <v>1.583493782811459</v>
      </c>
      <c r="AL95" s="214">
        <f t="shared" si="33"/>
        <v>0.69427418755080783</v>
      </c>
      <c r="AM95" s="215">
        <f t="shared" si="34"/>
        <v>2.0295695760598504</v>
      </c>
      <c r="AN95" s="214">
        <f t="shared" si="35"/>
        <v>0.24819839430241641</v>
      </c>
      <c r="AO95" s="11"/>
    </row>
    <row r="96" spans="1:41" x14ac:dyDescent="0.35">
      <c r="A96" s="65" t="s">
        <v>32</v>
      </c>
      <c r="B96" s="66"/>
      <c r="C96" s="11"/>
      <c r="D96" s="11"/>
      <c r="E96" s="11"/>
      <c r="F96" s="11"/>
      <c r="G96" s="11"/>
      <c r="H96" s="88" t="s">
        <v>77</v>
      </c>
      <c r="I96" s="122" t="str">
        <f>IF(_epmOfflineCondition_,"T4",_xll.EVPRO($B$1,$H96,"STYLE"))</f>
        <v>T4</v>
      </c>
      <c r="J96" s="122" t="str">
        <f>IF(_epmOfflineCondition_,"Y",_xll.EVPRO($B$1,$H96,"CALC"))</f>
        <v>Y</v>
      </c>
      <c r="K96" s="179" t="str">
        <f t="shared" si="24"/>
        <v>&gt;</v>
      </c>
      <c r="L96" s="90" t="str">
        <f>IF(_epmOfflineCondition_,"710000",_xll.EVPRO($B$1,H96,"JDEID"))</f>
        <v>710000</v>
      </c>
      <c r="M96" s="90" t="str">
        <f>IF(_epmOfflineCondition_,"",IF(AND(I96="N",J96="N"),_xll.EVPRO($B$1,H96,"PSFTID"),""))</f>
        <v/>
      </c>
      <c r="N96" s="90" t="str">
        <f>IF(_epmOfflineCondition_,"Total Reservations Fees &amp; Other Exp",IF(_xll.EVDES(H96,$B$1)="#NODATA","",_xll.EVDES(H96,$B$1)))</f>
        <v>Total Reservations Fees &amp; Other Exp</v>
      </c>
      <c r="O96" s="143">
        <v>115.2</v>
      </c>
      <c r="P96" s="143">
        <v>64</v>
      </c>
      <c r="Q96" s="143">
        <v>102.4</v>
      </c>
      <c r="R96" s="143">
        <v>204.8</v>
      </c>
      <c r="S96" s="143">
        <v>-44.8</v>
      </c>
      <c r="T96" s="143">
        <v>425.87</v>
      </c>
      <c r="U96" s="143">
        <v>204.8</v>
      </c>
      <c r="V96" s="143">
        <v>160</v>
      </c>
      <c r="W96" s="143">
        <v>185.6</v>
      </c>
      <c r="X96" s="143">
        <v>51.2</v>
      </c>
      <c r="Y96" s="143">
        <v>197</v>
      </c>
      <c r="Z96" s="143">
        <v>320</v>
      </c>
      <c r="AA96" s="143">
        <f t="shared" si="25"/>
        <v>1986.07</v>
      </c>
      <c r="AB96" s="144">
        <f t="shared" si="26"/>
        <v>2.1152583255675504E-4</v>
      </c>
      <c r="AC96" s="140"/>
      <c r="AD96" s="143">
        <v>5414.7007999999996</v>
      </c>
      <c r="AE96" s="144">
        <f t="shared" si="27"/>
        <v>9.112497041893088E-4</v>
      </c>
      <c r="AF96" s="145">
        <f t="shared" si="28"/>
        <v>-3428.6307999999999</v>
      </c>
      <c r="AG96" s="143">
        <v>2398</v>
      </c>
      <c r="AH96" s="144">
        <f t="shared" si="29"/>
        <v>5.8941527991175559E-4</v>
      </c>
      <c r="AI96" s="145">
        <f t="shared" si="30"/>
        <v>-411.93000000000006</v>
      </c>
      <c r="AJ96" s="212">
        <f t="shared" si="31"/>
        <v>4.9381386906685892E-2</v>
      </c>
      <c r="AK96" s="213">
        <f t="shared" si="32"/>
        <v>0.14429582411725514</v>
      </c>
      <c r="AL96" s="214">
        <f t="shared" si="33"/>
        <v>-9.4914437210569247E-2</v>
      </c>
      <c r="AM96" s="215">
        <f t="shared" si="34"/>
        <v>0.11960099750623442</v>
      </c>
      <c r="AN96" s="214">
        <f t="shared" si="35"/>
        <v>-7.0219610599548524E-2</v>
      </c>
      <c r="AO96" s="11"/>
    </row>
    <row r="97" spans="1:41" x14ac:dyDescent="0.35">
      <c r="A97" s="65" t="s">
        <v>33</v>
      </c>
      <c r="B97" s="66"/>
      <c r="C97" s="11"/>
      <c r="D97" s="11"/>
      <c r="E97" s="11"/>
      <c r="F97" s="11"/>
      <c r="G97" s="11"/>
      <c r="H97" s="88" t="s">
        <v>79</v>
      </c>
      <c r="I97" s="136" t="str">
        <f>IF(_epmOfflineCondition_,"T3",_xll.EVPRO($B$1,$H97,"STYLE"))</f>
        <v>T3</v>
      </c>
      <c r="J97" s="136" t="str">
        <f>IF(_epmOfflineCondition_,"Y",_xll.EVPRO($B$1,$H97,"CALC"))</f>
        <v>Y</v>
      </c>
      <c r="K97" s="104"/>
      <c r="L97" s="59"/>
      <c r="M97" s="59"/>
      <c r="N97" s="106" t="str">
        <f>IF(_epmOfflineCondition_,"Total Operations Expense",IF(_xll.EVDES(H97,$B$1)="#NODATA","",_xll.EVDES(H97,$B$1)))</f>
        <v>Total Operations Expense</v>
      </c>
      <c r="O97" s="154">
        <v>79462.240000000005</v>
      </c>
      <c r="P97" s="154">
        <v>77657.91</v>
      </c>
      <c r="Q97" s="154">
        <v>103285.3</v>
      </c>
      <c r="R97" s="154">
        <v>110430.03</v>
      </c>
      <c r="S97" s="154">
        <v>105529.37</v>
      </c>
      <c r="T97" s="154">
        <v>121985.58</v>
      </c>
      <c r="U97" s="154">
        <v>127026.76</v>
      </c>
      <c r="V97" s="154">
        <v>79955.289999999994</v>
      </c>
      <c r="W97" s="154">
        <v>75075.210000000006</v>
      </c>
      <c r="X97" s="154">
        <v>77420.52</v>
      </c>
      <c r="Y97" s="154">
        <v>84725.53</v>
      </c>
      <c r="Z97" s="154">
        <v>121979.36</v>
      </c>
      <c r="AA97" s="154">
        <f t="shared" si="25"/>
        <v>1164533.1000000001</v>
      </c>
      <c r="AB97" s="155">
        <f t="shared" si="26"/>
        <v>0.12402827368491488</v>
      </c>
      <c r="AC97" s="140"/>
      <c r="AD97" s="154">
        <v>806275.51253816497</v>
      </c>
      <c r="AE97" s="155">
        <f t="shared" si="27"/>
        <v>0.13568955135904945</v>
      </c>
      <c r="AF97" s="156">
        <f t="shared" si="28"/>
        <v>358257.58746183512</v>
      </c>
      <c r="AG97" s="154">
        <v>450235.44</v>
      </c>
      <c r="AH97" s="155">
        <f t="shared" si="29"/>
        <v>0.1106654077955765</v>
      </c>
      <c r="AI97" s="156">
        <f t="shared" si="30"/>
        <v>714297.66000000015</v>
      </c>
      <c r="AJ97" s="246">
        <f t="shared" si="31"/>
        <v>28.954799970163357</v>
      </c>
      <c r="AK97" s="247">
        <f t="shared" si="32"/>
        <v>21.486356096953099</v>
      </c>
      <c r="AL97" s="248">
        <f t="shared" si="33"/>
        <v>7.4684438732102585</v>
      </c>
      <c r="AM97" s="249">
        <f t="shared" si="34"/>
        <v>22.455632917705735</v>
      </c>
      <c r="AN97" s="248">
        <f t="shared" si="35"/>
        <v>6.4991670524576222</v>
      </c>
      <c r="AO97" s="11"/>
    </row>
    <row r="98" spans="1:41" x14ac:dyDescent="0.35">
      <c r="A98" s="65" t="s">
        <v>34</v>
      </c>
      <c r="B98" s="66"/>
      <c r="C98" s="11"/>
      <c r="D98" s="11"/>
      <c r="E98" s="11"/>
      <c r="F98" s="11"/>
      <c r="G98" s="11"/>
      <c r="H98" s="11"/>
      <c r="I98" s="59"/>
      <c r="J98" s="59"/>
      <c r="K98" s="11"/>
      <c r="L98" s="59"/>
      <c r="M98" s="59"/>
      <c r="N98" s="11"/>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1"/>
    </row>
    <row r="99" spans="1:41" x14ac:dyDescent="0.35">
      <c r="A99" s="65" t="s">
        <v>35</v>
      </c>
      <c r="B99" s="66"/>
      <c r="C99" s="11"/>
      <c r="D99" s="11"/>
      <c r="E99" s="11"/>
      <c r="F99" s="11"/>
      <c r="G99" s="11"/>
      <c r="H99" s="88" t="s">
        <v>80</v>
      </c>
      <c r="I99" s="136" t="str">
        <f>IF(_epmOfflineCondition_,"T3",_xll.EVPRO($B$1,$H99,"STYLE"))</f>
        <v>T3</v>
      </c>
      <c r="J99" s="136" t="str">
        <f>IF(_epmOfflineCondition_,"Y",_xll.EVPRO($B$1,$H99,"CALC"))</f>
        <v>Y</v>
      </c>
      <c r="K99" s="106"/>
      <c r="L99" s="59"/>
      <c r="M99" s="90"/>
      <c r="N99" s="106" t="str">
        <f>IF(_epmOfflineCondition_,"Total Expenses",IF(_xll.EVDES(H99,$B$1)="#NODATA","",_xll.EVDES(H99,$B$1)))</f>
        <v>Total Expenses</v>
      </c>
      <c r="O99" s="238">
        <v>153856.82</v>
      </c>
      <c r="P99" s="238">
        <v>149676.49</v>
      </c>
      <c r="Q99" s="238">
        <v>224862.81</v>
      </c>
      <c r="R99" s="238">
        <v>196765.79</v>
      </c>
      <c r="S99" s="238">
        <v>219565.3</v>
      </c>
      <c r="T99" s="238">
        <v>231516.48</v>
      </c>
      <c r="U99" s="238">
        <v>258313.69</v>
      </c>
      <c r="V99" s="238">
        <v>214232.45</v>
      </c>
      <c r="W99" s="238">
        <v>156923.23000000001</v>
      </c>
      <c r="X99" s="238">
        <v>192234.93</v>
      </c>
      <c r="Y99" s="238">
        <v>229058.57</v>
      </c>
      <c r="Z99" s="238">
        <v>262775.40000000002</v>
      </c>
      <c r="AA99" s="238">
        <f>IF($I99="B1","",SUM(O99:Z99))</f>
        <v>2489781.9599999995</v>
      </c>
      <c r="AB99" s="239">
        <f>IF(AA99=0,"",IFERROR(AA99/AA$19,""))</f>
        <v>0.26517353465577209</v>
      </c>
      <c r="AC99" s="140"/>
      <c r="AD99" s="238">
        <v>1854541.8046917301</v>
      </c>
      <c r="AE99" s="239">
        <f>IF(AD99=0,"",IFERROR(AD99/AD$19,""))</f>
        <v>0.31210416481960479</v>
      </c>
      <c r="AF99" s="254">
        <f>IF(AND($AA99="",AD99=""),"",$AA99-AD99)</f>
        <v>635240.15530826943</v>
      </c>
      <c r="AG99" s="255">
        <v>1039824.8</v>
      </c>
      <c r="AH99" s="256">
        <f>IF(AG99=0,"",IFERROR(AG99/AG$19,""))</f>
        <v>0.25558324668523158</v>
      </c>
      <c r="AI99" s="254">
        <f>IF(AND($AA99="",AG99=""),"",$AA99-AG99)</f>
        <v>1449957.1599999995</v>
      </c>
      <c r="AJ99" s="229">
        <f>IFERROR(AA99/AA$20,0)</f>
        <v>61.905615753748215</v>
      </c>
      <c r="AK99" s="230">
        <f>IFERROR(AD99/AD$20,0)</f>
        <v>49.421500458140706</v>
      </c>
      <c r="AL99" s="231">
        <f>AJ99-AK99</f>
        <v>12.484115295607509</v>
      </c>
      <c r="AM99" s="232">
        <f>IFERROR(AG99/AG$20,0)</f>
        <v>51.861586034912719</v>
      </c>
      <c r="AN99" s="231">
        <f>AJ99-AM99</f>
        <v>10.044029718835496</v>
      </c>
      <c r="AO99" s="11"/>
    </row>
    <row r="100" spans="1:41" ht="15" thickBot="1" x14ac:dyDescent="0.4">
      <c r="A100" s="65" t="s">
        <v>36</v>
      </c>
      <c r="B100" s="66"/>
      <c r="C100" s="11"/>
      <c r="D100" s="11"/>
      <c r="E100" s="11"/>
      <c r="F100" s="11"/>
      <c r="G100" s="11"/>
      <c r="H100" s="88" t="s">
        <v>81</v>
      </c>
      <c r="I100" s="136" t="str">
        <f>IF(_epmOfflineCondition_,"T3",_xll.EVPRO($B$1,$H100,"STYLE"))</f>
        <v>T3</v>
      </c>
      <c r="J100" s="136" t="str">
        <f>IF(_epmOfflineCondition_,"Y",_xll.EVPRO($B$1,$H100,"CALC"))</f>
        <v>Y</v>
      </c>
      <c r="K100" s="106"/>
      <c r="L100" s="59"/>
      <c r="M100" s="90"/>
      <c r="N100" s="106" t="str">
        <f>IF(_epmOfflineCondition_,"Department Profit (Loss)",IF(_xll.EVDES(H100,$B$1)="#NODATA","",_xll.EVDES(H100,$B$1)))</f>
        <v>Department Profit (Loss)</v>
      </c>
      <c r="O100" s="169">
        <v>431865.59999999998</v>
      </c>
      <c r="P100" s="169">
        <v>536211.74</v>
      </c>
      <c r="Q100" s="169">
        <v>641622</v>
      </c>
      <c r="R100" s="169">
        <v>661860.4</v>
      </c>
      <c r="S100" s="169">
        <v>797972.24</v>
      </c>
      <c r="T100" s="169">
        <v>602447.26</v>
      </c>
      <c r="U100" s="169">
        <v>692448.08</v>
      </c>
      <c r="V100" s="169">
        <v>322856.56</v>
      </c>
      <c r="W100" s="169">
        <v>271430.7</v>
      </c>
      <c r="X100" s="169">
        <v>363619.02</v>
      </c>
      <c r="Y100" s="169">
        <v>548923.84</v>
      </c>
      <c r="Z100" s="169">
        <v>1028215.69</v>
      </c>
      <c r="AA100" s="169">
        <f>IF($I100="B1","",SUM(O100:Z100))</f>
        <v>6899473.129999999</v>
      </c>
      <c r="AB100" s="170">
        <f>IF(AA100=0,"",IFERROR(AA100/AA$19,""))</f>
        <v>0.7348264653442278</v>
      </c>
      <c r="AC100" s="140"/>
      <c r="AD100" s="169">
        <v>4087518.6153082699</v>
      </c>
      <c r="AE100" s="170">
        <f>IF(AD100=0,"",IFERROR(AD100/AD$19,""))</f>
        <v>0.68789583518039521</v>
      </c>
      <c r="AF100" s="171">
        <f>IF(AND($AA100="",AD100=""),"",$AA100-AD100)</f>
        <v>2811954.5146917291</v>
      </c>
      <c r="AG100" s="169">
        <v>3028614.01000001</v>
      </c>
      <c r="AH100" s="170">
        <f>IF(AG100=0,"",IFERROR(AG100/AG$19,""))</f>
        <v>0.74441675331477086</v>
      </c>
      <c r="AI100" s="171">
        <f>IF(AND($AA100="",AG100=""),"",$AA100-AG100)</f>
        <v>3870859.1199999889</v>
      </c>
      <c r="AJ100" s="257">
        <f>IFERROR(AA100/AA$20,0)</f>
        <v>171.54760511201172</v>
      </c>
      <c r="AK100" s="258">
        <f>IFERROR(AD100/AD$20,0)</f>
        <v>108.92787782300519</v>
      </c>
      <c r="AL100" s="259">
        <f>AJ100-AK100</f>
        <v>62.619727289006534</v>
      </c>
      <c r="AM100" s="260">
        <f>IFERROR(AG100/AG$20,0)</f>
        <v>151.05306783042445</v>
      </c>
      <c r="AN100" s="259">
        <f>AJ100-AM100</f>
        <v>20.49453728158727</v>
      </c>
      <c r="AO100" s="11"/>
    </row>
    <row r="101" spans="1:41" ht="15" thickTop="1" x14ac:dyDescent="0.35">
      <c r="A101" s="65" t="s">
        <v>37</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5" t="s">
        <v>38</v>
      </c>
      <c r="B102" s="66"/>
      <c r="C102" s="11"/>
      <c r="D102" s="11"/>
      <c r="E102" s="11"/>
      <c r="F102" s="11"/>
      <c r="G102" s="11"/>
      <c r="H102" s="11"/>
      <c r="I102" s="59"/>
      <c r="J102" s="59"/>
      <c r="K102" s="11"/>
      <c r="L102" s="59"/>
      <c r="M102" s="59"/>
      <c r="N102" s="104" t="str">
        <f>N99&amp;" - Check"</f>
        <v>Total Expenses - Check</v>
      </c>
      <c r="O102" s="209">
        <f t="shared" ref="O102:AA102" si="36">SUMIF($H$35:$H$100,"600000",O$35:O$100)+SUMIF($H$35:$H$100,"700000",O$35:O$100)-SUMIF($H$35:$H$100,"TOTDEPTEXP",O$35:O$100)</f>
        <v>0</v>
      </c>
      <c r="P102" s="209">
        <f t="shared" si="36"/>
        <v>0</v>
      </c>
      <c r="Q102" s="209">
        <f t="shared" si="36"/>
        <v>0</v>
      </c>
      <c r="R102" s="209">
        <f t="shared" si="36"/>
        <v>0</v>
      </c>
      <c r="S102" s="209">
        <f t="shared" si="36"/>
        <v>0</v>
      </c>
      <c r="T102" s="209">
        <f t="shared" si="36"/>
        <v>0</v>
      </c>
      <c r="U102" s="209">
        <f t="shared" si="36"/>
        <v>0</v>
      </c>
      <c r="V102" s="209">
        <f t="shared" si="36"/>
        <v>0</v>
      </c>
      <c r="W102" s="209">
        <f t="shared" si="36"/>
        <v>0</v>
      </c>
      <c r="X102" s="209">
        <f t="shared" si="36"/>
        <v>0</v>
      </c>
      <c r="Y102" s="209">
        <f t="shared" si="36"/>
        <v>0</v>
      </c>
      <c r="Z102" s="209">
        <f t="shared" si="36"/>
        <v>0</v>
      </c>
      <c r="AA102" s="209">
        <f t="shared" si="36"/>
        <v>0</v>
      </c>
      <c r="AB102" s="100"/>
      <c r="AC102" s="11"/>
      <c r="AD102" s="209">
        <f>SUMIF($H$35:$H$100,"600000",AD$35:AD$100)+SUMIF($H$35:$H$100,"700000",AD$35:AD$100)-SUMIF($H$35:$H$100,"TOTDEPTEXP",AD$35:AD$100)</f>
        <v>4.8894435167312622E-9</v>
      </c>
      <c r="AE102" s="100"/>
      <c r="AF102" s="91"/>
      <c r="AG102" s="209">
        <f>SUMIF($H$35:$H$100,"600000",AG$35:AG$100)+SUMIF($H$35:$H$100,"700000",AG$35:AG$100)-SUMIF($H$35:$H$100,"TOTDEPTEXP",AG$35:AG$100)</f>
        <v>0</v>
      </c>
      <c r="AH102" s="100"/>
      <c r="AI102" s="91"/>
      <c r="AJ102" s="11"/>
      <c r="AK102" s="11"/>
      <c r="AL102" s="11"/>
      <c r="AM102" s="11"/>
      <c r="AN102" s="11"/>
      <c r="AO102" s="11"/>
    </row>
    <row r="103" spans="1:41" x14ac:dyDescent="0.35">
      <c r="A103" s="65" t="s">
        <v>39</v>
      </c>
      <c r="B103" s="66"/>
      <c r="C103" s="11"/>
      <c r="D103" s="11"/>
      <c r="E103" s="11"/>
      <c r="F103" s="11"/>
      <c r="G103" s="11"/>
      <c r="H103" s="11"/>
      <c r="I103" s="59"/>
      <c r="J103" s="59"/>
      <c r="K103" s="11"/>
      <c r="L103" s="59"/>
      <c r="M103" s="59"/>
      <c r="N103" s="104" t="str">
        <f>N100&amp;" - Check"</f>
        <v>Department Profit (Loss) - Check</v>
      </c>
      <c r="O103" s="209">
        <f t="shared" ref="O103:AA103" si="37">SUMIF($H$35:$H$100,"ROOMS_TOT",O$35:O$100)-SUMIF($H$35:$H$100,"TOTDEPTEXP",O$35:O$100)-SUMIF($H$35:$H$100,"TOTDEPTPL",O$35:O$100)</f>
        <v>0</v>
      </c>
      <c r="P103" s="209">
        <f t="shared" si="37"/>
        <v>0</v>
      </c>
      <c r="Q103" s="209">
        <f t="shared" si="37"/>
        <v>0</v>
      </c>
      <c r="R103" s="209">
        <f t="shared" si="37"/>
        <v>0</v>
      </c>
      <c r="S103" s="209">
        <f t="shared" si="37"/>
        <v>0</v>
      </c>
      <c r="T103" s="209">
        <f t="shared" si="37"/>
        <v>0</v>
      </c>
      <c r="U103" s="209">
        <f t="shared" si="37"/>
        <v>0</v>
      </c>
      <c r="V103" s="209">
        <f t="shared" si="37"/>
        <v>0</v>
      </c>
      <c r="W103" s="209">
        <f t="shared" si="37"/>
        <v>0</v>
      </c>
      <c r="X103" s="209">
        <f t="shared" si="37"/>
        <v>0</v>
      </c>
      <c r="Y103" s="209">
        <f t="shared" si="37"/>
        <v>0</v>
      </c>
      <c r="Z103" s="209">
        <f t="shared" si="37"/>
        <v>0</v>
      </c>
      <c r="AA103" s="209">
        <f t="shared" si="37"/>
        <v>0</v>
      </c>
      <c r="AB103" s="100"/>
      <c r="AC103" s="11"/>
      <c r="AD103" s="209">
        <f>SUMIF($H$35:$H$100,"ROOMS_TOT",AD$35:AD$100)-SUMIF($H$35:$H$100,"TOTDEPTEXP",AD$35:AD$100)-SUMIF($H$35:$H$100,"TOTDEPTPL",AD$35:AD$100)</f>
        <v>0</v>
      </c>
      <c r="AE103" s="100"/>
      <c r="AF103" s="91"/>
      <c r="AG103" s="209">
        <f>SUMIF($H$35:$H$100,"ROOMS_TOT",AG$35:AG$100)-SUMIF($H$35:$H$100,"TOTDEPTEXP",AG$35:AG$100)-SUMIF($H$35:$H$100,"TOTDEPTPL",AG$35:AG$100)</f>
        <v>-1.0244548320770264E-8</v>
      </c>
      <c r="AH103" s="100"/>
      <c r="AI103" s="91"/>
      <c r="AJ103" s="11"/>
      <c r="AK103" s="11"/>
      <c r="AL103" s="11"/>
      <c r="AM103" s="11"/>
      <c r="AN103" s="11"/>
      <c r="AO103" s="11"/>
    </row>
    <row r="104" spans="1:41" x14ac:dyDescent="0.35">
      <c r="A104" s="65" t="s">
        <v>40</v>
      </c>
      <c r="B104" s="66"/>
      <c r="C104" s="11"/>
      <c r="D104" s="11"/>
      <c r="E104" s="11"/>
      <c r="F104" s="11"/>
      <c r="G104" s="11"/>
      <c r="H104" s="11"/>
      <c r="I104" s="59"/>
      <c r="J104" s="59"/>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41</v>
      </c>
      <c r="B105" s="66"/>
      <c r="C105" s="11"/>
      <c r="D105" s="11"/>
      <c r="E105" s="11"/>
      <c r="F105" s="11"/>
      <c r="G105" s="11"/>
      <c r="H105" s="11"/>
      <c r="I105" s="59"/>
      <c r="J105" s="59"/>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42</v>
      </c>
      <c r="B106" s="66"/>
      <c r="C106" s="11"/>
      <c r="D106" s="11"/>
      <c r="E106" s="11"/>
      <c r="F106" s="11"/>
      <c r="G106" s="11"/>
      <c r="H106" s="11"/>
      <c r="I106" s="59"/>
      <c r="J106" s="59"/>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43</v>
      </c>
      <c r="B107" s="66"/>
      <c r="C107" s="11"/>
      <c r="D107" s="11"/>
      <c r="E107" s="11"/>
      <c r="F107" s="11"/>
      <c r="G107" s="11"/>
      <c r="H107" s="11"/>
      <c r="I107" s="59"/>
      <c r="J107" s="59"/>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44</v>
      </c>
      <c r="B108" s="66"/>
      <c r="C108" s="11"/>
      <c r="D108" s="11"/>
      <c r="E108" s="11"/>
      <c r="F108" s="11"/>
      <c r="G108" s="11"/>
      <c r="H108" s="11"/>
      <c r="I108" s="59"/>
      <c r="J108" s="59"/>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45</v>
      </c>
      <c r="B109" s="66"/>
      <c r="C109" s="11"/>
      <c r="D109" s="11"/>
      <c r="E109" s="11"/>
      <c r="F109" s="11"/>
      <c r="G109" s="11"/>
      <c r="H109" s="11"/>
      <c r="I109" s="59"/>
      <c r="J109" s="59"/>
      <c r="K109" s="11"/>
      <c r="L109" s="59"/>
      <c r="M109" s="59"/>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46</v>
      </c>
      <c r="B110" s="66"/>
      <c r="C110" s="11"/>
      <c r="D110" s="11"/>
      <c r="E110" s="11"/>
      <c r="F110" s="11"/>
      <c r="G110" s="11"/>
      <c r="H110" s="59"/>
      <c r="I110" s="59"/>
      <c r="J110" s="11"/>
      <c r="K110" s="11"/>
      <c r="L110" s="59"/>
      <c r="M110" s="59"/>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59"/>
      <c r="I111" s="59"/>
      <c r="J111" s="11"/>
      <c r="K111" s="11"/>
      <c r="L111" s="59"/>
      <c r="M111" s="59"/>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59"/>
      <c r="M112" s="59"/>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59"/>
      <c r="I113" s="59"/>
      <c r="J113" s="11"/>
      <c r="K113" s="11"/>
      <c r="L113" s="59"/>
      <c r="M113" s="59"/>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59"/>
      <c r="I114" s="59"/>
      <c r="J114" s="11"/>
      <c r="K114" s="11"/>
      <c r="L114" s="59"/>
      <c r="M114" s="59"/>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11"/>
      <c r="B115" s="11"/>
      <c r="C115" s="11"/>
      <c r="D115" s="11"/>
      <c r="E115" s="11"/>
      <c r="F115" s="11"/>
      <c r="G115" s="11"/>
      <c r="H115" s="59"/>
      <c r="I115" s="59"/>
      <c r="J115" s="11"/>
      <c r="K115" s="11"/>
      <c r="L115" s="59"/>
      <c r="M115" s="59"/>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11"/>
      <c r="B116" s="11"/>
      <c r="C116" s="11"/>
      <c r="D116" s="11"/>
      <c r="E116" s="11"/>
      <c r="F116" s="11"/>
      <c r="G116" s="11"/>
      <c r="H116" s="59"/>
      <c r="I116" s="59"/>
      <c r="J116" s="11"/>
      <c r="K116" s="11"/>
      <c r="L116" s="59"/>
      <c r="M116" s="59"/>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11"/>
      <c r="B117" s="11"/>
      <c r="C117" s="11"/>
      <c r="D117" s="11"/>
      <c r="E117" s="11"/>
      <c r="F117" s="11"/>
      <c r="G117" s="11"/>
      <c r="H117" s="59"/>
      <c r="I117" s="59"/>
      <c r="J117" s="11"/>
      <c r="K117" s="11"/>
      <c r="L117" s="59"/>
      <c r="M117" s="59"/>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11"/>
      <c r="B118" s="11"/>
      <c r="C118" s="11"/>
      <c r="D118" s="11"/>
      <c r="E118" s="11"/>
      <c r="F118" s="11"/>
      <c r="G118" s="11"/>
      <c r="H118" s="59"/>
      <c r="I118" s="59"/>
      <c r="J118" s="11"/>
      <c r="K118" s="11"/>
      <c r="L118" s="59"/>
      <c r="M118" s="59"/>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11"/>
      <c r="B119" s="11"/>
      <c r="C119" s="11"/>
      <c r="D119" s="11"/>
      <c r="E119" s="11"/>
      <c r="F119" s="11"/>
      <c r="G119" s="11"/>
      <c r="H119" s="59"/>
      <c r="I119" s="59"/>
      <c r="J119" s="11"/>
      <c r="K119" s="11"/>
      <c r="L119" s="59"/>
      <c r="M119" s="59"/>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59"/>
      <c r="I120" s="59"/>
      <c r="J120" s="11"/>
      <c r="K120" s="11"/>
      <c r="L120" s="59"/>
      <c r="M120" s="59"/>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11"/>
      <c r="F121" s="11"/>
      <c r="G121" s="11"/>
      <c r="H121" s="59"/>
      <c r="I121" s="59"/>
      <c r="J121" s="11"/>
      <c r="K121" s="11"/>
      <c r="L121" s="59"/>
      <c r="M121" s="59"/>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59"/>
      <c r="M122" s="59"/>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59"/>
      <c r="M123" s="59"/>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11"/>
      <c r="B124" s="11"/>
      <c r="C124" s="11"/>
      <c r="D124" s="11"/>
      <c r="E124" s="11"/>
      <c r="F124" s="11"/>
      <c r="G124" s="11"/>
      <c r="H124" s="59"/>
      <c r="I124" s="59"/>
      <c r="J124" s="11"/>
      <c r="K124" s="11"/>
      <c r="L124" s="59"/>
      <c r="M124" s="59"/>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11"/>
      <c r="B125" s="11"/>
      <c r="C125" s="11"/>
      <c r="D125" s="11"/>
      <c r="E125" s="11"/>
      <c r="F125" s="11"/>
      <c r="G125" s="11"/>
      <c r="H125" s="59"/>
      <c r="I125" s="59"/>
      <c r="J125" s="11"/>
      <c r="K125" s="11"/>
      <c r="L125" s="59"/>
      <c r="M125" s="59"/>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11"/>
      <c r="B126" s="11"/>
      <c r="C126" s="11"/>
      <c r="D126" s="11"/>
      <c r="E126" s="11"/>
      <c r="F126" s="11"/>
      <c r="G126" s="11"/>
      <c r="H126" s="59"/>
      <c r="I126" s="59"/>
      <c r="J126" s="11"/>
      <c r="K126" s="11"/>
      <c r="L126" s="59"/>
      <c r="M126" s="59"/>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11"/>
      <c r="B127" s="11"/>
      <c r="C127" s="11"/>
      <c r="D127" s="11"/>
      <c r="E127" s="11"/>
      <c r="F127" s="11"/>
      <c r="G127" s="11"/>
      <c r="H127" s="59"/>
      <c r="I127" s="59"/>
      <c r="J127" s="11"/>
      <c r="K127" s="11"/>
      <c r="L127" s="59"/>
      <c r="M127" s="59"/>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11"/>
      <c r="B128" s="11"/>
      <c r="C128" s="11"/>
      <c r="D128" s="11"/>
      <c r="E128" s="11"/>
      <c r="F128" s="11"/>
      <c r="G128" s="11"/>
      <c r="H128" s="59"/>
      <c r="I128" s="59"/>
      <c r="J128" s="11"/>
      <c r="K128" s="11"/>
      <c r="L128" s="59"/>
      <c r="M128" s="59"/>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11"/>
      <c r="B129" s="11"/>
      <c r="C129" s="11"/>
      <c r="D129" s="11"/>
      <c r="E129" s="11"/>
      <c r="F129" s="11"/>
      <c r="G129" s="11"/>
      <c r="H129" s="59"/>
      <c r="I129" s="59"/>
      <c r="J129" s="11"/>
      <c r="K129" s="11"/>
      <c r="L129" s="59"/>
      <c r="M129" s="59"/>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11"/>
      <c r="B130" s="11"/>
      <c r="C130" s="11"/>
      <c r="D130" s="11"/>
      <c r="E130" s="11"/>
      <c r="F130" s="11"/>
      <c r="G130" s="11"/>
      <c r="H130" s="59"/>
      <c r="I130" s="59"/>
      <c r="J130" s="11"/>
      <c r="K130" s="11"/>
      <c r="L130" s="59"/>
      <c r="M130" s="59"/>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11"/>
      <c r="B131" s="11"/>
      <c r="C131" s="11"/>
      <c r="D131" s="11"/>
      <c r="E131" s="11"/>
      <c r="F131" s="11"/>
      <c r="G131" s="11"/>
      <c r="H131" s="59"/>
      <c r="I131" s="59"/>
      <c r="J131" s="11"/>
      <c r="K131" s="11"/>
      <c r="L131" s="59"/>
      <c r="M131" s="59"/>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11"/>
      <c r="B132" s="11"/>
      <c r="C132" s="11"/>
      <c r="D132" s="11"/>
      <c r="E132" s="11"/>
      <c r="F132" s="11"/>
      <c r="G132" s="11"/>
      <c r="H132" s="59"/>
      <c r="I132" s="59"/>
      <c r="J132" s="11"/>
      <c r="K132" s="11"/>
      <c r="L132" s="59"/>
      <c r="M132" s="59"/>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sheetData>
  <sheetProtection algorithmName="SHA-512" hashValue="ifD0kOLzdPB6pgv67rtonL9sGlke7fPISWLpaEE6eXEHgWwtkeeVhuLKwgg84xMz4nyaZ5nwAdo2P/wGF/dj5g==" saltValue="cu0OJldrCemvLPXVNqCw2g==" spinCount="100000" sheet="1" scenarios="1"/>
  <mergeCells count="2">
    <mergeCell ref="AD31:AE31"/>
    <mergeCell ref="AG31:AH31"/>
  </mergeCells>
  <dataValidations disablePrompts="1" count="2">
    <dataValidation type="list" allowBlank="1" sqref="B29 B59" xr:uid="{00000000-0002-0000-0200-000000000000}">
      <formula1>"SELF,ALL,BAS,DEP,BASMEMBERS,MEMBERS,NOEXPAND,GDEP"</formula1>
    </dataValidation>
    <dataValidation type="list" allowBlank="1" sqref="B28 B58" xr:uid="{00000000-0002-0000-0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102"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4102" r:id="rId7"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1" hidden="1" customWidth="1" outlineLevel="1" collapsed="1"/>
    <col min="13" max="13" width="9.7265625" style="1" hidden="1" customWidth="1" outlineLevel="1"/>
    <col min="14" max="14" width="35.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60</v>
      </c>
      <c r="C6" s="11" t="str">
        <f>IF(_epmOfflineCondition_,"Rooms",_xll.EVDES(B6,$B$1))</f>
        <v>Rooms</v>
      </c>
      <c r="D6" s="11"/>
      <c r="E6" s="58" t="str">
        <f>IF(_epmOfflineCondition_,"D_ROOMS",_xll.EVPRO($B$1,$B$6,$F$6))</f>
        <v>D_ROOMS</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53" t="s">
        <v>361</v>
      </c>
      <c r="C14" s="26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IF(_epmOfflineCondition_,"'MMA'!$B$2:$B$10",_xll.EVRNG($B$2:$B$10))</f>
        <v>'MMA'!$B$2:$B$10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IF(_epmOfflineCondition_,"'MMA'!$O$16:$AI$18",_xll.EVRNG(O16:AI18))</f>
        <v>'MMA'!$O$16:$AI$18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IF(SetUp!$O$1=TRUE,"TRAILING12",IF(AA17="CURRENT","ROLLINGFORECAST","PERIODIC"))</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IF(_epmOfflineCondition_,"'MMA'!$H$34:$H$69,'MMA'!$H$72:$H$116,'MMA'!$H$119:$H$152",_xll.EVRNG(H34:H69,H72:H116,H119:H152))</f>
        <v>'MMA'!$H$34:$H$69,'MMA'!$H$72:$H$116,'MMA'!$H$119:$H$152</v>
      </c>
      <c r="C19" s="11"/>
      <c r="D19" s="11"/>
      <c r="E19" s="11"/>
      <c r="F19" s="11"/>
      <c r="G19" s="67" t="str">
        <f>$B$6</f>
        <v>D_ROOMS_CON</v>
      </c>
      <c r="H19" s="67">
        <v>400000</v>
      </c>
      <c r="I19" s="68"/>
      <c r="J19" s="68"/>
      <c r="K19" s="67"/>
      <c r="L19" s="67"/>
      <c r="M19" s="67"/>
      <c r="N19" s="67" t="str">
        <f>IF(_epmOfflineCondition_,"Total Revenue",_xll.EVDES(H19))</f>
        <v>Total Revenue</v>
      </c>
      <c r="O19" s="69">
        <f>IF(_epmOfflineCondition_,585722.42,_xll.EVGTS($B$1,1,$B$3,$B$5,$B$7,$B$9,O$16,O$17,O$18,$G$19,$H$19))</f>
        <v>585722.42000000004</v>
      </c>
      <c r="P19" s="69">
        <f>IF(_epmOfflineCondition_,685888.23,_xll.EVGTS($B$1,1,$B$3,$B$5,$B$7,$B$9,P$16,P$17,P$18,$G$19,$H$19))</f>
        <v>685888.23</v>
      </c>
      <c r="Q19" s="69">
        <f>IF(_epmOfflineCondition_,866484.81,_xll.EVGTS($B$1,1,$B$3,$B$5,$B$7,$B$9,Q$16,Q$17,Q$18,$G$19,$H$19))</f>
        <v>866484.81</v>
      </c>
      <c r="R19" s="69">
        <f>IF(_epmOfflineCondition_,858626.19,_xll.EVGTS($B$1,1,$B$3,$B$5,$B$7,$B$9,R$16,R$17,R$18,$G$19,$H$19))</f>
        <v>858626.19</v>
      </c>
      <c r="S19" s="69">
        <f>IF(_epmOfflineCondition_,1017537.54,_xll.EVGTS($B$1,1,$B$3,$B$5,$B$7,$B$9,S$16,S$17,S$18,$G$19,$H$19))</f>
        <v>1017537.54</v>
      </c>
      <c r="T19" s="69">
        <f>IF(_epmOfflineCondition_,833963.74,_xll.EVGTS($B$1,1,$B$3,$B$5,$B$7,$B$9,T$16,T$17,T$18,$G$19,$H$19))</f>
        <v>833963.74</v>
      </c>
      <c r="U19" s="69">
        <f>IF(_epmOfflineCondition_,950761.77,_xll.EVGTS($B$1,1,$B$3,$B$5,$B$7,$B$9,U$16,U$17,U$18,$G$19,$H$19))</f>
        <v>950761.77</v>
      </c>
      <c r="V19" s="69">
        <f>IF(_epmOfflineCondition_,537089.01,_xll.EVGTS($B$1,1,$B$3,$B$5,$B$7,$B$9,V$16,V$17,V$18,$G$19,$H$19))</f>
        <v>537089.01</v>
      </c>
      <c r="W19" s="69">
        <f>IF(_epmOfflineCondition_,428353.93,_xll.EVGTS($B$1,1,$B$3,$B$5,$B$7,$B$9,W$16,W$17,W$18,$G$19,$H$19))</f>
        <v>428353.93</v>
      </c>
      <c r="X19" s="69">
        <f>IF(_epmOfflineCondition_,555853.95,_xll.EVGTS($B$1,1,$B$3,$B$5,$B$7,$B$9,X$16,X$17,X$18,$G$19,$H$19))</f>
        <v>555853.94999999995</v>
      </c>
      <c r="Y19" s="69">
        <f>IF(_epmOfflineCondition_,777982.41,_xll.EVGTS($B$1,1,$B$3,$B$5,$B$7,$B$9,Y$16,Y$17,Y$18,$G$19,$H$19))</f>
        <v>777982.41</v>
      </c>
      <c r="Z19" s="69">
        <f>IF(_epmOfflineCondition_,1290991.09,_xll.EVGTS($B$1,1,$B$3,$B$5,$B$7,$B$9,Z$16,Z$17,Z$18,$G$19,$H$19))</f>
        <v>1290991.0900000001</v>
      </c>
      <c r="AA19" s="69">
        <f>SUM(O19:Z19)</f>
        <v>9389255.0899999999</v>
      </c>
      <c r="AB19" s="67"/>
      <c r="AC19" s="67"/>
      <c r="AD19" s="69">
        <f>IF(_epmOfflineCondition_,5942060.42,_xll.EVGTS($B$1,1,$B$3,$B$5,$B$7,$B$9,AD$16,AD$17,AD$18,$G$19,$H$19))</f>
        <v>5942060.4199999999</v>
      </c>
      <c r="AE19" s="67"/>
      <c r="AF19" s="67"/>
      <c r="AG19" s="69">
        <f>IF(_epmOfflineCondition_,4068438.81,_xll.EVGTS($B$1,1,$B$3,$B$5,$B$7,$B$9,AG$16,AG$17,AG$18,$G$19,$H$19))</f>
        <v>4068438.81</v>
      </c>
      <c r="AH19" s="67"/>
      <c r="AI19" s="67"/>
    </row>
    <row r="20" spans="1:35" hidden="1" outlineLevel="1" x14ac:dyDescent="0.35">
      <c r="A20" s="65" t="s">
        <v>5</v>
      </c>
      <c r="B20" s="66"/>
      <c r="C20" s="11"/>
      <c r="D20" s="11"/>
      <c r="E20" s="11"/>
      <c r="F20" s="11"/>
      <c r="G20" s="67" t="str">
        <f>$B$6</f>
        <v>D_ROOMS_CON</v>
      </c>
      <c r="H20" s="67">
        <v>900200</v>
      </c>
      <c r="I20" s="68"/>
      <c r="J20" s="68"/>
      <c r="K20" s="67"/>
      <c r="L20" s="67"/>
      <c r="M20" s="67"/>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row>
    <row r="21" spans="1:35" hidden="1" outlineLevel="1" x14ac:dyDescent="0.35">
      <c r="A21" s="65" t="s">
        <v>6</v>
      </c>
      <c r="B21" s="66"/>
      <c r="C21" s="11"/>
      <c r="D21" s="11"/>
      <c r="E21" s="11"/>
      <c r="F21" s="11"/>
      <c r="G21" s="11"/>
      <c r="H21" s="11"/>
      <c r="I21" s="59"/>
      <c r="J21" s="59"/>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59"/>
      <c r="J22" s="59"/>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IF(_epmOfflineCondition_,"'MMA'!$A$28:$B$49",_xll.EVRNG($A$28:$B$49))</f>
        <v>'MMA'!$A$28:$B$49</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11"/>
      <c r="B26" s="11"/>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2" t="s">
        <v>23</v>
      </c>
      <c r="B27" s="63" t="s">
        <v>24</v>
      </c>
      <c r="C27" s="11"/>
      <c r="D27" s="11"/>
      <c r="E27" s="11"/>
      <c r="F27" s="11"/>
      <c r="G27" s="11"/>
      <c r="H27" s="11"/>
      <c r="I27" s="59"/>
      <c r="J27" s="59"/>
      <c r="K27" s="11"/>
      <c r="L27" s="11"/>
      <c r="M27" s="11"/>
      <c r="N27" s="71" t="str">
        <f>IF(_epmOfflineCondition_,"Rooms Department",IF(_xll.EVDES(B6,$B$1)="#NODATA","",_xll.EVDES(B6,$B$1)&amp;" Department"))</f>
        <v>Rooms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25</v>
      </c>
      <c r="B28" s="66"/>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26</v>
      </c>
      <c r="B29" s="66"/>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row>
    <row r="30" spans="1:35" x14ac:dyDescent="0.35">
      <c r="A30" s="65" t="s">
        <v>27</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28</v>
      </c>
      <c r="B31" s="66"/>
      <c r="C31" s="11"/>
      <c r="D31" s="11"/>
      <c r="E31" s="11"/>
      <c r="F31" s="11"/>
      <c r="G31" s="76"/>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65" t="s">
        <v>29</v>
      </c>
      <c r="B32" s="66"/>
      <c r="C32" s="11"/>
      <c r="D32" s="11"/>
      <c r="E32" s="11"/>
      <c r="F32" s="11"/>
      <c r="G32" s="83"/>
      <c r="H32" s="84"/>
      <c r="I32" s="85"/>
      <c r="J32" s="85"/>
      <c r="K32" s="83"/>
      <c r="L32" s="83"/>
      <c r="M32" s="83"/>
      <c r="N32" s="262" t="s">
        <v>219</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11"/>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x14ac:dyDescent="0.35">
      <c r="A33" s="65" t="s">
        <v>30</v>
      </c>
      <c r="B33" s="66" t="s">
        <v>78</v>
      </c>
      <c r="C33" s="11"/>
      <c r="D33" s="11"/>
      <c r="E33" s="11"/>
      <c r="F33" s="11"/>
      <c r="G33" s="11"/>
      <c r="H33" s="11" t="s">
        <v>69</v>
      </c>
      <c r="I33" s="59" t="str">
        <f>IF(_epmOfflineCondition_,"B1",_xll.EVPRO($B$1,$H33,"STYLE"))</f>
        <v>B1</v>
      </c>
      <c r="J33" s="59" t="str">
        <f>IF(_epmOfflineCondition_,"Y",_xll.EVPRO($B$1,$H33,"CALC"))</f>
        <v>Y</v>
      </c>
      <c r="K33" s="11"/>
      <c r="L33" s="133" t="s">
        <v>364</v>
      </c>
      <c r="M33" s="133" t="s">
        <v>782</v>
      </c>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263"/>
      <c r="AG33" s="129"/>
      <c r="AH33" s="130"/>
      <c r="AI33" s="131"/>
    </row>
    <row r="34" spans="1:35" x14ac:dyDescent="0.35">
      <c r="A34" s="65" t="s">
        <v>31</v>
      </c>
      <c r="B34" s="66" t="s">
        <v>78</v>
      </c>
      <c r="C34" s="11"/>
      <c r="D34" s="11"/>
      <c r="E34" s="11"/>
      <c r="F34" s="11"/>
      <c r="G34" s="11"/>
      <c r="H34" s="88" t="s">
        <v>83</v>
      </c>
      <c r="I34" s="89" t="str">
        <f>IF(_epmOfflineCondition_,"T5",_xll.EVPRO($B$1,$H34,"STYLE"))</f>
        <v>T5</v>
      </c>
      <c r="J34" s="89" t="str">
        <f>IF(_epmOfflineCondition_,"Y",_xll.EVPRO($B$1,$H34,"CALC"))</f>
        <v>Y</v>
      </c>
      <c r="K34" s="107"/>
      <c r="L34" s="106" t="str">
        <f>IF(_epmOfflineCondition_,"",_xll.EVPRO($B$1,H34,"JDEID"))</f>
        <v/>
      </c>
      <c r="M34" s="90" t="str">
        <f>IF(_epmOfflineCondition_,"",IF(AND(I34="N",J34="N"),_xll.EVPRO($B$1,H34,"PSFTID"),""))</f>
        <v/>
      </c>
      <c r="N34" s="106" t="str">
        <f>IF(_epmOfflineCondition_,"Retail",IF(_xll.EVDES(H34,$B$1)="#NODATA","",_xll.EVDES(H34,$B$1)))</f>
        <v>Retail</v>
      </c>
      <c r="O34" s="269">
        <v>259494.97</v>
      </c>
      <c r="P34" s="270">
        <v>290297.21000000002</v>
      </c>
      <c r="Q34" s="270">
        <v>238787.45</v>
      </c>
      <c r="R34" s="270">
        <v>251902.89</v>
      </c>
      <c r="S34" s="270">
        <v>307471.24</v>
      </c>
      <c r="T34" s="270">
        <v>208254.17</v>
      </c>
      <c r="U34" s="270">
        <v>191732.26</v>
      </c>
      <c r="V34" s="270">
        <v>110116.72</v>
      </c>
      <c r="W34" s="270">
        <v>89391.03</v>
      </c>
      <c r="X34" s="270">
        <v>139754.88</v>
      </c>
      <c r="Y34" s="270">
        <v>186168.95999999999</v>
      </c>
      <c r="Z34" s="270">
        <v>342303.89</v>
      </c>
      <c r="AA34" s="270">
        <f t="shared" ref="AA34:AA52" si="0">SUM(O34:Z34)</f>
        <v>2615675.6700000004</v>
      </c>
      <c r="AB34" s="271">
        <f t="shared" ref="AB34:AB69" si="1">IF(AA34=0,"",IFERROR(AA34/AA$19,""))</f>
        <v>0.27858180919866782</v>
      </c>
      <c r="AC34" s="140"/>
      <c r="AD34" s="272">
        <v>2498308.77</v>
      </c>
      <c r="AE34" s="271">
        <f t="shared" ref="AE34:AE69" si="2">IF(AD34=0,"",IFERROR(AD34/AD$19,""))</f>
        <v>0.42044486144757176</v>
      </c>
      <c r="AF34" s="273">
        <f t="shared" ref="AF34:AF69" si="3">IF(AND($AA34="",AD34=""),"",$AA34-AD34)</f>
        <v>117366.90000000037</v>
      </c>
      <c r="AG34" s="273">
        <v>1307254.8700000001</v>
      </c>
      <c r="AH34" s="271">
        <f t="shared" ref="AH34:AH69" si="4">IF(AG34=0,"",IFERROR(AG34/AG$19,""))</f>
        <v>0.32131609471103245</v>
      </c>
      <c r="AI34" s="274">
        <f t="shared" ref="AI34:AI69" si="5">IF(AND($AA34="",AG34=""),"",$AA34-AG34)</f>
        <v>1308420.8000000003</v>
      </c>
    </row>
    <row r="35" spans="1:35" x14ac:dyDescent="0.35">
      <c r="A35" s="65" t="s">
        <v>32</v>
      </c>
      <c r="B35" s="66"/>
      <c r="C35" s="11"/>
      <c r="D35" s="11"/>
      <c r="E35" s="11"/>
      <c r="F35" s="11"/>
      <c r="G35" s="11"/>
      <c r="H35" s="88" t="s">
        <v>121</v>
      </c>
      <c r="I35" s="104" t="str">
        <f>IF(_epmOfflineCondition_,"T6",_xll.EVPRO($B$1,$H35,"STYLE"))</f>
        <v>T6</v>
      </c>
      <c r="J35" s="104" t="str">
        <f>IF(_epmOfflineCondition_,"Y",_xll.EVPRO($B$1,$H35,"CALC"))</f>
        <v>Y</v>
      </c>
      <c r="K35" s="104"/>
      <c r="L35" s="104" t="str">
        <f>IF(_epmOfflineCondition_,"402100",_xll.EVPRO($B$1,H35,"JDEID"))</f>
        <v>402100</v>
      </c>
      <c r="M35" s="90" t="str">
        <f>IF(_epmOfflineCondition_,"",IF(AND(I35="N",J35="N"),_xll.EVPRO($B$1,H35,"PSFTID"),""))</f>
        <v/>
      </c>
      <c r="N35" s="104" t="str">
        <f>IF(_epmOfflineCondition_,"Room Only",IF(_xll.EVDES(H35,$B$1)="#NODATA","",_xll.EVDES(H35,$B$1)))</f>
        <v>Room Only</v>
      </c>
      <c r="O35" s="275">
        <v>40614.11</v>
      </c>
      <c r="P35" s="276">
        <v>40733.120000000003</v>
      </c>
      <c r="Q35" s="276">
        <v>78643.94</v>
      </c>
      <c r="R35" s="276">
        <v>69924.960000000006</v>
      </c>
      <c r="S35" s="276">
        <v>75772.94</v>
      </c>
      <c r="T35" s="276">
        <v>48234.400000000001</v>
      </c>
      <c r="U35" s="276">
        <v>50991.11</v>
      </c>
      <c r="V35" s="276">
        <v>29600.94</v>
      </c>
      <c r="W35" s="276">
        <v>13754.15</v>
      </c>
      <c r="X35" s="276">
        <v>29293.65</v>
      </c>
      <c r="Y35" s="276">
        <v>42573.53</v>
      </c>
      <c r="Z35" s="276">
        <v>83257</v>
      </c>
      <c r="AA35" s="276">
        <f t="shared" si="0"/>
        <v>603393.85000000009</v>
      </c>
      <c r="AB35" s="277">
        <f t="shared" si="1"/>
        <v>6.4264294048485604E-2</v>
      </c>
      <c r="AC35" s="140"/>
      <c r="AD35" s="278">
        <v>461419.62</v>
      </c>
      <c r="AE35" s="277">
        <f t="shared" si="2"/>
        <v>7.7653135004642049E-2</v>
      </c>
      <c r="AF35" s="279">
        <f t="shared" si="3"/>
        <v>141974.2300000001</v>
      </c>
      <c r="AG35" s="279">
        <v>367260.56</v>
      </c>
      <c r="AH35" s="277">
        <f t="shared" si="4"/>
        <v>9.0270636268952514E-2</v>
      </c>
      <c r="AI35" s="280">
        <f t="shared" si="5"/>
        <v>236133.2900000001</v>
      </c>
    </row>
    <row r="36" spans="1:35" x14ac:dyDescent="0.35">
      <c r="A36" s="65" t="s">
        <v>33</v>
      </c>
      <c r="B36" s="66"/>
      <c r="C36" s="11"/>
      <c r="D36" s="11"/>
      <c r="E36" s="11"/>
      <c r="F36" s="11"/>
      <c r="G36" s="11"/>
      <c r="H36" s="88" t="s">
        <v>122</v>
      </c>
      <c r="I36" s="104" t="str">
        <f>IF(_epmOfflineCondition_,"T6",_xll.EVPRO($B$1,$H36,"STYLE"))</f>
        <v>T6</v>
      </c>
      <c r="J36" s="104" t="str">
        <f>IF(_epmOfflineCondition_,"Y",_xll.EVPRO($B$1,$H36,"CALC"))</f>
        <v>Y</v>
      </c>
      <c r="K36" s="104"/>
      <c r="L36" s="104" t="str">
        <f>IF(_epmOfflineCondition_,"402130",_xll.EVPRO($B$1,H36,"JDEID"))</f>
        <v>402130</v>
      </c>
      <c r="M36" s="90" t="str">
        <f>IF(_epmOfflineCondition_,"",IF(AND(I36="N",J36="N"),_xll.EVPRO($B$1,H36,"PSFTID"),""))</f>
        <v/>
      </c>
      <c r="N36" s="104" t="str">
        <f>IF(_epmOfflineCondition_,"Retail Web",IF(_xll.EVDES(H36,$B$1)="#NODATA","",_xll.EVDES(H36,$B$1)))</f>
        <v>Retail Web</v>
      </c>
      <c r="O36" s="275">
        <v>218880.86</v>
      </c>
      <c r="P36" s="276">
        <v>249564.09</v>
      </c>
      <c r="Q36" s="276">
        <v>160143.51</v>
      </c>
      <c r="R36" s="276">
        <v>181977.93</v>
      </c>
      <c r="S36" s="276">
        <v>231698.3</v>
      </c>
      <c r="T36" s="276">
        <v>160019.76999999999</v>
      </c>
      <c r="U36" s="276">
        <v>140741.15</v>
      </c>
      <c r="V36" s="276">
        <v>80515.78</v>
      </c>
      <c r="W36" s="276">
        <v>75636.88</v>
      </c>
      <c r="X36" s="276">
        <v>110461.23</v>
      </c>
      <c r="Y36" s="276">
        <v>143595.43</v>
      </c>
      <c r="Z36" s="276">
        <v>259046.89</v>
      </c>
      <c r="AA36" s="276">
        <f t="shared" si="0"/>
        <v>2012281.8199999998</v>
      </c>
      <c r="AB36" s="277">
        <f t="shared" si="1"/>
        <v>0.21431751515018216</v>
      </c>
      <c r="AC36" s="140"/>
      <c r="AD36" s="278">
        <v>2036889.15</v>
      </c>
      <c r="AE36" s="277">
        <f t="shared" si="2"/>
        <v>0.34279172644292971</v>
      </c>
      <c r="AF36" s="279">
        <f t="shared" si="3"/>
        <v>-24607.330000000075</v>
      </c>
      <c r="AG36" s="279">
        <v>939994.31</v>
      </c>
      <c r="AH36" s="277">
        <f t="shared" si="4"/>
        <v>0.23104545844207991</v>
      </c>
      <c r="AI36" s="280">
        <f t="shared" si="5"/>
        <v>1072287.5099999998</v>
      </c>
    </row>
    <row r="37" spans="1:35" x14ac:dyDescent="0.35">
      <c r="A37" s="65" t="s">
        <v>34</v>
      </c>
      <c r="B37" s="66"/>
      <c r="C37" s="11"/>
      <c r="D37" s="11"/>
      <c r="E37" s="11"/>
      <c r="F37" s="11"/>
      <c r="G37" s="11"/>
      <c r="H37" s="88" t="s">
        <v>84</v>
      </c>
      <c r="I37" s="89" t="str">
        <f>IF(_epmOfflineCondition_,"T5",_xll.EVPRO($B$1,$H37,"STYLE"))</f>
        <v>T5</v>
      </c>
      <c r="J37" s="89" t="str">
        <f>IF(_epmOfflineCondition_,"Y",_xll.EVPRO($B$1,$H37,"CALC"))</f>
        <v>Y</v>
      </c>
      <c r="K37" s="107"/>
      <c r="L37" s="106" t="str">
        <f>IF(_epmOfflineCondition_,"",_xll.EVPRO($B$1,H37,"JDEID"))</f>
        <v/>
      </c>
      <c r="M37" s="90" t="str">
        <f>IF(_epmOfflineCondition_,"",IF(AND(I37="N",J37="N"),_xll.EVPRO($B$1,H37,"PSFTID"),""))</f>
        <v/>
      </c>
      <c r="N37" s="106" t="str">
        <f>IF(_epmOfflineCondition_,"Discount",IF(_xll.EVDES(H37,$B$1)="#NODATA","",_xll.EVDES(H37,$B$1)))</f>
        <v>Discount</v>
      </c>
      <c r="O37" s="269">
        <v>267732.90999999997</v>
      </c>
      <c r="P37" s="270">
        <v>325656.98</v>
      </c>
      <c r="Q37" s="270">
        <v>524646.29</v>
      </c>
      <c r="R37" s="270">
        <v>454498.24</v>
      </c>
      <c r="S37" s="270">
        <v>594832.92000000004</v>
      </c>
      <c r="T37" s="270">
        <v>528550.51</v>
      </c>
      <c r="U37" s="270">
        <v>642409.86</v>
      </c>
      <c r="V37" s="270">
        <v>363545.29</v>
      </c>
      <c r="W37" s="270">
        <v>265778.58</v>
      </c>
      <c r="X37" s="270">
        <v>322011.74</v>
      </c>
      <c r="Y37" s="270">
        <v>391593.54</v>
      </c>
      <c r="Z37" s="270">
        <v>709503.01</v>
      </c>
      <c r="AA37" s="270">
        <f t="shared" si="0"/>
        <v>5390759.8699999992</v>
      </c>
      <c r="AB37" s="271">
        <f t="shared" si="1"/>
        <v>0.57414137951597599</v>
      </c>
      <c r="AC37" s="140"/>
      <c r="AD37" s="272">
        <v>2528530.48</v>
      </c>
      <c r="AE37" s="271">
        <f t="shared" si="2"/>
        <v>0.4255309271998281</v>
      </c>
      <c r="AF37" s="273">
        <f t="shared" si="3"/>
        <v>2862229.3899999992</v>
      </c>
      <c r="AG37" s="273">
        <v>1680064.65</v>
      </c>
      <c r="AH37" s="271">
        <f t="shared" si="4"/>
        <v>0.41295069889474384</v>
      </c>
      <c r="AI37" s="274">
        <f t="shared" si="5"/>
        <v>3710695.2199999993</v>
      </c>
    </row>
    <row r="38" spans="1:35" x14ac:dyDescent="0.35">
      <c r="A38" s="65" t="s">
        <v>35</v>
      </c>
      <c r="B38" s="66"/>
      <c r="C38" s="11"/>
      <c r="D38" s="11"/>
      <c r="E38" s="11"/>
      <c r="F38" s="11"/>
      <c r="G38" s="11"/>
      <c r="H38" s="88" t="s">
        <v>123</v>
      </c>
      <c r="I38" s="104" t="str">
        <f>IF(_epmOfflineCondition_,"T6",_xll.EVPRO($B$1,$H38,"STYLE"))</f>
        <v>T6</v>
      </c>
      <c r="J38" s="104" t="str">
        <f>IF(_epmOfflineCondition_,"Y",_xll.EVPRO($B$1,$H38,"CALC"))</f>
        <v>Y</v>
      </c>
      <c r="K38" s="104"/>
      <c r="L38" s="104" t="str">
        <f>IF(_epmOfflineCondition_,"402530",_xll.EVPRO($B$1,H38,"JDEID"))</f>
        <v>402530</v>
      </c>
      <c r="M38" s="90" t="str">
        <f>IF(_epmOfflineCondition_,"",IF(AND(I38="N",J38="N"),_xll.EVPRO($B$1,H38,"PSFTID"),""))</f>
        <v/>
      </c>
      <c r="N38" s="104" t="str">
        <f>IF(_epmOfflineCondition_,"Package",IF(_xll.EVDES(H38,$B$1)="#NODATA","",_xll.EVDES(H38,$B$1)))</f>
        <v>Package</v>
      </c>
      <c r="O38" s="275">
        <v>2829.2</v>
      </c>
      <c r="P38" s="276">
        <v>5685.1</v>
      </c>
      <c r="Q38" s="276">
        <v>11138.4</v>
      </c>
      <c r="R38" s="276">
        <v>5668.5</v>
      </c>
      <c r="S38" s="276">
        <v>10495.28</v>
      </c>
      <c r="T38" s="276">
        <v>11824.14</v>
      </c>
      <c r="U38" s="276">
        <v>13821.47</v>
      </c>
      <c r="V38" s="276">
        <v>6269</v>
      </c>
      <c r="W38" s="276">
        <v>9026.7999999999993</v>
      </c>
      <c r="X38" s="276">
        <v>5630.8</v>
      </c>
      <c r="Y38" s="276">
        <v>7300.6</v>
      </c>
      <c r="Z38" s="276">
        <v>6771.18</v>
      </c>
      <c r="AA38" s="276">
        <f t="shared" si="0"/>
        <v>96460.47</v>
      </c>
      <c r="AB38" s="277">
        <f t="shared" si="1"/>
        <v>1.0273495509003154E-2</v>
      </c>
      <c r="AC38" s="140"/>
      <c r="AD38" s="278">
        <v>69290.27</v>
      </c>
      <c r="AE38" s="277">
        <f t="shared" si="2"/>
        <v>1.166098375014504E-2</v>
      </c>
      <c r="AF38" s="279">
        <f t="shared" si="3"/>
        <v>27170.199999999997</v>
      </c>
      <c r="AG38" s="279">
        <v>43179.54</v>
      </c>
      <c r="AH38" s="277">
        <f t="shared" si="4"/>
        <v>1.0613294685388177E-2</v>
      </c>
      <c r="AI38" s="280">
        <f t="shared" si="5"/>
        <v>53280.93</v>
      </c>
    </row>
    <row r="39" spans="1:35" x14ac:dyDescent="0.35">
      <c r="A39" s="65" t="s">
        <v>36</v>
      </c>
      <c r="B39" s="66"/>
      <c r="C39" s="11"/>
      <c r="D39" s="11"/>
      <c r="E39" s="11"/>
      <c r="F39" s="11"/>
      <c r="G39" s="11"/>
      <c r="H39" s="88" t="s">
        <v>124</v>
      </c>
      <c r="I39" s="104" t="str">
        <f>IF(_epmOfflineCondition_,"T6",_xll.EVPRO($B$1,$H39,"STYLE"))</f>
        <v>T6</v>
      </c>
      <c r="J39" s="104" t="str">
        <f>IF(_epmOfflineCondition_,"Y",_xll.EVPRO($B$1,$H39,"CALC"))</f>
        <v>Y</v>
      </c>
      <c r="K39" s="104"/>
      <c r="L39" s="104" t="str">
        <f>IF(_epmOfflineCondition_,"402500",_xll.EVPRO($B$1,H39,"JDEID"))</f>
        <v>402500</v>
      </c>
      <c r="M39" s="90" t="str">
        <f>IF(_epmOfflineCondition_,"",IF(AND(I39="N",J39="N"),_xll.EVPRO($B$1,H39,"PSFTID"),""))</f>
        <v/>
      </c>
      <c r="N39" s="104" t="str">
        <f>IF(_epmOfflineCondition_,"OTA Opaque",IF(_xll.EVDES(H39,$B$1)="#NODATA","",_xll.EVDES(H39,$B$1)))</f>
        <v>OTA Opaque</v>
      </c>
      <c r="O39" s="275">
        <v>45099.97</v>
      </c>
      <c r="P39" s="276">
        <v>35725.61</v>
      </c>
      <c r="Q39" s="276">
        <v>54078.98</v>
      </c>
      <c r="R39" s="276">
        <v>36870.01</v>
      </c>
      <c r="S39" s="276">
        <v>86632.58</v>
      </c>
      <c r="T39" s="276">
        <v>135399.47</v>
      </c>
      <c r="U39" s="276">
        <v>111280.75</v>
      </c>
      <c r="V39" s="276">
        <v>43585.45</v>
      </c>
      <c r="W39" s="276">
        <v>23950.05</v>
      </c>
      <c r="X39" s="276">
        <v>18795.689999999999</v>
      </c>
      <c r="Y39" s="276">
        <v>23165.77</v>
      </c>
      <c r="Z39" s="276">
        <v>35477.17</v>
      </c>
      <c r="AA39" s="276">
        <f t="shared" si="0"/>
        <v>650061.5</v>
      </c>
      <c r="AB39" s="277">
        <f t="shared" si="1"/>
        <v>6.9234619122484617E-2</v>
      </c>
      <c r="AC39" s="140"/>
      <c r="AD39" s="278">
        <v>262492.09000000003</v>
      </c>
      <c r="AE39" s="277">
        <f t="shared" si="2"/>
        <v>4.4175264377402615E-2</v>
      </c>
      <c r="AF39" s="279">
        <f t="shared" si="3"/>
        <v>387569.41</v>
      </c>
      <c r="AG39" s="279">
        <v>128015.67999999999</v>
      </c>
      <c r="AH39" s="277">
        <f t="shared" si="4"/>
        <v>3.1465553736569528E-2</v>
      </c>
      <c r="AI39" s="280">
        <f t="shared" si="5"/>
        <v>522045.82</v>
      </c>
    </row>
    <row r="40" spans="1:35" x14ac:dyDescent="0.35">
      <c r="A40" s="65" t="s">
        <v>37</v>
      </c>
      <c r="B40" s="66"/>
      <c r="C40" s="11"/>
      <c r="D40" s="11"/>
      <c r="E40" s="11"/>
      <c r="F40" s="11"/>
      <c r="G40" s="11"/>
      <c r="H40" s="88" t="s">
        <v>125</v>
      </c>
      <c r="I40" s="104" t="str">
        <f>IF(_epmOfflineCondition_,"T6",_xll.EVPRO($B$1,$H40,"STYLE"))</f>
        <v>T6</v>
      </c>
      <c r="J40" s="104" t="str">
        <f>IF(_epmOfflineCondition_,"Y",_xll.EVPRO($B$1,$H40,"CALC"))</f>
        <v>Y</v>
      </c>
      <c r="K40" s="104"/>
      <c r="L40" s="104" t="str">
        <f>IF(_epmOfflineCondition_,"402540",_xll.EVPRO($B$1,H40,"JDEID"))</f>
        <v>402540</v>
      </c>
      <c r="M40" s="90" t="str">
        <f>IF(_epmOfflineCondition_,"",IF(AND(I40="N",J40="N"),_xll.EVPRO($B$1,H40,"PSFTID"),""))</f>
        <v/>
      </c>
      <c r="N40" s="104" t="str">
        <f>IF(_epmOfflineCondition_,"Brand/Media Promotions",IF(_xll.EVDES(H40,$B$1)="#NODATA","",_xll.EVDES(H40,$B$1)))</f>
        <v>Brand/Media Promotions</v>
      </c>
      <c r="O40" s="275">
        <v>71537.78</v>
      </c>
      <c r="P40" s="276">
        <v>85871.23</v>
      </c>
      <c r="Q40" s="276">
        <v>147617.29</v>
      </c>
      <c r="R40" s="276">
        <v>110487.96</v>
      </c>
      <c r="S40" s="276">
        <v>118810.08</v>
      </c>
      <c r="T40" s="276">
        <v>86160.23</v>
      </c>
      <c r="U40" s="276">
        <v>87526.13</v>
      </c>
      <c r="V40" s="276">
        <v>38747.629999999997</v>
      </c>
      <c r="W40" s="276">
        <v>31152.09</v>
      </c>
      <c r="X40" s="276">
        <v>42799.91</v>
      </c>
      <c r="Y40" s="276">
        <v>38020.199999999997</v>
      </c>
      <c r="Z40" s="276">
        <v>56453.68</v>
      </c>
      <c r="AA40" s="276">
        <f t="shared" si="0"/>
        <v>915184.21000000008</v>
      </c>
      <c r="AB40" s="277">
        <f t="shared" si="1"/>
        <v>9.7471439558044867E-2</v>
      </c>
      <c r="AC40" s="140"/>
      <c r="AD40" s="278">
        <v>737512.08</v>
      </c>
      <c r="AE40" s="277">
        <f t="shared" si="2"/>
        <v>0.12411723002978148</v>
      </c>
      <c r="AF40" s="279">
        <f t="shared" si="3"/>
        <v>177672.13000000012</v>
      </c>
      <c r="AG40" s="279">
        <v>522879.8</v>
      </c>
      <c r="AH40" s="277">
        <f t="shared" si="4"/>
        <v>0.1285209940271905</v>
      </c>
      <c r="AI40" s="280">
        <f t="shared" si="5"/>
        <v>392304.41000000009</v>
      </c>
    </row>
    <row r="41" spans="1:35" x14ac:dyDescent="0.35">
      <c r="A41" s="65" t="s">
        <v>38</v>
      </c>
      <c r="B41" s="66"/>
      <c r="C41" s="11"/>
      <c r="D41" s="11"/>
      <c r="E41" s="11"/>
      <c r="F41" s="11"/>
      <c r="G41" s="11"/>
      <c r="H41" s="88" t="s">
        <v>126</v>
      </c>
      <c r="I41" s="104" t="str">
        <f>IF(_epmOfflineCondition_,"T6",_xll.EVPRO($B$1,$H41,"STYLE"))</f>
        <v>T6</v>
      </c>
      <c r="J41" s="104" t="str">
        <f>IF(_epmOfflineCondition_,"Y",_xll.EVPRO($B$1,$H41,"CALC"))</f>
        <v>Y</v>
      </c>
      <c r="K41" s="104"/>
      <c r="L41" s="104" t="str">
        <f>IF(_epmOfflineCondition_,"402550",_xll.EVPRO($B$1,H41,"JDEID"))</f>
        <v>402550</v>
      </c>
      <c r="M41" s="90" t="str">
        <f>IF(_epmOfflineCondition_,"",IF(AND(I41="N",J41="N"),_xll.EVPRO($B$1,H41,"PSFTID"),""))</f>
        <v/>
      </c>
      <c r="N41" s="104" t="str">
        <f>IF(_epmOfflineCondition_,"Advance Purchases",IF(_xll.EVDES(H41,$B$1)="#NODATA","",_xll.EVDES(H41,$B$1)))</f>
        <v>Advance Purchases</v>
      </c>
      <c r="O41" s="275"/>
      <c r="P41" s="276"/>
      <c r="Q41" s="276"/>
      <c r="R41" s="276"/>
      <c r="S41" s="276">
        <v>17656.12</v>
      </c>
      <c r="T41" s="276">
        <v>94953.68</v>
      </c>
      <c r="U41" s="276">
        <v>223329.68</v>
      </c>
      <c r="V41" s="276">
        <v>140590.37</v>
      </c>
      <c r="W41" s="276">
        <v>80994.899999999994</v>
      </c>
      <c r="X41" s="276">
        <v>130029.66</v>
      </c>
      <c r="Y41" s="276">
        <v>174557.52</v>
      </c>
      <c r="Z41" s="276">
        <v>298941.06</v>
      </c>
      <c r="AA41" s="276">
        <f t="shared" si="0"/>
        <v>1161052.99</v>
      </c>
      <c r="AB41" s="277">
        <f t="shared" si="1"/>
        <v>0.12365762553800208</v>
      </c>
      <c r="AC41" s="140"/>
      <c r="AD41" s="278"/>
      <c r="AE41" s="277" t="str">
        <f t="shared" si="2"/>
        <v/>
      </c>
      <c r="AF41" s="279">
        <f t="shared" si="3"/>
        <v>1161052.99</v>
      </c>
      <c r="AG41" s="279">
        <v>41111.26</v>
      </c>
      <c r="AH41" s="277">
        <f t="shared" si="4"/>
        <v>1.0104922777491645E-2</v>
      </c>
      <c r="AI41" s="280">
        <f t="shared" si="5"/>
        <v>1119941.73</v>
      </c>
    </row>
    <row r="42" spans="1:35" x14ac:dyDescent="0.35">
      <c r="A42" s="65" t="s">
        <v>39</v>
      </c>
      <c r="B42" s="66"/>
      <c r="C42" s="11"/>
      <c r="D42" s="11"/>
      <c r="E42" s="11"/>
      <c r="F42" s="11"/>
      <c r="G42" s="11"/>
      <c r="H42" s="88" t="s">
        <v>127</v>
      </c>
      <c r="I42" s="104" t="str">
        <f>IF(_epmOfflineCondition_,"T6",_xll.EVPRO($B$1,$H42,"STYLE"))</f>
        <v>T6</v>
      </c>
      <c r="J42" s="104" t="str">
        <f>IF(_epmOfflineCondition_,"Y",_xll.EVPRO($B$1,$H42,"CALC"))</f>
        <v>Y</v>
      </c>
      <c r="K42" s="104"/>
      <c r="L42" s="104" t="str">
        <f>IF(_epmOfflineCondition_,"402560",_xll.EVPRO($B$1,H42,"JDEID"))</f>
        <v>402560</v>
      </c>
      <c r="M42" s="90" t="str">
        <f>IF(_epmOfflineCondition_,"",IF(AND(I42="N",J42="N"),_xll.EVPRO($B$1,H42,"PSFTID"),""))</f>
        <v/>
      </c>
      <c r="N42" s="104" t="str">
        <f>IF(_epmOfflineCondition_,"Local Discounts",IF(_xll.EVDES(H42,$B$1)="#NODATA","",_xll.EVDES(H42,$B$1)))</f>
        <v>Local Discounts</v>
      </c>
      <c r="O42" s="275">
        <v>148265.96</v>
      </c>
      <c r="P42" s="276">
        <v>198375.04000000001</v>
      </c>
      <c r="Q42" s="276">
        <v>311811.62</v>
      </c>
      <c r="R42" s="276">
        <v>301471.77</v>
      </c>
      <c r="S42" s="276">
        <v>361238.86</v>
      </c>
      <c r="T42" s="276">
        <v>200212.99</v>
      </c>
      <c r="U42" s="276">
        <v>206451.83</v>
      </c>
      <c r="V42" s="276">
        <v>134352.84</v>
      </c>
      <c r="W42" s="276">
        <v>120654.74</v>
      </c>
      <c r="X42" s="276">
        <v>124755.68</v>
      </c>
      <c r="Y42" s="276">
        <v>148549.45000000001</v>
      </c>
      <c r="Z42" s="276">
        <v>311859.92</v>
      </c>
      <c r="AA42" s="276">
        <f t="shared" si="0"/>
        <v>2568000.7000000002</v>
      </c>
      <c r="AB42" s="277">
        <f t="shared" si="1"/>
        <v>0.27350419978844137</v>
      </c>
      <c r="AC42" s="140"/>
      <c r="AD42" s="278">
        <v>1459236.04</v>
      </c>
      <c r="AE42" s="277">
        <f t="shared" si="2"/>
        <v>0.24557744904249898</v>
      </c>
      <c r="AF42" s="279">
        <f t="shared" si="3"/>
        <v>1108764.6600000001</v>
      </c>
      <c r="AG42" s="279">
        <v>944878.37</v>
      </c>
      <c r="AH42" s="277">
        <f t="shared" si="4"/>
        <v>0.232245933668104</v>
      </c>
      <c r="AI42" s="280">
        <f t="shared" si="5"/>
        <v>1623122.33</v>
      </c>
    </row>
    <row r="43" spans="1:35" x14ac:dyDescent="0.35">
      <c r="A43" s="65" t="s">
        <v>40</v>
      </c>
      <c r="B43" s="66"/>
      <c r="C43" s="11"/>
      <c r="D43" s="11"/>
      <c r="E43" s="11"/>
      <c r="F43" s="11"/>
      <c r="G43" s="11"/>
      <c r="H43" s="88" t="s">
        <v>128</v>
      </c>
      <c r="I43" s="104" t="str">
        <f>IF(_epmOfflineCondition_,"T6",_xll.EVPRO($B$1,$H43,"STYLE"))</f>
        <v>T6</v>
      </c>
      <c r="J43" s="104" t="str">
        <f>IF(_epmOfflineCondition_,"Y",_xll.EVPRO($B$1,$H43,"CALC"))</f>
        <v>Y</v>
      </c>
      <c r="K43" s="104"/>
      <c r="L43" s="104" t="str">
        <f>IF(_epmOfflineCondition_,"402600",_xll.EVPRO($B$1,H43,"JDEID"))</f>
        <v>402600</v>
      </c>
      <c r="M43" s="90" t="str">
        <f>IF(_epmOfflineCondition_,"",IF(AND(I43="N",J43="N"),_xll.EVPRO($B$1,H43,"PSFTID"),""))</f>
        <v/>
      </c>
      <c r="N43" s="104" t="str">
        <f>IF(_epmOfflineCondition_,"Package &amp; Promo (Legacy)",IF(_xll.EVDES(H43,$B$1)="#NODATA","",_xll.EVDES(H43,$B$1)))</f>
        <v>Package &amp; Promo (Legacy)</v>
      </c>
      <c r="O43" s="275"/>
      <c r="P43" s="276"/>
      <c r="Q43" s="276"/>
      <c r="R43" s="276"/>
      <c r="S43" s="276"/>
      <c r="T43" s="276"/>
      <c r="U43" s="276"/>
      <c r="V43" s="276"/>
      <c r="W43" s="276"/>
      <c r="X43" s="276"/>
      <c r="Y43" s="276"/>
      <c r="Z43" s="276"/>
      <c r="AA43" s="276">
        <f t="shared" si="0"/>
        <v>0</v>
      </c>
      <c r="AB43" s="277" t="str">
        <f t="shared" si="1"/>
        <v/>
      </c>
      <c r="AC43" s="140"/>
      <c r="AD43" s="278"/>
      <c r="AE43" s="277" t="str">
        <f t="shared" si="2"/>
        <v/>
      </c>
      <c r="AF43" s="279">
        <f t="shared" si="3"/>
        <v>0</v>
      </c>
      <c r="AG43" s="279"/>
      <c r="AH43" s="277" t="str">
        <f t="shared" si="4"/>
        <v/>
      </c>
      <c r="AI43" s="280">
        <f t="shared" si="5"/>
        <v>0</v>
      </c>
    </row>
    <row r="44" spans="1:35" x14ac:dyDescent="0.35">
      <c r="A44" s="65" t="s">
        <v>41</v>
      </c>
      <c r="B44" s="66"/>
      <c r="C44" s="11"/>
      <c r="D44" s="11"/>
      <c r="E44" s="11"/>
      <c r="F44" s="11"/>
      <c r="G44" s="11"/>
      <c r="H44" s="88" t="s">
        <v>85</v>
      </c>
      <c r="I44" s="89" t="str">
        <f>IF(_epmOfflineCondition_,"T5",_xll.EVPRO($B$1,$H44,"STYLE"))</f>
        <v>T5</v>
      </c>
      <c r="J44" s="89" t="str">
        <f>IF(_epmOfflineCondition_,"Y",_xll.EVPRO($B$1,$H44,"CALC"))</f>
        <v>Y</v>
      </c>
      <c r="K44" s="107"/>
      <c r="L44" s="106" t="str">
        <f>IF(_epmOfflineCondition_,"",_xll.EVPRO($B$1,H44,"JDEID"))</f>
        <v/>
      </c>
      <c r="M44" s="90" t="str">
        <f>IF(_epmOfflineCondition_,"",IF(AND(I44="N",J44="N"),_xll.EVPRO($B$1,H44,"PSFTID"),""))</f>
        <v/>
      </c>
      <c r="N44" s="106" t="str">
        <f>IF(_epmOfflineCondition_,"Negotiated",IF(_xll.EVDES(H44,$B$1)="#NODATA","",_xll.EVDES(H44,$B$1)))</f>
        <v>Negotiated</v>
      </c>
      <c r="O44" s="269">
        <v>4412.7</v>
      </c>
      <c r="P44" s="270">
        <v>22658.87</v>
      </c>
      <c r="Q44" s="270">
        <v>18751.47</v>
      </c>
      <c r="R44" s="270">
        <v>23448.42</v>
      </c>
      <c r="S44" s="270">
        <v>20541.05</v>
      </c>
      <c r="T44" s="270">
        <v>11512.49</v>
      </c>
      <c r="U44" s="270">
        <v>51022.239999999998</v>
      </c>
      <c r="V44" s="270">
        <v>33896.68</v>
      </c>
      <c r="W44" s="270">
        <v>34622.76</v>
      </c>
      <c r="X44" s="270">
        <v>42965.04</v>
      </c>
      <c r="Y44" s="270">
        <v>62112.61</v>
      </c>
      <c r="Z44" s="270">
        <v>76287.5</v>
      </c>
      <c r="AA44" s="270">
        <f t="shared" si="0"/>
        <v>402231.82999999996</v>
      </c>
      <c r="AB44" s="271">
        <f t="shared" si="1"/>
        <v>4.2839589098862152E-2</v>
      </c>
      <c r="AC44" s="140"/>
      <c r="AD44" s="272">
        <v>97297.35</v>
      </c>
      <c r="AE44" s="271">
        <f t="shared" si="2"/>
        <v>1.6374345449688309E-2</v>
      </c>
      <c r="AF44" s="273">
        <f t="shared" si="3"/>
        <v>304934.48</v>
      </c>
      <c r="AG44" s="273">
        <v>151053.25</v>
      </c>
      <c r="AH44" s="271">
        <f t="shared" si="4"/>
        <v>3.7128062397969307E-2</v>
      </c>
      <c r="AI44" s="274">
        <f t="shared" si="5"/>
        <v>251178.57999999996</v>
      </c>
    </row>
    <row r="45" spans="1:35" x14ac:dyDescent="0.35">
      <c r="A45" s="65" t="s">
        <v>42</v>
      </c>
      <c r="B45" s="66"/>
      <c r="C45" s="11"/>
      <c r="D45" s="11"/>
      <c r="E45" s="11"/>
      <c r="F45" s="11"/>
      <c r="G45" s="11"/>
      <c r="H45" s="88" t="s">
        <v>129</v>
      </c>
      <c r="I45" s="104" t="str">
        <f>IF(_epmOfflineCondition_,"T6",_xll.EVPRO($B$1,$H45,"STYLE"))</f>
        <v>T6</v>
      </c>
      <c r="J45" s="104" t="str">
        <f>IF(_epmOfflineCondition_,"Y",_xll.EVPRO($B$1,$H45,"CALC"))</f>
        <v>Y</v>
      </c>
      <c r="K45" s="104"/>
      <c r="L45" s="104" t="str">
        <f>IF(_epmOfflineCondition_,"402300",_xll.EVPRO($B$1,H45,"JDEID"))</f>
        <v>402300</v>
      </c>
      <c r="M45" s="90" t="str">
        <f>IF(_epmOfflineCondition_,"",IF(AND(I45="N",J45="N"),_xll.EVPRO($B$1,H45,"PSFTID"),""))</f>
        <v/>
      </c>
      <c r="N45" s="104" t="str">
        <f>IF(_epmOfflineCondition_,"Consortia",IF(_xll.EVDES(H45,$B$1)="#NODATA","",_xll.EVDES(H45,$B$1)))</f>
        <v>Consortia</v>
      </c>
      <c r="O45" s="275">
        <v>358</v>
      </c>
      <c r="P45" s="276">
        <v>3064</v>
      </c>
      <c r="Q45" s="276">
        <v>1067</v>
      </c>
      <c r="R45" s="276">
        <v>1724</v>
      </c>
      <c r="S45" s="276">
        <v>1434</v>
      </c>
      <c r="T45" s="276">
        <v>1175.51</v>
      </c>
      <c r="U45" s="276"/>
      <c r="V45" s="276">
        <v>1640.22</v>
      </c>
      <c r="W45" s="276">
        <v>905</v>
      </c>
      <c r="X45" s="276">
        <v>179</v>
      </c>
      <c r="Y45" s="276">
        <v>4256.3900000000003</v>
      </c>
      <c r="Z45" s="276">
        <v>9882.19</v>
      </c>
      <c r="AA45" s="276">
        <f t="shared" si="0"/>
        <v>25685.309999999998</v>
      </c>
      <c r="AB45" s="277">
        <f t="shared" si="1"/>
        <v>2.7356067924234019E-3</v>
      </c>
      <c r="AC45" s="140"/>
      <c r="AD45" s="278">
        <v>19029.07</v>
      </c>
      <c r="AE45" s="277">
        <f t="shared" si="2"/>
        <v>3.2024363023895339E-3</v>
      </c>
      <c r="AF45" s="279">
        <f t="shared" si="3"/>
        <v>6656.239999999998</v>
      </c>
      <c r="AG45" s="279">
        <v>29671.22</v>
      </c>
      <c r="AH45" s="277">
        <f t="shared" si="4"/>
        <v>7.2930235369571654E-3</v>
      </c>
      <c r="AI45" s="280">
        <f t="shared" si="5"/>
        <v>-3985.9100000000035</v>
      </c>
    </row>
    <row r="46" spans="1:35" x14ac:dyDescent="0.35">
      <c r="A46" s="65" t="s">
        <v>43</v>
      </c>
      <c r="B46" s="66"/>
      <c r="C46" s="11"/>
      <c r="D46" s="11"/>
      <c r="E46" s="11"/>
      <c r="F46" s="11"/>
      <c r="G46" s="11"/>
      <c r="H46" s="88" t="s">
        <v>130</v>
      </c>
      <c r="I46" s="104" t="str">
        <f>IF(_epmOfflineCondition_,"T6",_xll.EVPRO($B$1,$H46,"STYLE"))</f>
        <v>T6</v>
      </c>
      <c r="J46" s="104" t="str">
        <f>IF(_epmOfflineCondition_,"Y",_xll.EVPRO($B$1,$H46,"CALC"))</f>
        <v>Y</v>
      </c>
      <c r="K46" s="104"/>
      <c r="L46" s="104" t="str">
        <f>IF(_epmOfflineCondition_,"402350",_xll.EVPRO($B$1,H46,"JDEID"))</f>
        <v>402350</v>
      </c>
      <c r="M46" s="90" t="str">
        <f>IF(_epmOfflineCondition_,"",IF(AND(I46="N",J46="N"),_xll.EVPRO($B$1,H46,"PSFTID"),""))</f>
        <v/>
      </c>
      <c r="N46" s="104" t="str">
        <f>IF(_epmOfflineCondition_,"National Negotiated",IF(_xll.EVDES(H46,$B$1)="#NODATA","",_xll.EVDES(H46,$B$1)))</f>
        <v>National Negotiated</v>
      </c>
      <c r="O46" s="275">
        <v>437.5</v>
      </c>
      <c r="P46" s="276">
        <v>1378.88</v>
      </c>
      <c r="Q46" s="276">
        <v>6930.87</v>
      </c>
      <c r="R46" s="276">
        <v>11003.02</v>
      </c>
      <c r="S46" s="276">
        <v>8174.35</v>
      </c>
      <c r="T46" s="276">
        <v>3371.73</v>
      </c>
      <c r="U46" s="276">
        <v>31216.89</v>
      </c>
      <c r="V46" s="276">
        <v>9171.33</v>
      </c>
      <c r="W46" s="276">
        <v>13073.96</v>
      </c>
      <c r="X46" s="276">
        <v>8529.34</v>
      </c>
      <c r="Y46" s="276">
        <v>19346.07</v>
      </c>
      <c r="Z46" s="276">
        <v>21119.71</v>
      </c>
      <c r="AA46" s="276">
        <f t="shared" si="0"/>
        <v>133753.65</v>
      </c>
      <c r="AB46" s="277">
        <f t="shared" si="1"/>
        <v>1.4245395264897419E-2</v>
      </c>
      <c r="AC46" s="140"/>
      <c r="AD46" s="278">
        <v>62611.55</v>
      </c>
      <c r="AE46" s="277">
        <f t="shared" si="2"/>
        <v>1.0537009988868475E-2</v>
      </c>
      <c r="AF46" s="279">
        <f t="shared" si="3"/>
        <v>71142.099999999991</v>
      </c>
      <c r="AG46" s="279">
        <v>114196.03</v>
      </c>
      <c r="AH46" s="277">
        <f t="shared" si="4"/>
        <v>2.8068759377506775E-2</v>
      </c>
      <c r="AI46" s="280">
        <f t="shared" si="5"/>
        <v>19557.619999999995</v>
      </c>
    </row>
    <row r="47" spans="1:35" x14ac:dyDescent="0.35">
      <c r="A47" s="65" t="s">
        <v>44</v>
      </c>
      <c r="B47" s="66"/>
      <c r="C47" s="11"/>
      <c r="D47" s="11"/>
      <c r="E47" s="11"/>
      <c r="F47" s="11"/>
      <c r="G47" s="11"/>
      <c r="H47" s="88" t="s">
        <v>131</v>
      </c>
      <c r="I47" s="104" t="str">
        <f>IF(_epmOfflineCondition_,"T6",_xll.EVPRO($B$1,$H47,"STYLE"))</f>
        <v>T6</v>
      </c>
      <c r="J47" s="104" t="str">
        <f>IF(_epmOfflineCondition_,"Y",_xll.EVPRO($B$1,$H47,"CALC"))</f>
        <v>Y</v>
      </c>
      <c r="K47" s="104"/>
      <c r="L47" s="104" t="str">
        <f>IF(_epmOfflineCondition_,"402400",_xll.EVPRO($B$1,H47,"JDEID"))</f>
        <v>402400</v>
      </c>
      <c r="M47" s="90" t="str">
        <f>IF(_epmOfflineCondition_,"",IF(AND(I47="N",J47="N"),_xll.EVPRO($B$1,H47,"PSFTID"),""))</f>
        <v/>
      </c>
      <c r="N47" s="104" t="str">
        <f>IF(_epmOfflineCondition_,"Local Negotiated",IF(_xll.EVDES(H47,$B$1)="#NODATA","",_xll.EVDES(H47,$B$1)))</f>
        <v>Local Negotiated</v>
      </c>
      <c r="O47" s="275">
        <v>3617.2</v>
      </c>
      <c r="P47" s="276">
        <v>18215.990000000002</v>
      </c>
      <c r="Q47" s="276">
        <v>10753.6</v>
      </c>
      <c r="R47" s="276">
        <v>10721.4</v>
      </c>
      <c r="S47" s="276">
        <v>10932.7</v>
      </c>
      <c r="T47" s="276">
        <v>6965.25</v>
      </c>
      <c r="U47" s="276">
        <v>19805.349999999999</v>
      </c>
      <c r="V47" s="276">
        <v>23085.13</v>
      </c>
      <c r="W47" s="276">
        <v>20643.8</v>
      </c>
      <c r="X47" s="276">
        <v>34256.699999999997</v>
      </c>
      <c r="Y47" s="276">
        <v>38510.15</v>
      </c>
      <c r="Z47" s="276">
        <v>45285.599999999999</v>
      </c>
      <c r="AA47" s="276">
        <f t="shared" si="0"/>
        <v>242792.87</v>
      </c>
      <c r="AB47" s="277">
        <f t="shared" si="1"/>
        <v>2.5858587041541332E-2</v>
      </c>
      <c r="AC47" s="140"/>
      <c r="AD47" s="278">
        <v>15656.73</v>
      </c>
      <c r="AE47" s="277">
        <f t="shared" si="2"/>
        <v>2.634899158430301E-3</v>
      </c>
      <c r="AF47" s="279">
        <f t="shared" si="3"/>
        <v>227136.13999999998</v>
      </c>
      <c r="AG47" s="279">
        <v>7186</v>
      </c>
      <c r="AH47" s="277">
        <f t="shared" si="4"/>
        <v>1.7662794835053694E-3</v>
      </c>
      <c r="AI47" s="280">
        <f t="shared" si="5"/>
        <v>235606.87</v>
      </c>
    </row>
    <row r="48" spans="1:35" x14ac:dyDescent="0.35">
      <c r="A48" s="65" t="s">
        <v>45</v>
      </c>
      <c r="B48" s="66"/>
      <c r="C48" s="11"/>
      <c r="D48" s="11"/>
      <c r="E48" s="11"/>
      <c r="F48" s="11"/>
      <c r="G48" s="11"/>
      <c r="H48" s="88" t="s">
        <v>86</v>
      </c>
      <c r="I48" s="89" t="str">
        <f>IF(_epmOfflineCondition_,"T5",_xll.EVPRO($B$1,$H48,"STYLE"))</f>
        <v>T5</v>
      </c>
      <c r="J48" s="89" t="str">
        <f>IF(_epmOfflineCondition_,"Y",_xll.EVPRO($B$1,$H48,"CALC"))</f>
        <v>Y</v>
      </c>
      <c r="K48" s="107"/>
      <c r="L48" s="106" t="str">
        <f>IF(_epmOfflineCondition_,"",_xll.EVPRO($B$1,H48,"JDEID"))</f>
        <v/>
      </c>
      <c r="M48" s="90" t="str">
        <f>IF(_epmOfflineCondition_,"",IF(AND(I48="N",J48="N"),_xll.EVPRO($B$1,H48,"PSFTID"),""))</f>
        <v/>
      </c>
      <c r="N48" s="106" t="str">
        <f>IF(_epmOfflineCondition_,"Qualified",IF(_xll.EVDES(H48,$B$1)="#NODATA","",_xll.EVDES(H48,$B$1)))</f>
        <v>Qualified</v>
      </c>
      <c r="O48" s="269">
        <v>11597.2</v>
      </c>
      <c r="P48" s="270">
        <v>8419.2000000000007</v>
      </c>
      <c r="Q48" s="270">
        <v>37596.75</v>
      </c>
      <c r="R48" s="270">
        <v>32952.6</v>
      </c>
      <c r="S48" s="270">
        <v>53597.93</v>
      </c>
      <c r="T48" s="270">
        <v>30231.200000000001</v>
      </c>
      <c r="U48" s="270">
        <v>26294.85</v>
      </c>
      <c r="V48" s="270">
        <v>13022.62</v>
      </c>
      <c r="W48" s="270">
        <v>18917.75</v>
      </c>
      <c r="X48" s="270">
        <v>19824.900000000001</v>
      </c>
      <c r="Y48" s="270">
        <v>33357.64</v>
      </c>
      <c r="Z48" s="270">
        <v>13839.7</v>
      </c>
      <c r="AA48" s="270">
        <f t="shared" si="0"/>
        <v>299652.34000000003</v>
      </c>
      <c r="AB48" s="271">
        <f t="shared" si="1"/>
        <v>3.1914389067897828E-2</v>
      </c>
      <c r="AC48" s="140"/>
      <c r="AD48" s="272">
        <v>372730.48</v>
      </c>
      <c r="AE48" s="271">
        <f t="shared" si="2"/>
        <v>6.2727480647192746E-2</v>
      </c>
      <c r="AF48" s="273">
        <f t="shared" si="3"/>
        <v>-73078.139999999956</v>
      </c>
      <c r="AG48" s="273">
        <v>168427.22</v>
      </c>
      <c r="AH48" s="271">
        <f t="shared" si="4"/>
        <v>4.1398489166413199E-2</v>
      </c>
      <c r="AI48" s="274">
        <f t="shared" si="5"/>
        <v>131225.12000000002</v>
      </c>
    </row>
    <row r="49" spans="1:35" x14ac:dyDescent="0.35">
      <c r="A49" s="65" t="s">
        <v>46</v>
      </c>
      <c r="B49" s="66"/>
      <c r="C49" s="11"/>
      <c r="D49" s="11"/>
      <c r="E49" s="11"/>
      <c r="F49" s="11"/>
      <c r="G49" s="11"/>
      <c r="H49" s="88" t="s">
        <v>132</v>
      </c>
      <c r="I49" s="104" t="str">
        <f>IF(_epmOfflineCondition_,"T6",_xll.EVPRO($B$1,$H49,"STYLE"))</f>
        <v>T6</v>
      </c>
      <c r="J49" s="104" t="str">
        <f>IF(_epmOfflineCondition_,"Y",_xll.EVPRO($B$1,$H49,"CALC"))</f>
        <v>Y</v>
      </c>
      <c r="K49" s="104"/>
      <c r="L49" s="104" t="str">
        <f>IF(_epmOfflineCondition_,"402700",_xll.EVPRO($B$1,H49,"JDEID"))</f>
        <v>402700</v>
      </c>
      <c r="M49" s="90" t="str">
        <f>IF(_epmOfflineCondition_,"",IF(AND(I49="N",J49="N"),_xll.EVPRO($B$1,H49,"PSFTID"),""))</f>
        <v/>
      </c>
      <c r="N49" s="104" t="str">
        <f>IF(_epmOfflineCondition_,"Qualified",IF(_xll.EVDES(H49,$B$1)="#NODATA","",_xll.EVDES(H49,$B$1)))</f>
        <v>Qualified</v>
      </c>
      <c r="O49" s="275">
        <v>11213.2</v>
      </c>
      <c r="P49" s="276">
        <v>5347.2</v>
      </c>
      <c r="Q49" s="276">
        <v>28764.75</v>
      </c>
      <c r="R49" s="276">
        <v>18894.599999999999</v>
      </c>
      <c r="S49" s="276">
        <v>32297.93</v>
      </c>
      <c r="T49" s="276">
        <v>19777.2</v>
      </c>
      <c r="U49" s="276">
        <v>18019.849999999999</v>
      </c>
      <c r="V49" s="276">
        <v>7162.62</v>
      </c>
      <c r="W49" s="276">
        <v>12584.75</v>
      </c>
      <c r="X49" s="276">
        <v>13215.9</v>
      </c>
      <c r="Y49" s="276">
        <v>23932.639999999999</v>
      </c>
      <c r="Z49" s="276">
        <v>13839.7</v>
      </c>
      <c r="AA49" s="276">
        <f t="shared" si="0"/>
        <v>205050.33999999997</v>
      </c>
      <c r="AB49" s="277">
        <f t="shared" si="1"/>
        <v>2.1838829388966998E-2</v>
      </c>
      <c r="AC49" s="140"/>
      <c r="AD49" s="278">
        <v>326389.48</v>
      </c>
      <c r="AE49" s="277">
        <f t="shared" si="2"/>
        <v>5.492867068490697E-2</v>
      </c>
      <c r="AF49" s="279">
        <f t="shared" si="3"/>
        <v>-121339.14000000001</v>
      </c>
      <c r="AG49" s="279">
        <v>109937.22</v>
      </c>
      <c r="AH49" s="277">
        <f t="shared" si="4"/>
        <v>2.7021967180575587E-2</v>
      </c>
      <c r="AI49" s="280">
        <f t="shared" si="5"/>
        <v>95113.119999999966</v>
      </c>
    </row>
    <row r="50" spans="1:35" x14ac:dyDescent="0.35">
      <c r="A50" s="11"/>
      <c r="B50" s="11"/>
      <c r="C50" s="11"/>
      <c r="D50" s="11"/>
      <c r="E50" s="11"/>
      <c r="F50" s="11"/>
      <c r="G50" s="11"/>
      <c r="H50" s="88" t="s">
        <v>133</v>
      </c>
      <c r="I50" s="104" t="str">
        <f>IF(_epmOfflineCondition_,"T6",_xll.EVPRO($B$1,$H50,"STYLE"))</f>
        <v>T6</v>
      </c>
      <c r="J50" s="104" t="str">
        <f>IF(_epmOfflineCondition_,"Y",_xll.EVPRO($B$1,$H50,"CALC"))</f>
        <v>Y</v>
      </c>
      <c r="K50" s="104"/>
      <c r="L50" s="104" t="str">
        <f>IF(_epmOfflineCondition_,"402730",_xll.EVPRO($B$1,H50,"JDEID"))</f>
        <v>402730</v>
      </c>
      <c r="M50" s="90" t="str">
        <f>IF(_epmOfflineCondition_,"",IF(AND(I50="N",J50="N"),_xll.EVPRO($B$1,H50,"PSFTID"),""))</f>
        <v/>
      </c>
      <c r="N50" s="104" t="str">
        <f>IF(_epmOfflineCondition_,"Government",IF(_xll.EVDES(H50,$B$1)="#NODATA","",_xll.EVDES(H50,$B$1)))</f>
        <v>Government</v>
      </c>
      <c r="O50" s="275">
        <v>384</v>
      </c>
      <c r="P50" s="276">
        <v>3072</v>
      </c>
      <c r="Q50" s="276">
        <v>8832</v>
      </c>
      <c r="R50" s="276">
        <v>14058</v>
      </c>
      <c r="S50" s="276">
        <v>21300</v>
      </c>
      <c r="T50" s="276">
        <v>10454</v>
      </c>
      <c r="U50" s="276">
        <v>8275</v>
      </c>
      <c r="V50" s="276">
        <v>5860</v>
      </c>
      <c r="W50" s="276">
        <v>6333</v>
      </c>
      <c r="X50" s="276">
        <v>6609</v>
      </c>
      <c r="Y50" s="276">
        <v>9425</v>
      </c>
      <c r="Z50" s="276"/>
      <c r="AA50" s="276">
        <f t="shared" si="0"/>
        <v>94602</v>
      </c>
      <c r="AB50" s="277">
        <f t="shared" si="1"/>
        <v>1.0075559678930824E-2</v>
      </c>
      <c r="AC50" s="140"/>
      <c r="AD50" s="278">
        <v>46341</v>
      </c>
      <c r="AE50" s="277">
        <f t="shared" si="2"/>
        <v>7.7988099622857757E-3</v>
      </c>
      <c r="AF50" s="279">
        <f t="shared" si="3"/>
        <v>48261</v>
      </c>
      <c r="AG50" s="279">
        <v>58490</v>
      </c>
      <c r="AH50" s="277">
        <f t="shared" si="4"/>
        <v>1.4376521985837609E-2</v>
      </c>
      <c r="AI50" s="280">
        <f t="shared" si="5"/>
        <v>36112</v>
      </c>
    </row>
    <row r="51" spans="1:35" x14ac:dyDescent="0.35">
      <c r="A51" s="11"/>
      <c r="B51" s="11"/>
      <c r="C51" s="11"/>
      <c r="D51" s="11"/>
      <c r="E51" s="11"/>
      <c r="F51" s="11"/>
      <c r="G51" s="11"/>
      <c r="H51" s="88" t="s">
        <v>65</v>
      </c>
      <c r="I51" s="89" t="str">
        <f>IF(_epmOfflineCondition_,"T5",_xll.EVPRO($B$1,$H51,"STYLE"))</f>
        <v>T5</v>
      </c>
      <c r="J51" s="89" t="str">
        <f>IF(_epmOfflineCondition_,"Y",_xll.EVPRO($B$1,$H51,"CALC"))</f>
        <v>Y</v>
      </c>
      <c r="K51" s="107"/>
      <c r="L51" s="106" t="str">
        <f>IF(_epmOfflineCondition_,"402200",_xll.EVPRO($B$1,H51,"JDEID"))</f>
        <v>402200</v>
      </c>
      <c r="M51" s="90" t="str">
        <f>IF(_epmOfflineCondition_,"",IF(AND(I51="N",J51="N"),_xll.EVPRO($B$1,H51,"PSFTID"),""))</f>
        <v/>
      </c>
      <c r="N51" s="106" t="str">
        <f>IF(_epmOfflineCondition_,"Wholesale",IF(_xll.EVDES(H51,$B$1)="#NODATA","",_xll.EVDES(H51,$B$1)))</f>
        <v>Wholesale</v>
      </c>
      <c r="O51" s="281">
        <v>22577</v>
      </c>
      <c r="P51" s="282">
        <v>17380.93</v>
      </c>
      <c r="Q51" s="282">
        <v>35546.769999999997</v>
      </c>
      <c r="R51" s="282">
        <v>29694.01</v>
      </c>
      <c r="S51" s="282">
        <v>24692.65</v>
      </c>
      <c r="T51" s="282">
        <v>27078.52</v>
      </c>
      <c r="U51" s="282">
        <v>22880.81</v>
      </c>
      <c r="V51" s="282">
        <v>7162.54</v>
      </c>
      <c r="W51" s="282">
        <v>6601.14</v>
      </c>
      <c r="X51" s="282">
        <v>10273.56</v>
      </c>
      <c r="Y51" s="282">
        <v>18242.439999999999</v>
      </c>
      <c r="Z51" s="282">
        <v>59489.77</v>
      </c>
      <c r="AA51" s="282">
        <f t="shared" si="0"/>
        <v>281620.14</v>
      </c>
      <c r="AB51" s="283">
        <f t="shared" si="1"/>
        <v>2.9993874625894312E-2</v>
      </c>
      <c r="AC51" s="140"/>
      <c r="AD51" s="284">
        <v>231008.79</v>
      </c>
      <c r="AE51" s="283">
        <f t="shared" si="2"/>
        <v>3.8876883382481665E-2</v>
      </c>
      <c r="AF51" s="285">
        <f t="shared" si="3"/>
        <v>50611.350000000006</v>
      </c>
      <c r="AG51" s="285">
        <v>105114.35</v>
      </c>
      <c r="AH51" s="283">
        <f t="shared" si="4"/>
        <v>2.583653212176491E-2</v>
      </c>
      <c r="AI51" s="286">
        <f t="shared" si="5"/>
        <v>176505.79</v>
      </c>
    </row>
    <row r="52" spans="1:35" x14ac:dyDescent="0.35">
      <c r="A52" s="11"/>
      <c r="B52" s="11"/>
      <c r="C52" s="11"/>
      <c r="D52" s="11"/>
      <c r="E52" s="11"/>
      <c r="F52" s="11"/>
      <c r="G52" s="11"/>
      <c r="H52" s="88" t="s">
        <v>66</v>
      </c>
      <c r="I52" s="89" t="str">
        <f>IF(_epmOfflineCondition_,"T4",_xll.EVPRO($B$1,$H52,"STYLE"))</f>
        <v>T4</v>
      </c>
      <c r="J52" s="89" t="str">
        <f>IF(_epmOfflineCondition_,"Y",_xll.EVPRO($B$1,$H52,"CALC"))</f>
        <v>Y</v>
      </c>
      <c r="K52" s="107"/>
      <c r="L52" s="106" t="str">
        <f>IF(_epmOfflineCondition_,"402000",_xll.EVPRO($B$1,H52,"JDEID"))</f>
        <v>402000</v>
      </c>
      <c r="M52" s="90" t="str">
        <f>IF(_epmOfflineCondition_,"",IF(AND(I52="N",J52="N"),_xll.EVPRO($B$1,H52,"PSFTID"),""))</f>
        <v/>
      </c>
      <c r="N52" s="106" t="str">
        <f>IF(_epmOfflineCondition_,"Total Transient Room Rev",IF(_xll.EVDES(H52,$B$1)="#NODATA","",_xll.EVDES(H52,$B$1)))</f>
        <v>Total Transient Room Rev</v>
      </c>
      <c r="O52" s="287">
        <v>565814.78</v>
      </c>
      <c r="P52" s="288">
        <v>664413.18999999994</v>
      </c>
      <c r="Q52" s="288">
        <v>855328.73</v>
      </c>
      <c r="R52" s="288">
        <v>792496.16</v>
      </c>
      <c r="S52" s="288">
        <v>1001135.79</v>
      </c>
      <c r="T52" s="288">
        <v>805626.89</v>
      </c>
      <c r="U52" s="288">
        <v>934340.02</v>
      </c>
      <c r="V52" s="288">
        <v>527743.85</v>
      </c>
      <c r="W52" s="288">
        <v>415311.26</v>
      </c>
      <c r="X52" s="288">
        <v>534830.12</v>
      </c>
      <c r="Y52" s="288">
        <v>691475.19</v>
      </c>
      <c r="Z52" s="288">
        <v>1201423.8700000001</v>
      </c>
      <c r="AA52" s="288">
        <f t="shared" si="0"/>
        <v>8989939.8500000015</v>
      </c>
      <c r="AB52" s="289">
        <f t="shared" si="1"/>
        <v>0.95747104150729823</v>
      </c>
      <c r="AC52" s="140"/>
      <c r="AD52" s="290">
        <v>5727875.8700000001</v>
      </c>
      <c r="AE52" s="289">
        <f t="shared" si="2"/>
        <v>0.96395449812676259</v>
      </c>
      <c r="AF52" s="291">
        <f t="shared" si="3"/>
        <v>3262063.9800000014</v>
      </c>
      <c r="AG52" s="291">
        <v>3411914.34</v>
      </c>
      <c r="AH52" s="289">
        <f t="shared" si="4"/>
        <v>0.83862987729192362</v>
      </c>
      <c r="AI52" s="292">
        <f t="shared" si="5"/>
        <v>5578025.5100000016</v>
      </c>
    </row>
    <row r="53" spans="1:35" x14ac:dyDescent="0.35">
      <c r="A53" s="11"/>
      <c r="B53" s="11"/>
      <c r="C53" s="11"/>
      <c r="D53" s="11"/>
      <c r="E53" s="11"/>
      <c r="F53" s="11"/>
      <c r="G53" s="11"/>
      <c r="H53" s="88" t="s">
        <v>175</v>
      </c>
      <c r="I53" s="89" t="str">
        <f>IF(_epmOfflineCondition_,"B1",_xll.EVPRO($B$1,$H53,"STYLE"))</f>
        <v>B1</v>
      </c>
      <c r="J53" s="89" t="str">
        <f>IF(_epmOfflineCondition_,"Y",_xll.EVPRO($B$1,$H53,"CALC"))</f>
        <v>Y</v>
      </c>
      <c r="K53" s="107"/>
      <c r="L53" s="106" t="str">
        <f>IF(_epmOfflineCondition_,"",_xll.EVPRO($B$1,H53,"JDEID"))</f>
        <v/>
      </c>
      <c r="M53" s="90" t="str">
        <f>IF(_epmOfflineCondition_,"",IF(AND(I53="N",J53="N"),_xll.EVPRO($B$1,H53,"PSFTID"),""))</f>
        <v/>
      </c>
      <c r="N53" s="106" t="str">
        <f>IF(_epmOfflineCondition_,"BLANKROW",IF(_xll.EVDES(H53,$B$1)="#NODATA","",_xll.EVDES(H53,$B$1)))</f>
        <v>BLANKROW</v>
      </c>
      <c r="O53" s="293"/>
      <c r="P53" s="294"/>
      <c r="Q53" s="294"/>
      <c r="R53" s="294"/>
      <c r="S53" s="294"/>
      <c r="T53" s="294"/>
      <c r="U53" s="294"/>
      <c r="V53" s="294"/>
      <c r="W53" s="294"/>
      <c r="X53" s="294"/>
      <c r="Y53" s="294"/>
      <c r="Z53" s="294"/>
      <c r="AA53" s="294"/>
      <c r="AB53" s="295" t="str">
        <f t="shared" si="1"/>
        <v/>
      </c>
      <c r="AC53" s="140"/>
      <c r="AD53" s="296"/>
      <c r="AE53" s="295" t="str">
        <f t="shared" si="2"/>
        <v/>
      </c>
      <c r="AF53" s="297" t="str">
        <f t="shared" si="3"/>
        <v/>
      </c>
      <c r="AG53" s="297"/>
      <c r="AH53" s="295" t="str">
        <f t="shared" si="4"/>
        <v/>
      </c>
      <c r="AI53" s="298" t="str">
        <f t="shared" si="5"/>
        <v/>
      </c>
    </row>
    <row r="54" spans="1:35" x14ac:dyDescent="0.35">
      <c r="A54" s="11"/>
      <c r="B54" s="11"/>
      <c r="C54" s="11"/>
      <c r="D54" s="11"/>
      <c r="E54" s="11"/>
      <c r="F54" s="11"/>
      <c r="G54" s="11"/>
      <c r="H54" s="88" t="s">
        <v>87</v>
      </c>
      <c r="I54" s="89" t="str">
        <f>IF(_epmOfflineCondition_,"T5",_xll.EVPRO($B$1,$H54,"STYLE"))</f>
        <v>T5</v>
      </c>
      <c r="J54" s="89" t="str">
        <f>IF(_epmOfflineCondition_,"Y",_xll.EVPRO($B$1,$H54,"CALC"))</f>
        <v>Y</v>
      </c>
      <c r="K54" s="107"/>
      <c r="L54" s="106" t="str">
        <f>IF(_epmOfflineCondition_,"",_xll.EVPRO($B$1,H54,"JDEID"))</f>
        <v/>
      </c>
      <c r="M54" s="90" t="str">
        <f>IF(_epmOfflineCondition_,"",IF(AND(I54="N",J54="N"),_xll.EVPRO($B$1,H54,"PSFTID"),""))</f>
        <v/>
      </c>
      <c r="N54" s="106" t="str">
        <f>IF(_epmOfflineCondition_,"Corporate",IF(_xll.EVDES(H54,$B$1)="#NODATA","",_xll.EVDES(H54,$B$1)))</f>
        <v>Corporate</v>
      </c>
      <c r="O54" s="269">
        <v>14618</v>
      </c>
      <c r="P54" s="270">
        <v>20358</v>
      </c>
      <c r="Q54" s="270">
        <v>8073</v>
      </c>
      <c r="R54" s="270">
        <v>42955</v>
      </c>
      <c r="S54" s="270">
        <v>4273</v>
      </c>
      <c r="T54" s="270">
        <v>10491</v>
      </c>
      <c r="U54" s="270">
        <v>338</v>
      </c>
      <c r="V54" s="270">
        <v>4702</v>
      </c>
      <c r="W54" s="270">
        <v>8242</v>
      </c>
      <c r="X54" s="270">
        <v>8772</v>
      </c>
      <c r="Y54" s="270">
        <v>62347</v>
      </c>
      <c r="Z54" s="270">
        <v>84788.85</v>
      </c>
      <c r="AA54" s="270">
        <f t="shared" ref="AA54:AA69" si="6">SUM(O54:Z54)</f>
        <v>269957.84999999998</v>
      </c>
      <c r="AB54" s="271">
        <f t="shared" si="1"/>
        <v>2.8751785675470445E-2</v>
      </c>
      <c r="AC54" s="140"/>
      <c r="AD54" s="272">
        <v>107109.24</v>
      </c>
      <c r="AE54" s="271">
        <f t="shared" si="2"/>
        <v>1.8025606006880694E-2</v>
      </c>
      <c r="AF54" s="273">
        <f t="shared" si="3"/>
        <v>162848.60999999999</v>
      </c>
      <c r="AG54" s="273">
        <v>329331</v>
      </c>
      <c r="AH54" s="271">
        <f t="shared" si="4"/>
        <v>8.0947757943543946E-2</v>
      </c>
      <c r="AI54" s="274">
        <f t="shared" si="5"/>
        <v>-59373.150000000023</v>
      </c>
    </row>
    <row r="55" spans="1:35" x14ac:dyDescent="0.35">
      <c r="A55" s="11"/>
      <c r="B55" s="11"/>
      <c r="C55" s="11"/>
      <c r="D55" s="11"/>
      <c r="E55" s="11"/>
      <c r="F55" s="11"/>
      <c r="G55" s="11"/>
      <c r="H55" s="88" t="s">
        <v>134</v>
      </c>
      <c r="I55" s="104" t="str">
        <f>IF(_epmOfflineCondition_,"T6",_xll.EVPRO($B$1,$H55,"STYLE"))</f>
        <v>T6</v>
      </c>
      <c r="J55" s="104" t="str">
        <f>IF(_epmOfflineCondition_,"Y",_xll.EVPRO($B$1,$H55,"CALC"))</f>
        <v>Y</v>
      </c>
      <c r="K55" s="104"/>
      <c r="L55" s="104" t="str">
        <f>IF(_epmOfflineCondition_,"401100",_xll.EVPRO($B$1,H55,"JDEID"))</f>
        <v>401100</v>
      </c>
      <c r="M55" s="90" t="str">
        <f>IF(_epmOfflineCondition_,"",IF(AND(I55="N",J55="N"),_xll.EVPRO($B$1,H55,"PSFTID"),""))</f>
        <v/>
      </c>
      <c r="N55" s="104" t="str">
        <f>IF(_epmOfflineCondition_,"Corporate",IF(_xll.EVDES(H55,$B$1)="#NODATA","",_xll.EVDES(H55,$B$1)))</f>
        <v>Corporate</v>
      </c>
      <c r="O55" s="275"/>
      <c r="P55" s="276"/>
      <c r="Q55" s="276"/>
      <c r="R55" s="276">
        <v>11985</v>
      </c>
      <c r="S55" s="276">
        <v>4104</v>
      </c>
      <c r="T55" s="276"/>
      <c r="U55" s="276"/>
      <c r="V55" s="276"/>
      <c r="W55" s="276">
        <v>8242</v>
      </c>
      <c r="X55" s="276">
        <v>8772</v>
      </c>
      <c r="Y55" s="276">
        <v>21827</v>
      </c>
      <c r="Z55" s="276">
        <v>23803.85</v>
      </c>
      <c r="AA55" s="276">
        <f t="shared" si="6"/>
        <v>78733.850000000006</v>
      </c>
      <c r="AB55" s="277">
        <f t="shared" si="1"/>
        <v>8.3855267798459612E-3</v>
      </c>
      <c r="AC55" s="140"/>
      <c r="AD55" s="278">
        <v>62427.4</v>
      </c>
      <c r="AE55" s="277">
        <f t="shared" si="2"/>
        <v>1.0506019055255585E-2</v>
      </c>
      <c r="AF55" s="279">
        <f t="shared" si="3"/>
        <v>16306.450000000004</v>
      </c>
      <c r="AG55" s="279">
        <v>140250</v>
      </c>
      <c r="AH55" s="277">
        <f t="shared" si="4"/>
        <v>3.4472682655389379E-2</v>
      </c>
      <c r="AI55" s="280">
        <f t="shared" si="5"/>
        <v>-61516.149999999994</v>
      </c>
    </row>
    <row r="56" spans="1:35" x14ac:dyDescent="0.35">
      <c r="A56" s="11"/>
      <c r="B56" s="11"/>
      <c r="C56" s="11"/>
      <c r="D56" s="11"/>
      <c r="E56" s="11"/>
      <c r="F56" s="11"/>
      <c r="G56" s="76"/>
      <c r="H56" s="88" t="s">
        <v>135</v>
      </c>
      <c r="I56" s="104" t="str">
        <f>IF(_epmOfflineCondition_,"T6",_xll.EVPRO($B$1,$H56,"STYLE"))</f>
        <v>T6</v>
      </c>
      <c r="J56" s="104" t="str">
        <f>IF(_epmOfflineCondition_,"Y",_xll.EVPRO($B$1,$H56,"CALC"))</f>
        <v>Y</v>
      </c>
      <c r="K56" s="104"/>
      <c r="L56" s="104" t="str">
        <f>IF(_epmOfflineCondition_,"401500",_xll.EVPRO($B$1,H56,"JDEID"))</f>
        <v>401500</v>
      </c>
      <c r="M56" s="90" t="str">
        <f>IF(_epmOfflineCondition_,"",IF(AND(I56="N",J56="N"),_xll.EVPRO($B$1,H56,"PSFTID"),""))</f>
        <v/>
      </c>
      <c r="N56" s="104" t="str">
        <f>IF(_epmOfflineCondition_,"Entertainment/Sports",IF(_xll.EVDES(H56,$B$1)="#NODATA","",_xll.EVDES(H56,$B$1)))</f>
        <v>Entertainment/Sports</v>
      </c>
      <c r="O56" s="275">
        <v>14618</v>
      </c>
      <c r="P56" s="276">
        <v>20358</v>
      </c>
      <c r="Q56" s="276">
        <v>8073</v>
      </c>
      <c r="R56" s="276">
        <v>30970</v>
      </c>
      <c r="S56" s="276">
        <v>169</v>
      </c>
      <c r="T56" s="276">
        <v>10491</v>
      </c>
      <c r="U56" s="276">
        <v>338</v>
      </c>
      <c r="V56" s="276">
        <v>4702</v>
      </c>
      <c r="W56" s="276"/>
      <c r="X56" s="276"/>
      <c r="Y56" s="276">
        <v>40520</v>
      </c>
      <c r="Z56" s="276">
        <v>60985</v>
      </c>
      <c r="AA56" s="276">
        <f t="shared" si="6"/>
        <v>191224</v>
      </c>
      <c r="AB56" s="277">
        <f t="shared" si="1"/>
        <v>2.0366258895624489E-2</v>
      </c>
      <c r="AC56" s="140"/>
      <c r="AD56" s="278">
        <v>44681.84</v>
      </c>
      <c r="AE56" s="277">
        <f t="shared" si="2"/>
        <v>7.519586951625106E-3</v>
      </c>
      <c r="AF56" s="279">
        <f t="shared" si="3"/>
        <v>146542.16</v>
      </c>
      <c r="AG56" s="279">
        <v>189081</v>
      </c>
      <c r="AH56" s="277">
        <f t="shared" si="4"/>
        <v>4.6475075288154574E-2</v>
      </c>
      <c r="AI56" s="280">
        <f t="shared" si="5"/>
        <v>2143</v>
      </c>
    </row>
    <row r="57" spans="1:35" x14ac:dyDescent="0.35">
      <c r="A57" s="11"/>
      <c r="B57" s="11"/>
      <c r="C57" s="11"/>
      <c r="D57" s="11"/>
      <c r="E57" s="11"/>
      <c r="F57" s="11"/>
      <c r="G57" s="11"/>
      <c r="H57" s="88" t="s">
        <v>88</v>
      </c>
      <c r="I57" s="89" t="str">
        <f>IF(_epmOfflineCondition_,"T5",_xll.EVPRO($B$1,$H57,"STYLE"))</f>
        <v>T5</v>
      </c>
      <c r="J57" s="89" t="str">
        <f>IF(_epmOfflineCondition_,"Y",_xll.EVPRO($B$1,$H57,"CALC"))</f>
        <v>Y</v>
      </c>
      <c r="K57" s="107"/>
      <c r="L57" s="106" t="str">
        <f>IF(_epmOfflineCondition_,"",_xll.EVPRO($B$1,H57,"JDEID"))</f>
        <v/>
      </c>
      <c r="M57" s="90" t="str">
        <f>IF(_epmOfflineCondition_,"",IF(AND(I57="N",J57="N"),_xll.EVPRO($B$1,H57,"PSFTID"),""))</f>
        <v/>
      </c>
      <c r="N57" s="106" t="str">
        <f>IF(_epmOfflineCondition_,"Association/Convention",IF(_xll.EVDES(H57,$B$1)="#NODATA","",_xll.EVDES(H57,$B$1)))</f>
        <v>Association/Convention</v>
      </c>
      <c r="O57" s="269"/>
      <c r="P57" s="270"/>
      <c r="Q57" s="270"/>
      <c r="R57" s="270">
        <v>8027</v>
      </c>
      <c r="S57" s="270">
        <v>5626</v>
      </c>
      <c r="T57" s="270"/>
      <c r="U57" s="270"/>
      <c r="V57" s="270"/>
      <c r="W57" s="270">
        <v>199</v>
      </c>
      <c r="X57" s="270"/>
      <c r="Y57" s="270"/>
      <c r="Z57" s="270"/>
      <c r="AA57" s="270">
        <f t="shared" si="6"/>
        <v>13852</v>
      </c>
      <c r="AB57" s="271">
        <f t="shared" si="1"/>
        <v>1.4753034045004311E-3</v>
      </c>
      <c r="AC57" s="140"/>
      <c r="AD57" s="272"/>
      <c r="AE57" s="271" t="str">
        <f t="shared" si="2"/>
        <v/>
      </c>
      <c r="AF57" s="273">
        <f t="shared" si="3"/>
        <v>13852</v>
      </c>
      <c r="AG57" s="273">
        <v>200279.52</v>
      </c>
      <c r="AH57" s="271">
        <f t="shared" si="4"/>
        <v>4.9227610234108446E-2</v>
      </c>
      <c r="AI57" s="274">
        <f t="shared" si="5"/>
        <v>-186427.51999999999</v>
      </c>
    </row>
    <row r="58" spans="1:35" x14ac:dyDescent="0.35">
      <c r="A58" s="11"/>
      <c r="B58" s="11"/>
      <c r="C58" s="11"/>
      <c r="D58" s="11"/>
      <c r="E58" s="11"/>
      <c r="F58" s="11"/>
      <c r="G58" s="11"/>
      <c r="H58" s="88" t="s">
        <v>136</v>
      </c>
      <c r="I58" s="104" t="str">
        <f>IF(_epmOfflineCondition_,"T6",_xll.EVPRO($B$1,$H58,"STYLE"))</f>
        <v>T6</v>
      </c>
      <c r="J58" s="104" t="str">
        <f>IF(_epmOfflineCondition_,"Y",_xll.EVPRO($B$1,$H58,"CALC"))</f>
        <v>Y</v>
      </c>
      <c r="K58" s="104"/>
      <c r="L58" s="104" t="str">
        <f>IF(_epmOfflineCondition_,"401400",_xll.EVPRO($B$1,H58,"JDEID"))</f>
        <v>401400</v>
      </c>
      <c r="M58" s="90" t="str">
        <f>IF(_epmOfflineCondition_,"",IF(AND(I58="N",J58="N"),_xll.EVPRO($B$1,H58,"PSFTID"),""))</f>
        <v/>
      </c>
      <c r="N58" s="104" t="str">
        <f>IF(_epmOfflineCondition_,"Association",IF(_xll.EVDES(H58,$B$1)="#NODATA","",_xll.EVDES(H58,$B$1)))</f>
        <v>Association</v>
      </c>
      <c r="O58" s="275"/>
      <c r="P58" s="276"/>
      <c r="Q58" s="276"/>
      <c r="R58" s="276">
        <v>8027</v>
      </c>
      <c r="S58" s="276">
        <v>5626</v>
      </c>
      <c r="T58" s="276"/>
      <c r="U58" s="276"/>
      <c r="V58" s="276"/>
      <c r="W58" s="276"/>
      <c r="X58" s="276"/>
      <c r="Y58" s="276"/>
      <c r="Z58" s="276"/>
      <c r="AA58" s="276">
        <f t="shared" si="6"/>
        <v>13653</v>
      </c>
      <c r="AB58" s="277">
        <f t="shared" si="1"/>
        <v>1.4541089648891412E-3</v>
      </c>
      <c r="AC58" s="140"/>
      <c r="AD58" s="278"/>
      <c r="AE58" s="277" t="str">
        <f t="shared" si="2"/>
        <v/>
      </c>
      <c r="AF58" s="279">
        <f t="shared" si="3"/>
        <v>13653</v>
      </c>
      <c r="AG58" s="279">
        <v>5675</v>
      </c>
      <c r="AH58" s="277">
        <f t="shared" si="4"/>
        <v>1.3948839505834917E-3</v>
      </c>
      <c r="AI58" s="280">
        <f t="shared" si="5"/>
        <v>7978</v>
      </c>
    </row>
    <row r="59" spans="1:35" x14ac:dyDescent="0.35">
      <c r="A59" s="11"/>
      <c r="B59" s="11"/>
      <c r="C59" s="11"/>
      <c r="D59" s="11"/>
      <c r="E59" s="11"/>
      <c r="F59" s="11"/>
      <c r="G59" s="11"/>
      <c r="H59" s="88" t="s">
        <v>137</v>
      </c>
      <c r="I59" s="104" t="str">
        <f>IF(_epmOfflineCondition_,"T6",_xll.EVPRO($B$1,$H59,"STYLE"))</f>
        <v>T6</v>
      </c>
      <c r="J59" s="104" t="str">
        <f>IF(_epmOfflineCondition_,"Y",_xll.EVPRO($B$1,$H59,"CALC"))</f>
        <v>Y</v>
      </c>
      <c r="K59" s="104"/>
      <c r="L59" s="104" t="str">
        <f>IF(_epmOfflineCondition_,"401600",_xll.EVPRO($B$1,H59,"JDEID"))</f>
        <v>401600</v>
      </c>
      <c r="M59" s="90" t="str">
        <f>IF(_epmOfflineCondition_,"",IF(AND(I59="N",J59="N"),_xll.EVPRO($B$1,H59,"PSFTID"),""))</f>
        <v/>
      </c>
      <c r="N59" s="104" t="str">
        <f>IF(_epmOfflineCondition_,"Convention",IF(_xll.EVDES(H59,$B$1)="#NODATA","",_xll.EVDES(H59,$B$1)))</f>
        <v>Convention</v>
      </c>
      <c r="O59" s="275"/>
      <c r="P59" s="276"/>
      <c r="Q59" s="276"/>
      <c r="R59" s="276"/>
      <c r="S59" s="276"/>
      <c r="T59" s="276"/>
      <c r="U59" s="276"/>
      <c r="V59" s="276"/>
      <c r="W59" s="276">
        <v>199</v>
      </c>
      <c r="X59" s="276"/>
      <c r="Y59" s="276"/>
      <c r="Z59" s="276"/>
      <c r="AA59" s="276">
        <f t="shared" si="6"/>
        <v>199</v>
      </c>
      <c r="AB59" s="277">
        <f t="shared" si="1"/>
        <v>2.1194439611289761E-5</v>
      </c>
      <c r="AC59" s="140"/>
      <c r="AD59" s="278"/>
      <c r="AE59" s="277" t="str">
        <f t="shared" si="2"/>
        <v/>
      </c>
      <c r="AF59" s="279">
        <f t="shared" si="3"/>
        <v>199</v>
      </c>
      <c r="AG59" s="279">
        <v>194604.52</v>
      </c>
      <c r="AH59" s="277">
        <f t="shared" si="4"/>
        <v>4.7832726283524953E-2</v>
      </c>
      <c r="AI59" s="280">
        <f t="shared" si="5"/>
        <v>-194405.52</v>
      </c>
    </row>
    <row r="60" spans="1:35" x14ac:dyDescent="0.35">
      <c r="A60" s="11"/>
      <c r="B60" s="11"/>
      <c r="C60" s="11"/>
      <c r="D60" s="11"/>
      <c r="E60" s="11"/>
      <c r="F60" s="11"/>
      <c r="G60" s="11"/>
      <c r="H60" s="88" t="s">
        <v>89</v>
      </c>
      <c r="I60" s="89" t="str">
        <f>IF(_epmOfflineCondition_,"T5",_xll.EVPRO($B$1,$H60,"STYLE"))</f>
        <v>T5</v>
      </c>
      <c r="J60" s="89" t="str">
        <f>IF(_epmOfflineCondition_,"Y",_xll.EVPRO($B$1,$H60,"CALC"))</f>
        <v>Y</v>
      </c>
      <c r="K60" s="107"/>
      <c r="L60" s="106" t="str">
        <f>IF(_epmOfflineCondition_,"401800",_xll.EVPRO($B$1,H60,"JDEID"))</f>
        <v>401800</v>
      </c>
      <c r="M60" s="90" t="str">
        <f>IF(_epmOfflineCondition_,"",IF(AND(I60="N",J60="N"),_xll.EVPRO($B$1,H60,"PSFTID"),""))</f>
        <v/>
      </c>
      <c r="N60" s="106" t="str">
        <f>IF(_epmOfflineCondition_,"Government",IF(_xll.EVDES(H60,$B$1)="#NODATA","",_xll.EVDES(H60,$B$1)))</f>
        <v>Government</v>
      </c>
      <c r="O60" s="269"/>
      <c r="P60" s="270"/>
      <c r="Q60" s="270"/>
      <c r="R60" s="270"/>
      <c r="S60" s="270"/>
      <c r="T60" s="270"/>
      <c r="U60" s="270"/>
      <c r="V60" s="270"/>
      <c r="W60" s="270"/>
      <c r="X60" s="270"/>
      <c r="Y60" s="270"/>
      <c r="Z60" s="270"/>
      <c r="AA60" s="270">
        <f t="shared" si="6"/>
        <v>0</v>
      </c>
      <c r="AB60" s="271" t="str">
        <f t="shared" si="1"/>
        <v/>
      </c>
      <c r="AC60" s="140"/>
      <c r="AD60" s="272">
        <v>18895</v>
      </c>
      <c r="AE60" s="271">
        <f t="shared" si="2"/>
        <v>3.1798734217515748E-3</v>
      </c>
      <c r="AF60" s="273">
        <f t="shared" si="3"/>
        <v>-18895</v>
      </c>
      <c r="AG60" s="273">
        <v>7790</v>
      </c>
      <c r="AH60" s="271">
        <f t="shared" si="4"/>
        <v>1.9147393788626257E-3</v>
      </c>
      <c r="AI60" s="274">
        <f t="shared" si="5"/>
        <v>-7790</v>
      </c>
    </row>
    <row r="61" spans="1:35" x14ac:dyDescent="0.35">
      <c r="A61" s="11"/>
      <c r="B61" s="11"/>
      <c r="C61" s="11"/>
      <c r="D61" s="11"/>
      <c r="E61" s="11"/>
      <c r="F61" s="11"/>
      <c r="G61" s="11"/>
      <c r="H61" s="88" t="s">
        <v>90</v>
      </c>
      <c r="I61" s="89" t="str">
        <f>IF(_epmOfflineCondition_,"T5",_xll.EVPRO($B$1,$H61,"STYLE"))</f>
        <v>T5</v>
      </c>
      <c r="J61" s="89" t="str">
        <f>IF(_epmOfflineCondition_,"Y",_xll.EVPRO($B$1,$H61,"CALC"))</f>
        <v>Y</v>
      </c>
      <c r="K61" s="107"/>
      <c r="L61" s="106" t="str">
        <f>IF(_epmOfflineCondition_,"",_xll.EVPRO($B$1,H61,"JDEID"))</f>
        <v/>
      </c>
      <c r="M61" s="90" t="str">
        <f>IF(_epmOfflineCondition_,"",IF(AND(I61="N",J61="N"),_xll.EVPRO($B$1,H61,"PSFTID"),""))</f>
        <v/>
      </c>
      <c r="N61" s="106" t="str">
        <f>IF(_epmOfflineCondition_,"Tour/Wholesalers",IF(_xll.EVDES(H61,$B$1)="#NODATA","",_xll.EVDES(H61,$B$1)))</f>
        <v>Tour/Wholesalers</v>
      </c>
      <c r="O61" s="269"/>
      <c r="P61" s="270"/>
      <c r="Q61" s="270"/>
      <c r="R61" s="270"/>
      <c r="S61" s="270"/>
      <c r="T61" s="270"/>
      <c r="U61" s="270"/>
      <c r="V61" s="270"/>
      <c r="W61" s="270"/>
      <c r="X61" s="270"/>
      <c r="Y61" s="270"/>
      <c r="Z61" s="270"/>
      <c r="AA61" s="270">
        <f t="shared" si="6"/>
        <v>0</v>
      </c>
      <c r="AB61" s="271" t="str">
        <f t="shared" si="1"/>
        <v/>
      </c>
      <c r="AC61" s="140"/>
      <c r="AD61" s="272">
        <v>31088.37</v>
      </c>
      <c r="AE61" s="271">
        <f t="shared" si="2"/>
        <v>5.2319175172574226E-3</v>
      </c>
      <c r="AF61" s="273">
        <f t="shared" si="3"/>
        <v>-31088.37</v>
      </c>
      <c r="AG61" s="273">
        <v>30763.72</v>
      </c>
      <c r="AH61" s="271">
        <f t="shared" si="4"/>
        <v>7.5615540596025337E-3</v>
      </c>
      <c r="AI61" s="274">
        <f t="shared" si="5"/>
        <v>-30763.72</v>
      </c>
    </row>
    <row r="62" spans="1:35" x14ac:dyDescent="0.35">
      <c r="A62" s="11"/>
      <c r="B62" s="11"/>
      <c r="C62" s="11"/>
      <c r="D62" s="11"/>
      <c r="E62" s="11"/>
      <c r="F62" s="11"/>
      <c r="G62" s="11"/>
      <c r="H62" s="88" t="s">
        <v>138</v>
      </c>
      <c r="I62" s="104" t="str">
        <f>IF(_epmOfflineCondition_,"T6",_xll.EVPRO($B$1,$H62,"STYLE"))</f>
        <v>T6</v>
      </c>
      <c r="J62" s="104" t="str">
        <f>IF(_epmOfflineCondition_,"Y",_xll.EVPRO($B$1,$H62,"CALC"))</f>
        <v>Y</v>
      </c>
      <c r="K62" s="104"/>
      <c r="L62" s="104" t="str">
        <f>IF(_epmOfflineCondition_,"401300",_xll.EVPRO($B$1,H62,"JDEID"))</f>
        <v>401300</v>
      </c>
      <c r="M62" s="90" t="str">
        <f>IF(_epmOfflineCondition_,"",IF(AND(I62="N",J62="N"),_xll.EVPRO($B$1,H62,"PSFTID"),""))</f>
        <v/>
      </c>
      <c r="N62" s="104" t="str">
        <f>IF(_epmOfflineCondition_,"Tour/Wholesale",IF(_xll.EVDES(H62,$B$1)="#NODATA","",_xll.EVDES(H62,$B$1)))</f>
        <v>Tour/Wholesale</v>
      </c>
      <c r="O62" s="275"/>
      <c r="P62" s="276"/>
      <c r="Q62" s="276"/>
      <c r="R62" s="276"/>
      <c r="S62" s="276"/>
      <c r="T62" s="276"/>
      <c r="U62" s="276"/>
      <c r="V62" s="276"/>
      <c r="W62" s="276"/>
      <c r="X62" s="276"/>
      <c r="Y62" s="276"/>
      <c r="Z62" s="276"/>
      <c r="AA62" s="276">
        <f t="shared" si="6"/>
        <v>0</v>
      </c>
      <c r="AB62" s="277" t="str">
        <f t="shared" si="1"/>
        <v/>
      </c>
      <c r="AC62" s="140"/>
      <c r="AD62" s="278"/>
      <c r="AE62" s="277" t="str">
        <f t="shared" si="2"/>
        <v/>
      </c>
      <c r="AF62" s="279">
        <f t="shared" si="3"/>
        <v>0</v>
      </c>
      <c r="AG62" s="279">
        <v>4880</v>
      </c>
      <c r="AH62" s="277">
        <f t="shared" si="4"/>
        <v>1.1994773002374343E-3</v>
      </c>
      <c r="AI62" s="280">
        <f t="shared" si="5"/>
        <v>-4880</v>
      </c>
    </row>
    <row r="63" spans="1:35" x14ac:dyDescent="0.35">
      <c r="A63" s="11"/>
      <c r="B63" s="11"/>
      <c r="C63" s="11"/>
      <c r="D63" s="11"/>
      <c r="E63" s="11"/>
      <c r="F63" s="11"/>
      <c r="G63" s="11"/>
      <c r="H63" s="88" t="s">
        <v>139</v>
      </c>
      <c r="I63" s="104" t="str">
        <f>IF(_epmOfflineCondition_,"T6",_xll.EVPRO($B$1,$H63,"STYLE"))</f>
        <v>T6</v>
      </c>
      <c r="J63" s="104" t="str">
        <f>IF(_epmOfflineCondition_,"Y",_xll.EVPRO($B$1,$H63,"CALC"))</f>
        <v>Y</v>
      </c>
      <c r="K63" s="104"/>
      <c r="L63" s="104" t="str">
        <f>IF(_epmOfflineCondition_,"401330",_xll.EVPRO($B$1,H63,"JDEID"))</f>
        <v>401330</v>
      </c>
      <c r="M63" s="90" t="str">
        <f>IF(_epmOfflineCondition_,"",IF(AND(I63="N",J63="N"),_xll.EVPRO($B$1,H63,"PSFTID"),""))</f>
        <v/>
      </c>
      <c r="N63" s="104" t="str">
        <f>IF(_epmOfflineCondition_,"MICE",IF(_xll.EVDES(H63,$B$1)="#NODATA","",_xll.EVDES(H63,$B$1)))</f>
        <v>MICE</v>
      </c>
      <c r="O63" s="275"/>
      <c r="P63" s="276"/>
      <c r="Q63" s="276"/>
      <c r="R63" s="276"/>
      <c r="S63" s="276"/>
      <c r="T63" s="276"/>
      <c r="U63" s="276"/>
      <c r="V63" s="276"/>
      <c r="W63" s="276"/>
      <c r="X63" s="276"/>
      <c r="Y63" s="276"/>
      <c r="Z63" s="276"/>
      <c r="AA63" s="276">
        <f t="shared" si="6"/>
        <v>0</v>
      </c>
      <c r="AB63" s="277" t="str">
        <f t="shared" si="1"/>
        <v/>
      </c>
      <c r="AC63" s="140"/>
      <c r="AD63" s="278">
        <v>31088.37</v>
      </c>
      <c r="AE63" s="277">
        <f t="shared" si="2"/>
        <v>5.2319175172574226E-3</v>
      </c>
      <c r="AF63" s="279">
        <f t="shared" si="3"/>
        <v>-31088.37</v>
      </c>
      <c r="AG63" s="279">
        <v>25883.72</v>
      </c>
      <c r="AH63" s="277">
        <f t="shared" si="4"/>
        <v>6.3620767593650989E-3</v>
      </c>
      <c r="AI63" s="280">
        <f t="shared" si="5"/>
        <v>-25883.72</v>
      </c>
    </row>
    <row r="64" spans="1:35" x14ac:dyDescent="0.35">
      <c r="A64" s="11"/>
      <c r="B64" s="11"/>
      <c r="C64" s="11"/>
      <c r="D64" s="11"/>
      <c r="E64" s="11"/>
      <c r="F64" s="11"/>
      <c r="G64" s="11"/>
      <c r="H64" s="88" t="s">
        <v>68</v>
      </c>
      <c r="I64" s="89" t="str">
        <f>IF(_epmOfflineCondition_,"T5",_xll.EVPRO($B$1,$H64,"STYLE"))</f>
        <v>T5</v>
      </c>
      <c r="J64" s="89" t="str">
        <f>IF(_epmOfflineCondition_,"Y",_xll.EVPRO($B$1,$H64,"CALC"))</f>
        <v>Y</v>
      </c>
      <c r="K64" s="107"/>
      <c r="L64" s="106" t="str">
        <f>IF(_epmOfflineCondition_,"401200",_xll.EVPRO($B$1,H64,"JDEID"))</f>
        <v>401200</v>
      </c>
      <c r="M64" s="90" t="str">
        <f>IF(_epmOfflineCondition_,"",IF(AND(I64="N",J64="N"),_xll.EVPRO($B$1,H64,"PSFTID"),""))</f>
        <v/>
      </c>
      <c r="N64" s="106" t="str">
        <f>IF(_epmOfflineCondition_,"SMERF",IF(_xll.EVDES(H64,$B$1)="#NODATA","",_xll.EVDES(H64,$B$1)))</f>
        <v>SMERF</v>
      </c>
      <c r="O64" s="281"/>
      <c r="P64" s="282"/>
      <c r="Q64" s="282">
        <v>199</v>
      </c>
      <c r="R64" s="282">
        <v>14148</v>
      </c>
      <c r="S64" s="282">
        <v>1243</v>
      </c>
      <c r="T64" s="282">
        <v>10627</v>
      </c>
      <c r="U64" s="282">
        <v>16613</v>
      </c>
      <c r="V64" s="282"/>
      <c r="W64" s="282">
        <v>2312</v>
      </c>
      <c r="X64" s="282">
        <v>7176</v>
      </c>
      <c r="Y64" s="282">
        <v>18080</v>
      </c>
      <c r="Z64" s="282"/>
      <c r="AA64" s="282">
        <f t="shared" si="6"/>
        <v>70398</v>
      </c>
      <c r="AB64" s="283">
        <f t="shared" si="1"/>
        <v>7.4977193957566661E-3</v>
      </c>
      <c r="AC64" s="140"/>
      <c r="AD64" s="284">
        <v>22021.200000000001</v>
      </c>
      <c r="AE64" s="283">
        <f t="shared" si="2"/>
        <v>3.7059872238727593E-3</v>
      </c>
      <c r="AF64" s="285">
        <f t="shared" si="3"/>
        <v>48376.800000000003</v>
      </c>
      <c r="AG64" s="285">
        <v>26000</v>
      </c>
      <c r="AH64" s="283">
        <f t="shared" si="4"/>
        <v>6.3906577471666585E-3</v>
      </c>
      <c r="AI64" s="286">
        <f t="shared" si="5"/>
        <v>44398</v>
      </c>
    </row>
    <row r="65" spans="1:35" x14ac:dyDescent="0.35">
      <c r="A65" s="11"/>
      <c r="B65" s="11"/>
      <c r="C65" s="11"/>
      <c r="D65" s="11"/>
      <c r="E65" s="11"/>
      <c r="F65" s="11"/>
      <c r="G65" s="11"/>
      <c r="H65" s="88" t="s">
        <v>64</v>
      </c>
      <c r="I65" s="89" t="str">
        <f>IF(_epmOfflineCondition_,"T4",_xll.EVPRO($B$1,$H65,"STYLE"))</f>
        <v>T4</v>
      </c>
      <c r="J65" s="89" t="str">
        <f>IF(_epmOfflineCondition_,"Y",_xll.EVPRO($B$1,$H65,"CALC"))</f>
        <v>Y</v>
      </c>
      <c r="K65" s="107"/>
      <c r="L65" s="106" t="str">
        <f>IF(_epmOfflineCondition_,"401000",_xll.EVPRO($B$1,H65,"JDEID"))</f>
        <v>401000</v>
      </c>
      <c r="M65" s="90" t="str">
        <f>IF(_epmOfflineCondition_,"",IF(AND(I65="N",J65="N"),_xll.EVPRO($B$1,H65,"PSFTID"),""))</f>
        <v/>
      </c>
      <c r="N65" s="106" t="str">
        <f>IF(_epmOfflineCondition_,"Total Group Room Rev",IF(_xll.EVDES(H65,$B$1)="#NODATA","",_xll.EVDES(H65,$B$1)))</f>
        <v>Total Group Room Rev</v>
      </c>
      <c r="O65" s="287">
        <v>14618</v>
      </c>
      <c r="P65" s="288">
        <v>20358</v>
      </c>
      <c r="Q65" s="288">
        <v>8272</v>
      </c>
      <c r="R65" s="288">
        <v>65130</v>
      </c>
      <c r="S65" s="288">
        <v>11142</v>
      </c>
      <c r="T65" s="288">
        <v>21118</v>
      </c>
      <c r="U65" s="288">
        <v>16951</v>
      </c>
      <c r="V65" s="288">
        <v>4702</v>
      </c>
      <c r="W65" s="288">
        <v>10753</v>
      </c>
      <c r="X65" s="288">
        <v>15948</v>
      </c>
      <c r="Y65" s="288">
        <v>80427</v>
      </c>
      <c r="Z65" s="288">
        <v>84788.85</v>
      </c>
      <c r="AA65" s="288">
        <f t="shared" si="6"/>
        <v>354207.85</v>
      </c>
      <c r="AB65" s="289">
        <f t="shared" si="1"/>
        <v>3.7724808475727546E-2</v>
      </c>
      <c r="AC65" s="140"/>
      <c r="AD65" s="290">
        <v>179113.81</v>
      </c>
      <c r="AE65" s="289">
        <f t="shared" si="2"/>
        <v>3.0143384169762446E-2</v>
      </c>
      <c r="AF65" s="291">
        <f t="shared" si="3"/>
        <v>175094.03999999998</v>
      </c>
      <c r="AG65" s="291">
        <v>594164.24</v>
      </c>
      <c r="AH65" s="289">
        <f t="shared" si="4"/>
        <v>0.14604231936328421</v>
      </c>
      <c r="AI65" s="292">
        <f t="shared" si="5"/>
        <v>-239956.39</v>
      </c>
    </row>
    <row r="66" spans="1:35" x14ac:dyDescent="0.35">
      <c r="A66" s="11"/>
      <c r="B66" s="11"/>
      <c r="C66" s="11"/>
      <c r="D66" s="11"/>
      <c r="E66" s="11"/>
      <c r="F66" s="11"/>
      <c r="G66" s="11"/>
      <c r="H66" s="88" t="s">
        <v>140</v>
      </c>
      <c r="I66" s="104" t="str">
        <f>IF(_epmOfflineCondition_,"T6",_xll.EVPRO($B$1,$H66,"STYLE"))</f>
        <v>T6</v>
      </c>
      <c r="J66" s="104" t="str">
        <f>IF(_epmOfflineCondition_,"Y",_xll.EVPRO($B$1,$H66,"CALC"))</f>
        <v>Y</v>
      </c>
      <c r="K66" s="104"/>
      <c r="L66" s="104" t="str">
        <f>IF(_epmOfflineCondition_,"401700",_xll.EVPRO($B$1,H66,"JDEID"))</f>
        <v>401700</v>
      </c>
      <c r="M66" s="90" t="str">
        <f>IF(_epmOfflineCondition_,"",IF(AND(I66="N",J66="N"),_xll.EVPRO($B$1,H66,"PSFTID"),""))</f>
        <v/>
      </c>
      <c r="N66" s="104" t="str">
        <f>IF(_epmOfflineCondition_,"Contract",IF(_xll.EVDES(H66,$B$1)="#NODATA","",_xll.EVDES(H66,$B$1)))</f>
        <v>Contract</v>
      </c>
      <c r="O66" s="299"/>
      <c r="P66" s="300"/>
      <c r="Q66" s="300"/>
      <c r="R66" s="300"/>
      <c r="S66" s="300"/>
      <c r="T66" s="300"/>
      <c r="U66" s="300"/>
      <c r="V66" s="300"/>
      <c r="W66" s="300"/>
      <c r="X66" s="300"/>
      <c r="Y66" s="300"/>
      <c r="Z66" s="300"/>
      <c r="AA66" s="300">
        <f t="shared" si="6"/>
        <v>0</v>
      </c>
      <c r="AB66" s="301" t="str">
        <f t="shared" si="1"/>
        <v/>
      </c>
      <c r="AC66" s="140"/>
      <c r="AD66" s="302"/>
      <c r="AE66" s="301" t="str">
        <f t="shared" si="2"/>
        <v/>
      </c>
      <c r="AF66" s="303">
        <f t="shared" si="3"/>
        <v>0</v>
      </c>
      <c r="AG66" s="303"/>
      <c r="AH66" s="301" t="str">
        <f t="shared" si="4"/>
        <v/>
      </c>
      <c r="AI66" s="304">
        <f t="shared" si="5"/>
        <v>0</v>
      </c>
    </row>
    <row r="67" spans="1:35" x14ac:dyDescent="0.35">
      <c r="A67" s="11"/>
      <c r="B67" s="11"/>
      <c r="C67" s="11"/>
      <c r="D67" s="11"/>
      <c r="E67" s="11"/>
      <c r="F67" s="11"/>
      <c r="G67" s="11"/>
      <c r="H67" s="88" t="s">
        <v>67</v>
      </c>
      <c r="I67" s="89" t="str">
        <f>IF(_epmOfflineCondition_,"T5",_xll.EVPRO($B$1,$H67,"STYLE"))</f>
        <v>T5</v>
      </c>
      <c r="J67" s="89" t="str">
        <f>IF(_epmOfflineCondition_,"Y",_xll.EVPRO($B$1,$H67,"CALC"))</f>
        <v>Y</v>
      </c>
      <c r="K67" s="107"/>
      <c r="L67" s="106" t="str">
        <f>IF(_epmOfflineCondition_,"403000",_xll.EVPRO($B$1,H67,"JDEID"))</f>
        <v>403000</v>
      </c>
      <c r="M67" s="90" t="str">
        <f>IF(_epmOfflineCondition_,"",IF(AND(I67="N",J67="N"),_xll.EVPRO($B$1,H67,"PSFTID"),""))</f>
        <v/>
      </c>
      <c r="N67" s="106" t="str">
        <f>IF(_epmOfflineCondition_,"Other Rooms Revenue",IF(_xll.EVDES(H67,$B$1)="#NODATA","",_xll.EVDES(H67,$B$1)))</f>
        <v>Other Rooms Revenue</v>
      </c>
      <c r="O67" s="269">
        <v>6797.08</v>
      </c>
      <c r="P67" s="270">
        <v>5635.4</v>
      </c>
      <c r="Q67" s="270">
        <v>5887.67</v>
      </c>
      <c r="R67" s="270">
        <v>7831.03</v>
      </c>
      <c r="S67" s="270">
        <v>8210.6299999999992</v>
      </c>
      <c r="T67" s="270">
        <v>9842.18</v>
      </c>
      <c r="U67" s="270">
        <v>8054.02</v>
      </c>
      <c r="V67" s="270">
        <v>8510.56</v>
      </c>
      <c r="W67" s="270">
        <v>3549.56</v>
      </c>
      <c r="X67" s="270">
        <v>5743.37</v>
      </c>
      <c r="Y67" s="270">
        <v>8703.7999999999993</v>
      </c>
      <c r="Z67" s="270">
        <v>7812.53</v>
      </c>
      <c r="AA67" s="270">
        <f t="shared" si="6"/>
        <v>86577.829999999987</v>
      </c>
      <c r="AB67" s="271">
        <f t="shared" si="1"/>
        <v>9.2209476864900039E-3</v>
      </c>
      <c r="AC67" s="140"/>
      <c r="AD67" s="272">
        <v>60792.63</v>
      </c>
      <c r="AE67" s="271">
        <f t="shared" si="2"/>
        <v>1.023090068141717E-2</v>
      </c>
      <c r="AF67" s="273">
        <f t="shared" si="3"/>
        <v>25785.19999999999</v>
      </c>
      <c r="AG67" s="273">
        <v>72713.03</v>
      </c>
      <c r="AH67" s="271">
        <f t="shared" si="4"/>
        <v>1.787246494190237E-2</v>
      </c>
      <c r="AI67" s="274">
        <f t="shared" si="5"/>
        <v>13864.799999999988</v>
      </c>
    </row>
    <row r="68" spans="1:35" x14ac:dyDescent="0.35">
      <c r="A68" s="11"/>
      <c r="B68" s="11"/>
      <c r="C68" s="11"/>
      <c r="D68" s="11"/>
      <c r="E68" s="11"/>
      <c r="F68" s="11"/>
      <c r="G68" s="11"/>
      <c r="H68" s="88" t="s">
        <v>91</v>
      </c>
      <c r="I68" s="104" t="str">
        <f>IF(_epmOfflineCondition_,"N",_xll.EVPRO($B$1,$H68,"STYLE"))</f>
        <v>N</v>
      </c>
      <c r="J68" s="104" t="str">
        <f>IF(_epmOfflineCondition_,"N",_xll.EVPRO($B$1,$H68,"CALC"))</f>
        <v>N</v>
      </c>
      <c r="K68" s="104"/>
      <c r="L68" s="104" t="str">
        <f>IF(_epmOfflineCondition_,"403990",_xll.EVPRO($B$1,H68,"JDEID"))</f>
        <v>403990</v>
      </c>
      <c r="M68" s="90" t="str">
        <f>IF(_epmOfflineCondition_,"200529",IF(AND(I68="N",J68="N"),_xll.EVPRO($B$1,H68,"PSFTID"),""))</f>
        <v>200529</v>
      </c>
      <c r="N68" s="104" t="str">
        <f>IF(_epmOfflineCondition_,"Rooms: Allowances",IF(_xll.EVDES(H68,$B$1)="#NODATA","",_xll.EVDES(H68,$B$1)))</f>
        <v>Rooms: Allowances</v>
      </c>
      <c r="O68" s="305">
        <v>-1507.44</v>
      </c>
      <c r="P68" s="306">
        <v>-4518.3599999999997</v>
      </c>
      <c r="Q68" s="306">
        <v>-3003.59</v>
      </c>
      <c r="R68" s="306">
        <v>-6831</v>
      </c>
      <c r="S68" s="306">
        <v>-2950.88</v>
      </c>
      <c r="T68" s="306">
        <v>-2623.33</v>
      </c>
      <c r="U68" s="306">
        <v>-8583.27</v>
      </c>
      <c r="V68" s="306">
        <v>-3867.4</v>
      </c>
      <c r="W68" s="306">
        <v>-1259.8900000000001</v>
      </c>
      <c r="X68" s="306">
        <v>-667.54</v>
      </c>
      <c r="Y68" s="306">
        <v>-2623.58</v>
      </c>
      <c r="Z68" s="306">
        <v>-3034.16</v>
      </c>
      <c r="AA68" s="306">
        <f t="shared" si="6"/>
        <v>-41470.44</v>
      </c>
      <c r="AB68" s="307">
        <f t="shared" si="1"/>
        <v>-4.4167976695156548E-3</v>
      </c>
      <c r="AC68" s="140"/>
      <c r="AD68" s="308">
        <v>-25721.89</v>
      </c>
      <c r="AE68" s="307">
        <f t="shared" si="2"/>
        <v>-4.3287829779421862E-3</v>
      </c>
      <c r="AF68" s="309">
        <f t="shared" si="3"/>
        <v>-15748.550000000003</v>
      </c>
      <c r="AG68" s="309">
        <v>-10352.799999999999</v>
      </c>
      <c r="AH68" s="307">
        <f t="shared" si="4"/>
        <v>-2.5446615971102681E-3</v>
      </c>
      <c r="AI68" s="310">
        <f t="shared" si="5"/>
        <v>-31117.640000000003</v>
      </c>
    </row>
    <row r="69" spans="1:35" x14ac:dyDescent="0.35">
      <c r="A69" s="11"/>
      <c r="B69" s="11"/>
      <c r="C69" s="11"/>
      <c r="D69" s="11"/>
      <c r="E69" s="11"/>
      <c r="F69" s="11"/>
      <c r="G69" s="76"/>
      <c r="H69" s="88" t="s">
        <v>72</v>
      </c>
      <c r="I69" s="89" t="str">
        <f>IF(_epmOfflineCondition_,"T4",_xll.EVPRO($B$1,$H69,"STYLE"))</f>
        <v>T4</v>
      </c>
      <c r="J69" s="89" t="str">
        <f>IF(_epmOfflineCondition_,"Y",_xll.EVPRO($B$1,$H69,"CALC"))</f>
        <v>Y</v>
      </c>
      <c r="K69" s="107"/>
      <c r="L69" s="106" t="str">
        <f>IF(_epmOfflineCondition_,"",_xll.EVPRO($B$1,H69,"JDEID"))</f>
        <v/>
      </c>
      <c r="M69" s="90" t="str">
        <f>IF(_epmOfflineCondition_,"",IF(AND(I69="N",J69="N"),_xll.EVPRO($B$1,H69,"PSFTID"),""))</f>
        <v/>
      </c>
      <c r="N69" s="106" t="str">
        <f>IF(_epmOfflineCondition_,"Total Rooms Revenue",IF(_xll.EVDES(H69,$B$1)="#NODATA","",_xll.EVDES(H69,$B$1)))</f>
        <v>Total Rooms Revenue</v>
      </c>
      <c r="O69" s="287">
        <v>585722.42000000004</v>
      </c>
      <c r="P69" s="288">
        <v>685888.23</v>
      </c>
      <c r="Q69" s="288">
        <v>866484.81</v>
      </c>
      <c r="R69" s="288">
        <v>858626.19</v>
      </c>
      <c r="S69" s="288">
        <v>1017537.54</v>
      </c>
      <c r="T69" s="288">
        <v>833963.74</v>
      </c>
      <c r="U69" s="288">
        <v>950761.77</v>
      </c>
      <c r="V69" s="288">
        <v>537089.01</v>
      </c>
      <c r="W69" s="288">
        <v>428353.93</v>
      </c>
      <c r="X69" s="288">
        <v>555853.94999999995</v>
      </c>
      <c r="Y69" s="288">
        <v>777982.41</v>
      </c>
      <c r="Z69" s="288">
        <v>1290991.0900000001</v>
      </c>
      <c r="AA69" s="288">
        <f t="shared" si="6"/>
        <v>9389255.0899999999</v>
      </c>
      <c r="AB69" s="289">
        <f t="shared" si="1"/>
        <v>1</v>
      </c>
      <c r="AC69" s="140"/>
      <c r="AD69" s="290">
        <v>5942060.4199999999</v>
      </c>
      <c r="AE69" s="289">
        <f t="shared" si="2"/>
        <v>1</v>
      </c>
      <c r="AF69" s="291">
        <f t="shared" si="3"/>
        <v>3447194.67</v>
      </c>
      <c r="AG69" s="291">
        <v>4068438.81</v>
      </c>
      <c r="AH69" s="289">
        <f t="shared" si="4"/>
        <v>1</v>
      </c>
      <c r="AI69" s="292">
        <f t="shared" si="5"/>
        <v>5320816.2799999993</v>
      </c>
    </row>
    <row r="70" spans="1:35" x14ac:dyDescent="0.35">
      <c r="A70" s="11"/>
      <c r="B70" s="11"/>
      <c r="C70" s="11"/>
      <c r="D70" s="11"/>
      <c r="E70" s="11"/>
      <c r="F70" s="11"/>
      <c r="G70" s="76"/>
      <c r="H70" s="55"/>
      <c r="I70" s="59"/>
      <c r="J70" s="59"/>
      <c r="K70" s="11"/>
      <c r="L70" s="11"/>
      <c r="M70" s="11"/>
      <c r="N70" s="11"/>
      <c r="O70" s="203"/>
      <c r="P70" s="204"/>
      <c r="Q70" s="204"/>
      <c r="R70" s="204"/>
      <c r="S70" s="204"/>
      <c r="T70" s="204"/>
      <c r="U70" s="204"/>
      <c r="V70" s="204"/>
      <c r="W70" s="204"/>
      <c r="X70" s="204"/>
      <c r="Y70" s="204"/>
      <c r="Z70" s="204"/>
      <c r="AA70" s="204"/>
      <c r="AB70" s="118"/>
      <c r="AC70" s="11"/>
      <c r="AD70" s="203"/>
      <c r="AE70" s="204"/>
      <c r="AF70" s="118"/>
      <c r="AG70" s="203"/>
      <c r="AH70" s="204"/>
      <c r="AI70" s="118"/>
    </row>
    <row r="71" spans="1:35" x14ac:dyDescent="0.35">
      <c r="A71" s="11"/>
      <c r="B71" s="11"/>
      <c r="C71" s="11"/>
      <c r="D71" s="11"/>
      <c r="E71" s="11"/>
      <c r="F71" s="11"/>
      <c r="G71" s="76"/>
      <c r="H71" s="11" t="s">
        <v>173</v>
      </c>
      <c r="I71" s="59" t="str">
        <f>IF(_epmOfflineCondition_,"T1",_xll.EVPRO($B$1,$H71,"STYLE"))</f>
        <v>T1</v>
      </c>
      <c r="J71" s="59" t="str">
        <f>IF(_epmOfflineCondition_,"Y",_xll.EVPRO($B$1,$H71,"CALC"))</f>
        <v>Y</v>
      </c>
      <c r="K71" s="11"/>
      <c r="L71" s="11"/>
      <c r="M71" s="11"/>
      <c r="N71" s="105" t="str">
        <f>IF(_epmOfflineCondition_,"Rooms Statistics",IF(_xll.EVDES(H71,$B$1)="#NODATA","",_xll.EVDES(H71,$B$1)))</f>
        <v>Rooms Statistics</v>
      </c>
      <c r="O71" s="203"/>
      <c r="P71" s="204"/>
      <c r="Q71" s="204"/>
      <c r="R71" s="204"/>
      <c r="S71" s="204"/>
      <c r="T71" s="204"/>
      <c r="U71" s="204"/>
      <c r="V71" s="204"/>
      <c r="W71" s="204"/>
      <c r="X71" s="204"/>
      <c r="Y71" s="204"/>
      <c r="Z71" s="204"/>
      <c r="AA71" s="204"/>
      <c r="AB71" s="264" t="s">
        <v>742</v>
      </c>
      <c r="AC71" s="11"/>
      <c r="AD71" s="203"/>
      <c r="AE71" s="204"/>
      <c r="AF71" s="118"/>
      <c r="AG71" s="203"/>
      <c r="AH71" s="204"/>
      <c r="AI71" s="118"/>
    </row>
    <row r="72" spans="1:35" x14ac:dyDescent="0.35">
      <c r="A72" s="11"/>
      <c r="B72" s="11"/>
      <c r="C72" s="11"/>
      <c r="D72" s="11"/>
      <c r="E72" s="11"/>
      <c r="F72" s="11"/>
      <c r="G72" s="11"/>
      <c r="H72" s="88" t="s">
        <v>142</v>
      </c>
      <c r="I72" s="89" t="str">
        <f>IF(_epmOfflineCondition_,"T3",_xll.EVPRO($B$1,$H72,"STYLE"))</f>
        <v>T3</v>
      </c>
      <c r="J72" s="89" t="str">
        <f>IF(_epmOfflineCondition_,"Y",_xll.EVPRO($B$1,$H72,"CALC"))</f>
        <v>Y</v>
      </c>
      <c r="K72" s="265"/>
      <c r="L72" s="106" t="str">
        <f>IF(_epmOfflineCondition_,"",_xll.EVPRO($B$1,H72,"JDEID"))</f>
        <v/>
      </c>
      <c r="M72" s="90" t="str">
        <f>IF(_epmOfflineCondition_,"",IF(AND(I72="N",J72="N"),_xll.EVPRO($B$1,H72,"PSFTID"),""))</f>
        <v/>
      </c>
      <c r="N72" s="106" t="str">
        <f>IF(_epmOfflineCondition_,"Retail",IF(_xll.EVDES(H72,$B$1)="#NODATA","",_xll.EVDES(H72,$B$1)))</f>
        <v>Retail</v>
      </c>
      <c r="O72" s="269">
        <v>1535</v>
      </c>
      <c r="P72" s="270">
        <v>1371</v>
      </c>
      <c r="Q72" s="270">
        <v>942</v>
      </c>
      <c r="R72" s="270">
        <v>913</v>
      </c>
      <c r="S72" s="270">
        <v>1067</v>
      </c>
      <c r="T72" s="270">
        <v>840</v>
      </c>
      <c r="U72" s="270">
        <v>683</v>
      </c>
      <c r="V72" s="270">
        <v>566</v>
      </c>
      <c r="W72" s="270">
        <v>545</v>
      </c>
      <c r="X72" s="270">
        <v>834</v>
      </c>
      <c r="Y72" s="270">
        <v>865</v>
      </c>
      <c r="Z72" s="270">
        <v>1221</v>
      </c>
      <c r="AA72" s="270">
        <f t="shared" ref="AA72:AA116" si="7">SUM(O72:Z72)</f>
        <v>11382</v>
      </c>
      <c r="AB72" s="311">
        <f t="shared" ref="AB72:AB116" si="8">IF($H72="907300",TEXT(IFERROR(AA72/AA$20,""),"0.00"),IF(AA72=0,"",IFERROR(AA72/AA$20,"")))</f>
        <v>0.28300057186901711</v>
      </c>
      <c r="AC72" s="140"/>
      <c r="AD72" s="272">
        <v>14025</v>
      </c>
      <c r="AE72" s="311">
        <f t="shared" ref="AE72:AE116" si="9">IF($H72="907300",TEXT(IFERROR(AD72/AD$20,""),"0.00"),IF(AD72=0,"",IFERROR(AD72/AD$20,"""")))</f>
        <v>0.37375083277814791</v>
      </c>
      <c r="AF72" s="273">
        <f t="shared" ref="AF72:AF116" si="10">IF(AND($AA72="",AD72=""),"",$AA72-AD72)</f>
        <v>-2643</v>
      </c>
      <c r="AG72" s="273">
        <v>6759</v>
      </c>
      <c r="AH72" s="311">
        <f t="shared" ref="AH72:AH116" si="11">IF($H72="907300",TEXT(IFERROR(AG72/AG$20,""),"0.00"),IF(AG72=0,"",IFERROR(AG72/AG$20,"""")))</f>
        <v>0.33710723192019948</v>
      </c>
      <c r="AI72" s="274">
        <f t="shared" ref="AI72:AI116" si="12">IF(AND($AA72="",AG72=""),"",$AA72-AG72)</f>
        <v>4623</v>
      </c>
    </row>
    <row r="73" spans="1:35" x14ac:dyDescent="0.35">
      <c r="A73" s="11"/>
      <c r="B73" s="11"/>
      <c r="C73" s="11"/>
      <c r="D73" s="11"/>
      <c r="E73" s="11"/>
      <c r="F73" s="11"/>
      <c r="G73" s="11"/>
      <c r="H73" s="88" t="s">
        <v>143</v>
      </c>
      <c r="I73" s="104" t="str">
        <f>IF(_epmOfflineCondition_,"N",_xll.EVPRO($B$1,$H73,"STYLE"))</f>
        <v>N</v>
      </c>
      <c r="J73" s="104" t="str">
        <f>IF(_epmOfflineCondition_,"N",_xll.EVPRO($B$1,$H73,"CALC"))</f>
        <v>N</v>
      </c>
      <c r="K73" s="104"/>
      <c r="L73" s="104" t="str">
        <f>IF(_epmOfflineCondition_,"902100",_xll.EVPRO($B$1,H73,"JDEID"))</f>
        <v>902100</v>
      </c>
      <c r="M73" s="90" t="str">
        <f>IF(_epmOfflineCondition_,"991768",IF(AND(I73="N",J73="N"),_xll.EVPRO($B$1,H73,"PSFTID"),""))</f>
        <v>991768</v>
      </c>
      <c r="N73" s="104" t="str">
        <f>IF(_epmOfflineCondition_,"Room Only",IF(_xll.EVDES(H73,$B$1)="#NODATA","",_xll.EVDES(H73,$B$1)))</f>
        <v>Room Only</v>
      </c>
      <c r="O73" s="275">
        <v>190</v>
      </c>
      <c r="P73" s="276">
        <v>155</v>
      </c>
      <c r="Q73" s="276">
        <v>281</v>
      </c>
      <c r="R73" s="276">
        <v>256</v>
      </c>
      <c r="S73" s="276">
        <v>293</v>
      </c>
      <c r="T73" s="276">
        <v>231</v>
      </c>
      <c r="U73" s="276">
        <v>176</v>
      </c>
      <c r="V73" s="276">
        <v>137</v>
      </c>
      <c r="W73" s="276">
        <v>64</v>
      </c>
      <c r="X73" s="276">
        <v>142</v>
      </c>
      <c r="Y73" s="276">
        <v>139</v>
      </c>
      <c r="Z73" s="276">
        <v>221</v>
      </c>
      <c r="AA73" s="276">
        <f t="shared" si="7"/>
        <v>2285</v>
      </c>
      <c r="AB73" s="312">
        <f t="shared" si="8"/>
        <v>5.6813943658469875E-2</v>
      </c>
      <c r="AC73" s="140"/>
      <c r="AD73" s="278">
        <v>2095</v>
      </c>
      <c r="AE73" s="312">
        <f t="shared" si="9"/>
        <v>5.5829447035309794E-2</v>
      </c>
      <c r="AF73" s="279">
        <f t="shared" si="10"/>
        <v>190</v>
      </c>
      <c r="AG73" s="279">
        <v>1367</v>
      </c>
      <c r="AH73" s="312">
        <f t="shared" si="11"/>
        <v>6.8179551122194509E-2</v>
      </c>
      <c r="AI73" s="280">
        <f t="shared" si="12"/>
        <v>918</v>
      </c>
    </row>
    <row r="74" spans="1:35" x14ac:dyDescent="0.35">
      <c r="A74" s="11"/>
      <c r="B74" s="11"/>
      <c r="C74" s="11"/>
      <c r="D74" s="11"/>
      <c r="E74" s="11"/>
      <c r="F74" s="11"/>
      <c r="G74" s="11"/>
      <c r="H74" s="88" t="s">
        <v>144</v>
      </c>
      <c r="I74" s="104" t="str">
        <f>IF(_epmOfflineCondition_,"N",_xll.EVPRO($B$1,$H74,"STYLE"))</f>
        <v>N</v>
      </c>
      <c r="J74" s="104" t="str">
        <f>IF(_epmOfflineCondition_,"N",_xll.EVPRO($B$1,$H74,"CALC"))</f>
        <v>N</v>
      </c>
      <c r="K74" s="104"/>
      <c r="L74" s="104" t="str">
        <f>IF(_epmOfflineCondition_,"902130",_xll.EVPRO($B$1,H74,"JDEID"))</f>
        <v>902130</v>
      </c>
      <c r="M74" s="90" t="str">
        <f>IF(_epmOfflineCondition_,"991755",IF(AND(I74="N",J74="N"),_xll.EVPRO($B$1,H74,"PSFTID"),""))</f>
        <v>991755</v>
      </c>
      <c r="N74" s="104" t="str">
        <f>IF(_epmOfflineCondition_,"Retail Web",IF(_xll.EVDES(H74,$B$1)="#NODATA","",_xll.EVDES(H74,$B$1)))</f>
        <v>Retail Web</v>
      </c>
      <c r="O74" s="275">
        <v>1345</v>
      </c>
      <c r="P74" s="276">
        <v>1216</v>
      </c>
      <c r="Q74" s="276">
        <v>661</v>
      </c>
      <c r="R74" s="276">
        <v>657</v>
      </c>
      <c r="S74" s="276">
        <v>774</v>
      </c>
      <c r="T74" s="276">
        <v>609</v>
      </c>
      <c r="U74" s="276">
        <v>507</v>
      </c>
      <c r="V74" s="276">
        <v>429</v>
      </c>
      <c r="W74" s="276">
        <v>481</v>
      </c>
      <c r="X74" s="276">
        <v>692</v>
      </c>
      <c r="Y74" s="276">
        <v>726</v>
      </c>
      <c r="Z74" s="276">
        <v>1000</v>
      </c>
      <c r="AA74" s="276">
        <f t="shared" si="7"/>
        <v>9097</v>
      </c>
      <c r="AB74" s="312">
        <f t="shared" si="8"/>
        <v>0.22618662821054725</v>
      </c>
      <c r="AC74" s="140"/>
      <c r="AD74" s="278">
        <v>11930</v>
      </c>
      <c r="AE74" s="312">
        <f t="shared" si="9"/>
        <v>0.31792138574283813</v>
      </c>
      <c r="AF74" s="279">
        <f t="shared" si="10"/>
        <v>-2833</v>
      </c>
      <c r="AG74" s="279">
        <v>5392</v>
      </c>
      <c r="AH74" s="312">
        <f t="shared" si="11"/>
        <v>0.268927680798005</v>
      </c>
      <c r="AI74" s="280">
        <f t="shared" si="12"/>
        <v>3705</v>
      </c>
    </row>
    <row r="75" spans="1:35" x14ac:dyDescent="0.35">
      <c r="A75" s="11"/>
      <c r="B75" s="11"/>
      <c r="C75" s="11"/>
      <c r="D75" s="11"/>
      <c r="E75" s="11"/>
      <c r="F75" s="11"/>
      <c r="G75" s="11"/>
      <c r="H75" s="88" t="s">
        <v>145</v>
      </c>
      <c r="I75" s="89" t="str">
        <f>IF(_epmOfflineCondition_,"T3",_xll.EVPRO($B$1,$H75,"STYLE"))</f>
        <v>T3</v>
      </c>
      <c r="J75" s="89" t="str">
        <f>IF(_epmOfflineCondition_,"Y",_xll.EVPRO($B$1,$H75,"CALC"))</f>
        <v>Y</v>
      </c>
      <c r="K75" s="265"/>
      <c r="L75" s="106" t="str">
        <f>IF(_epmOfflineCondition_,"",_xll.EVPRO($B$1,H75,"JDEID"))</f>
        <v/>
      </c>
      <c r="M75" s="90" t="str">
        <f>IF(_epmOfflineCondition_,"",IF(AND(I75="N",J75="N"),_xll.EVPRO($B$1,H75,"PSFTID"),""))</f>
        <v/>
      </c>
      <c r="N75" s="106" t="str">
        <f>IF(_epmOfflineCondition_,"Discount",IF(_xll.EVDES(H75,$B$1)="#NODATA","",_xll.EVDES(H75,$B$1)))</f>
        <v>Discount</v>
      </c>
      <c r="O75" s="269">
        <v>1566</v>
      </c>
      <c r="P75" s="270">
        <v>1612</v>
      </c>
      <c r="Q75" s="270">
        <v>2213</v>
      </c>
      <c r="R75" s="270">
        <v>1851</v>
      </c>
      <c r="S75" s="270">
        <v>2174</v>
      </c>
      <c r="T75" s="270">
        <v>2287</v>
      </c>
      <c r="U75" s="270">
        <v>2358</v>
      </c>
      <c r="V75" s="270">
        <v>1677</v>
      </c>
      <c r="W75" s="270">
        <v>1373</v>
      </c>
      <c r="X75" s="270">
        <v>1605</v>
      </c>
      <c r="Y75" s="270">
        <v>1601</v>
      </c>
      <c r="Z75" s="270">
        <v>1903</v>
      </c>
      <c r="AA75" s="270">
        <f t="shared" si="7"/>
        <v>22220</v>
      </c>
      <c r="AB75" s="311">
        <f t="shared" si="8"/>
        <v>0.55247519828936575</v>
      </c>
      <c r="AC75" s="140"/>
      <c r="AD75" s="272">
        <v>16753</v>
      </c>
      <c r="AE75" s="311">
        <f t="shared" si="9"/>
        <v>0.44644903397734842</v>
      </c>
      <c r="AF75" s="273">
        <f t="shared" si="10"/>
        <v>5467</v>
      </c>
      <c r="AG75" s="273">
        <v>9309</v>
      </c>
      <c r="AH75" s="311">
        <f t="shared" si="11"/>
        <v>0.46428927680798004</v>
      </c>
      <c r="AI75" s="274">
        <f t="shared" si="12"/>
        <v>12911</v>
      </c>
    </row>
    <row r="76" spans="1:35" x14ac:dyDescent="0.35">
      <c r="A76" s="11"/>
      <c r="B76" s="11"/>
      <c r="C76" s="11"/>
      <c r="D76" s="11"/>
      <c r="E76" s="11"/>
      <c r="F76" s="11"/>
      <c r="G76" s="76"/>
      <c r="H76" s="88" t="s">
        <v>146</v>
      </c>
      <c r="I76" s="104" t="str">
        <f>IF(_epmOfflineCondition_,"N",_xll.EVPRO($B$1,$H76,"STYLE"))</f>
        <v>N</v>
      </c>
      <c r="J76" s="104" t="str">
        <f>IF(_epmOfflineCondition_,"N",_xll.EVPRO($B$1,$H76,"CALC"))</f>
        <v>N</v>
      </c>
      <c r="K76" s="104"/>
      <c r="L76" s="104" t="str">
        <f>IF(_epmOfflineCondition_,"902530",_xll.EVPRO($B$1,H76,"JDEID"))</f>
        <v>902530</v>
      </c>
      <c r="M76" s="90" t="str">
        <f>IF(_epmOfflineCondition_,"991014",IF(AND(I76="N",J76="N"),_xll.EVPRO($B$1,H76,"PSFTID"),""))</f>
        <v>991014</v>
      </c>
      <c r="N76" s="104" t="str">
        <f>IF(_epmOfflineCondition_,"Package",IF(_xll.EVDES(H76,$B$1)="#NODATA","",_xll.EVDES(H76,$B$1)))</f>
        <v>Package</v>
      </c>
      <c r="O76" s="275">
        <v>9</v>
      </c>
      <c r="P76" s="276">
        <v>22</v>
      </c>
      <c r="Q76" s="276">
        <v>34</v>
      </c>
      <c r="R76" s="276">
        <v>11</v>
      </c>
      <c r="S76" s="276">
        <v>28</v>
      </c>
      <c r="T76" s="276">
        <v>32</v>
      </c>
      <c r="U76" s="276">
        <v>37</v>
      </c>
      <c r="V76" s="276">
        <v>22</v>
      </c>
      <c r="W76" s="276">
        <v>30</v>
      </c>
      <c r="X76" s="276">
        <v>19</v>
      </c>
      <c r="Y76" s="276">
        <v>22</v>
      </c>
      <c r="Z76" s="276">
        <v>18</v>
      </c>
      <c r="AA76" s="276">
        <f t="shared" si="7"/>
        <v>284</v>
      </c>
      <c r="AB76" s="312">
        <f t="shared" si="8"/>
        <v>7.0613391680548997E-3</v>
      </c>
      <c r="AC76" s="140"/>
      <c r="AD76" s="278">
        <v>335</v>
      </c>
      <c r="AE76" s="312">
        <f t="shared" si="9"/>
        <v>8.9273817455029977E-3</v>
      </c>
      <c r="AF76" s="279">
        <f t="shared" si="10"/>
        <v>-51</v>
      </c>
      <c r="AG76" s="279">
        <v>151</v>
      </c>
      <c r="AH76" s="312">
        <f t="shared" si="11"/>
        <v>7.5311720698254363E-3</v>
      </c>
      <c r="AI76" s="280">
        <f t="shared" si="12"/>
        <v>133</v>
      </c>
    </row>
    <row r="77" spans="1:35" x14ac:dyDescent="0.35">
      <c r="A77" s="11"/>
      <c r="B77" s="11"/>
      <c r="C77" s="11"/>
      <c r="D77" s="11"/>
      <c r="E77" s="11"/>
      <c r="F77" s="11"/>
      <c r="G77" s="76"/>
      <c r="H77" s="88" t="s">
        <v>147</v>
      </c>
      <c r="I77" s="104" t="str">
        <f>IF(_epmOfflineCondition_,"N",_xll.EVPRO($B$1,$H77,"STYLE"))</f>
        <v>N</v>
      </c>
      <c r="J77" s="104" t="str">
        <f>IF(_epmOfflineCondition_,"N",_xll.EVPRO($B$1,$H77,"CALC"))</f>
        <v>N</v>
      </c>
      <c r="K77" s="104"/>
      <c r="L77" s="104" t="str">
        <f>IF(_epmOfflineCondition_,"902500",_xll.EVPRO($B$1,H77,"JDEID"))</f>
        <v>902500</v>
      </c>
      <c r="M77" s="90" t="str">
        <f>IF(_epmOfflineCondition_,"991759",IF(AND(I77="N",J77="N"),_xll.EVPRO($B$1,H77,"PSFTID"),""))</f>
        <v>991759</v>
      </c>
      <c r="N77" s="104" t="str">
        <f>IF(_epmOfflineCondition_,"OTA Opaque",IF(_xll.EVDES(H77,$B$1)="#NODATA","",_xll.EVDES(H77,$B$1)))</f>
        <v>OTA Opaque</v>
      </c>
      <c r="O77" s="275">
        <v>306</v>
      </c>
      <c r="P77" s="276">
        <v>228</v>
      </c>
      <c r="Q77" s="276">
        <v>227</v>
      </c>
      <c r="R77" s="276">
        <v>175</v>
      </c>
      <c r="S77" s="276">
        <v>334</v>
      </c>
      <c r="T77" s="276">
        <v>668</v>
      </c>
      <c r="U77" s="276">
        <v>492</v>
      </c>
      <c r="V77" s="276">
        <v>274</v>
      </c>
      <c r="W77" s="276">
        <v>147</v>
      </c>
      <c r="X77" s="276">
        <v>120</v>
      </c>
      <c r="Y77" s="276">
        <v>110</v>
      </c>
      <c r="Z77" s="276">
        <v>126</v>
      </c>
      <c r="AA77" s="276">
        <f t="shared" si="7"/>
        <v>3207</v>
      </c>
      <c r="AB77" s="312">
        <f t="shared" si="8"/>
        <v>7.9738432084338243E-2</v>
      </c>
      <c r="AC77" s="140"/>
      <c r="AD77" s="278">
        <v>2155</v>
      </c>
      <c r="AE77" s="312">
        <f t="shared" si="9"/>
        <v>5.7428381079280479E-2</v>
      </c>
      <c r="AF77" s="279">
        <f t="shared" si="10"/>
        <v>1052</v>
      </c>
      <c r="AG77" s="279">
        <v>1025</v>
      </c>
      <c r="AH77" s="312">
        <f t="shared" si="11"/>
        <v>5.1122194513715712E-2</v>
      </c>
      <c r="AI77" s="280">
        <f t="shared" si="12"/>
        <v>2182</v>
      </c>
    </row>
    <row r="78" spans="1:35" x14ac:dyDescent="0.35">
      <c r="A78" s="11"/>
      <c r="B78" s="11"/>
      <c r="C78" s="11"/>
      <c r="D78" s="11"/>
      <c r="E78" s="11"/>
      <c r="F78" s="11"/>
      <c r="G78" s="11"/>
      <c r="H78" s="88" t="s">
        <v>148</v>
      </c>
      <c r="I78" s="104" t="str">
        <f>IF(_epmOfflineCondition_,"N",_xll.EVPRO($B$1,$H78,"STYLE"))</f>
        <v>N</v>
      </c>
      <c r="J78" s="104" t="str">
        <f>IF(_epmOfflineCondition_,"N",_xll.EVPRO($B$1,$H78,"CALC"))</f>
        <v>N</v>
      </c>
      <c r="K78" s="104"/>
      <c r="L78" s="104" t="str">
        <f>IF(_epmOfflineCondition_,"902540",_xll.EVPRO($B$1,H78,"JDEID"))</f>
        <v>902540</v>
      </c>
      <c r="M78" s="90" t="str">
        <f>IF(_epmOfflineCondition_,"991762",IF(AND(I78="N",J78="N"),_xll.EVPRO($B$1,H78,"PSFTID"),""))</f>
        <v>991762</v>
      </c>
      <c r="N78" s="104" t="str">
        <f>IF(_epmOfflineCondition_,"Brand/Media Promotions",IF(_xll.EVDES(H78,$B$1)="#NODATA","",_xll.EVDES(H78,$B$1)))</f>
        <v>Brand/Media Promotions</v>
      </c>
      <c r="O78" s="275">
        <v>461</v>
      </c>
      <c r="P78" s="276">
        <v>425</v>
      </c>
      <c r="Q78" s="276">
        <v>685</v>
      </c>
      <c r="R78" s="276">
        <v>555</v>
      </c>
      <c r="S78" s="276">
        <v>494</v>
      </c>
      <c r="T78" s="276">
        <v>415</v>
      </c>
      <c r="U78" s="276">
        <v>313</v>
      </c>
      <c r="V78" s="276">
        <v>180</v>
      </c>
      <c r="W78" s="276">
        <v>169</v>
      </c>
      <c r="X78" s="276">
        <v>243</v>
      </c>
      <c r="Y78" s="276">
        <v>179</v>
      </c>
      <c r="Z78" s="276">
        <v>189</v>
      </c>
      <c r="AA78" s="276">
        <f t="shared" si="7"/>
        <v>4308</v>
      </c>
      <c r="AB78" s="312">
        <f t="shared" si="8"/>
        <v>0.10711355329570602</v>
      </c>
      <c r="AC78" s="140"/>
      <c r="AD78" s="278">
        <v>5295</v>
      </c>
      <c r="AE78" s="312">
        <f t="shared" si="9"/>
        <v>0.14110592938041305</v>
      </c>
      <c r="AF78" s="279">
        <f t="shared" si="10"/>
        <v>-987</v>
      </c>
      <c r="AG78" s="279">
        <v>2436</v>
      </c>
      <c r="AH78" s="312">
        <f t="shared" si="11"/>
        <v>0.12149625935162095</v>
      </c>
      <c r="AI78" s="280">
        <f t="shared" si="12"/>
        <v>1872</v>
      </c>
    </row>
    <row r="79" spans="1:35" x14ac:dyDescent="0.35">
      <c r="A79" s="11"/>
      <c r="B79" s="11"/>
      <c r="C79" s="11"/>
      <c r="D79" s="11"/>
      <c r="E79" s="11"/>
      <c r="F79" s="11"/>
      <c r="G79" s="11"/>
      <c r="H79" s="88" t="s">
        <v>149</v>
      </c>
      <c r="I79" s="104" t="str">
        <f>IF(_epmOfflineCondition_,"N",_xll.EVPRO($B$1,$H79,"STYLE"))</f>
        <v>N</v>
      </c>
      <c r="J79" s="104" t="str">
        <f>IF(_epmOfflineCondition_,"N",_xll.EVPRO($B$1,$H79,"CALC"))</f>
        <v>N</v>
      </c>
      <c r="K79" s="104"/>
      <c r="L79" s="104" t="str">
        <f>IF(_epmOfflineCondition_,"902550",_xll.EVPRO($B$1,H79,"JDEID"))</f>
        <v>902550</v>
      </c>
      <c r="M79" s="90" t="str">
        <f>IF(_epmOfflineCondition_,"991764",IF(AND(I79="N",J79="N"),_xll.EVPRO($B$1,H79,"PSFTID"),""))</f>
        <v>991764</v>
      </c>
      <c r="N79" s="104" t="str">
        <f>IF(_epmOfflineCondition_,"Advance Purchases",IF(_xll.EVDES(H79,$B$1)="#NODATA","",_xll.EVDES(H79,$B$1)))</f>
        <v>Advance Purchases</v>
      </c>
      <c r="O79" s="275"/>
      <c r="P79" s="276"/>
      <c r="Q79" s="276"/>
      <c r="R79" s="276"/>
      <c r="S79" s="276">
        <v>34</v>
      </c>
      <c r="T79" s="276">
        <v>314</v>
      </c>
      <c r="U79" s="276">
        <v>745</v>
      </c>
      <c r="V79" s="276">
        <v>580</v>
      </c>
      <c r="W79" s="276">
        <v>375</v>
      </c>
      <c r="X79" s="276">
        <v>582</v>
      </c>
      <c r="Y79" s="276">
        <v>663</v>
      </c>
      <c r="Z79" s="276">
        <v>743</v>
      </c>
      <c r="AA79" s="276">
        <f t="shared" si="7"/>
        <v>4036</v>
      </c>
      <c r="AB79" s="312">
        <f t="shared" si="8"/>
        <v>0.10035058057137174</v>
      </c>
      <c r="AC79" s="140"/>
      <c r="AD79" s="278"/>
      <c r="AE79" s="312" t="str">
        <f t="shared" si="9"/>
        <v/>
      </c>
      <c r="AF79" s="279">
        <f t="shared" si="10"/>
        <v>4036</v>
      </c>
      <c r="AG79" s="279">
        <v>138</v>
      </c>
      <c r="AH79" s="312">
        <f t="shared" si="11"/>
        <v>6.8827930174563592E-3</v>
      </c>
      <c r="AI79" s="280">
        <f t="shared" si="12"/>
        <v>3898</v>
      </c>
    </row>
    <row r="80" spans="1:35" x14ac:dyDescent="0.35">
      <c r="A80" s="11"/>
      <c r="B80" s="11"/>
      <c r="C80" s="11"/>
      <c r="D80" s="11"/>
      <c r="E80" s="11"/>
      <c r="F80" s="11"/>
      <c r="G80" s="11"/>
      <c r="H80" s="88" t="s">
        <v>150</v>
      </c>
      <c r="I80" s="104" t="str">
        <f>IF(_epmOfflineCondition_,"N",_xll.EVPRO($B$1,$H80,"STYLE"))</f>
        <v>N</v>
      </c>
      <c r="J80" s="104" t="str">
        <f>IF(_epmOfflineCondition_,"N",_xll.EVPRO($B$1,$H80,"CALC"))</f>
        <v>N</v>
      </c>
      <c r="K80" s="104"/>
      <c r="L80" s="104" t="str">
        <f>IF(_epmOfflineCondition_,"902560",_xll.EVPRO($B$1,H80,"JDEID"))</f>
        <v>902560</v>
      </c>
      <c r="M80" s="90" t="str">
        <f>IF(_epmOfflineCondition_,"991769",IF(AND(I80="N",J80="N"),_xll.EVPRO($B$1,H80,"PSFTID"),""))</f>
        <v>991769</v>
      </c>
      <c r="N80" s="104" t="str">
        <f>IF(_epmOfflineCondition_,"Local Discounts",IF(_xll.EVDES(H80,$B$1)="#NODATA","",_xll.EVDES(H80,$B$1)))</f>
        <v>Local Discounts</v>
      </c>
      <c r="O80" s="275">
        <v>790</v>
      </c>
      <c r="P80" s="276">
        <v>937</v>
      </c>
      <c r="Q80" s="276">
        <v>1267</v>
      </c>
      <c r="R80" s="276">
        <v>1110</v>
      </c>
      <c r="S80" s="276">
        <v>1284</v>
      </c>
      <c r="T80" s="276">
        <v>858</v>
      </c>
      <c r="U80" s="276">
        <v>771</v>
      </c>
      <c r="V80" s="276">
        <v>621</v>
      </c>
      <c r="W80" s="276">
        <v>652</v>
      </c>
      <c r="X80" s="276">
        <v>641</v>
      </c>
      <c r="Y80" s="276">
        <v>627</v>
      </c>
      <c r="Z80" s="276">
        <v>827</v>
      </c>
      <c r="AA80" s="276">
        <f t="shared" si="7"/>
        <v>10385</v>
      </c>
      <c r="AB80" s="312">
        <f t="shared" si="8"/>
        <v>0.25821129316989483</v>
      </c>
      <c r="AC80" s="140"/>
      <c r="AD80" s="278">
        <v>8968</v>
      </c>
      <c r="AE80" s="312">
        <f t="shared" si="9"/>
        <v>0.23898734177215189</v>
      </c>
      <c r="AF80" s="279">
        <f t="shared" si="10"/>
        <v>1417</v>
      </c>
      <c r="AG80" s="279">
        <v>5559</v>
      </c>
      <c r="AH80" s="312">
        <f t="shared" si="11"/>
        <v>0.27725685785536158</v>
      </c>
      <c r="AI80" s="280">
        <f t="shared" si="12"/>
        <v>4826</v>
      </c>
    </row>
    <row r="81" spans="1:35" x14ac:dyDescent="0.35">
      <c r="A81" s="11"/>
      <c r="B81" s="11"/>
      <c r="C81" s="11"/>
      <c r="D81" s="11"/>
      <c r="E81" s="11"/>
      <c r="F81" s="11"/>
      <c r="G81" s="11"/>
      <c r="H81" s="88" t="s">
        <v>151</v>
      </c>
      <c r="I81" s="104" t="str">
        <f>IF(_epmOfflineCondition_,"N",_xll.EVPRO($B$1,$H81,"STYLE"))</f>
        <v>N</v>
      </c>
      <c r="J81" s="104" t="str">
        <f>IF(_epmOfflineCondition_,"N",_xll.EVPRO($B$1,$H81,"CALC"))</f>
        <v>N</v>
      </c>
      <c r="K81" s="104"/>
      <c r="L81" s="104" t="str">
        <f>IF(_epmOfflineCondition_,"902600",_xll.EVPRO($B$1,H81,"JDEID"))</f>
        <v>902600</v>
      </c>
      <c r="M81" s="90" t="str">
        <f>IF(_epmOfflineCondition_,"991763",IF(AND(I81="N",J81="N"),_xll.EVPRO($B$1,H81,"PSFTID"),""))</f>
        <v>991763</v>
      </c>
      <c r="N81" s="104" t="str">
        <f>IF(_epmOfflineCondition_,"Package &amp; Promo (Legacy)",IF(_xll.EVDES(H81,$B$1)="#NODATA","",_xll.EVDES(H81,$B$1)))</f>
        <v>Package &amp; Promo (Legacy)</v>
      </c>
      <c r="O81" s="275"/>
      <c r="P81" s="276"/>
      <c r="Q81" s="276"/>
      <c r="R81" s="276"/>
      <c r="S81" s="276"/>
      <c r="T81" s="276"/>
      <c r="U81" s="276"/>
      <c r="V81" s="276"/>
      <c r="W81" s="276"/>
      <c r="X81" s="276"/>
      <c r="Y81" s="276"/>
      <c r="Z81" s="276"/>
      <c r="AA81" s="276">
        <f t="shared" si="7"/>
        <v>0</v>
      </c>
      <c r="AB81" s="312" t="str">
        <f t="shared" si="8"/>
        <v/>
      </c>
      <c r="AC81" s="140"/>
      <c r="AD81" s="278"/>
      <c r="AE81" s="312" t="str">
        <f t="shared" si="9"/>
        <v/>
      </c>
      <c r="AF81" s="279">
        <f t="shared" si="10"/>
        <v>0</v>
      </c>
      <c r="AG81" s="279"/>
      <c r="AH81" s="312" t="str">
        <f t="shared" si="11"/>
        <v/>
      </c>
      <c r="AI81" s="280">
        <f t="shared" si="12"/>
        <v>0</v>
      </c>
    </row>
    <row r="82" spans="1:35" x14ac:dyDescent="0.35">
      <c r="A82" s="11"/>
      <c r="B82" s="11"/>
      <c r="C82" s="11"/>
      <c r="D82" s="11"/>
      <c r="E82" s="11"/>
      <c r="F82" s="11"/>
      <c r="G82" s="11"/>
      <c r="H82" s="88" t="s">
        <v>152</v>
      </c>
      <c r="I82" s="89" t="str">
        <f>IF(_epmOfflineCondition_,"T3",_xll.EVPRO($B$1,$H82,"STYLE"))</f>
        <v>T3</v>
      </c>
      <c r="J82" s="89" t="str">
        <f>IF(_epmOfflineCondition_,"Y",_xll.EVPRO($B$1,$H82,"CALC"))</f>
        <v>Y</v>
      </c>
      <c r="K82" s="265"/>
      <c r="L82" s="106" t="str">
        <f>IF(_epmOfflineCondition_,"",_xll.EVPRO($B$1,H82,"JDEID"))</f>
        <v/>
      </c>
      <c r="M82" s="90" t="str">
        <f>IF(_epmOfflineCondition_,"",IF(AND(I82="N",J82="N"),_xll.EVPRO($B$1,H82,"PSFTID"),""))</f>
        <v/>
      </c>
      <c r="N82" s="106" t="str">
        <f>IF(_epmOfflineCondition_,"Negotiated",IF(_xll.EVDES(H82,$B$1)="#NODATA","",_xll.EVDES(H82,$B$1)))</f>
        <v>Negotiated</v>
      </c>
      <c r="O82" s="269">
        <v>30</v>
      </c>
      <c r="P82" s="270">
        <v>133</v>
      </c>
      <c r="Q82" s="270">
        <v>82</v>
      </c>
      <c r="R82" s="270">
        <v>99</v>
      </c>
      <c r="S82" s="270">
        <v>74</v>
      </c>
      <c r="T82" s="270">
        <v>47</v>
      </c>
      <c r="U82" s="270">
        <v>189</v>
      </c>
      <c r="V82" s="270">
        <v>169</v>
      </c>
      <c r="W82" s="270">
        <v>202</v>
      </c>
      <c r="X82" s="270">
        <v>301</v>
      </c>
      <c r="Y82" s="270">
        <v>301</v>
      </c>
      <c r="Z82" s="270">
        <v>234</v>
      </c>
      <c r="AA82" s="270">
        <f t="shared" si="7"/>
        <v>1861</v>
      </c>
      <c r="AB82" s="311">
        <f t="shared" si="8"/>
        <v>4.6271662647007633E-2</v>
      </c>
      <c r="AC82" s="140"/>
      <c r="AD82" s="272">
        <v>625</v>
      </c>
      <c r="AE82" s="311">
        <f t="shared" si="9"/>
        <v>1.6655562958027982E-2</v>
      </c>
      <c r="AF82" s="273">
        <f t="shared" si="10"/>
        <v>1236</v>
      </c>
      <c r="AG82" s="273">
        <v>553</v>
      </c>
      <c r="AH82" s="311">
        <f t="shared" si="11"/>
        <v>2.7581047381546136E-2</v>
      </c>
      <c r="AI82" s="274">
        <f t="shared" si="12"/>
        <v>1308</v>
      </c>
    </row>
    <row r="83" spans="1:35" x14ac:dyDescent="0.35">
      <c r="A83" s="11"/>
      <c r="B83" s="11"/>
      <c r="C83" s="11"/>
      <c r="D83" s="11"/>
      <c r="E83" s="11"/>
      <c r="F83" s="11"/>
      <c r="G83" s="11"/>
      <c r="H83" s="88" t="s">
        <v>153</v>
      </c>
      <c r="I83" s="104" t="str">
        <f>IF(_epmOfflineCondition_,"N",_xll.EVPRO($B$1,$H83,"STYLE"))</f>
        <v>N</v>
      </c>
      <c r="J83" s="104" t="str">
        <f>IF(_epmOfflineCondition_,"N",_xll.EVPRO($B$1,$H83,"CALC"))</f>
        <v>N</v>
      </c>
      <c r="K83" s="104"/>
      <c r="L83" s="104" t="str">
        <f>IF(_epmOfflineCondition_,"902300",_xll.EVPRO($B$1,H83,"JDEID"))</f>
        <v>902300</v>
      </c>
      <c r="M83" s="90" t="str">
        <f>IF(_epmOfflineCondition_,"991757",IF(AND(I83="N",J83="N"),_xll.EVPRO($B$1,H83,"PSFTID"),""))</f>
        <v>991757</v>
      </c>
      <c r="N83" s="104" t="str">
        <f>IF(_epmOfflineCondition_,"Consortia",IF(_xll.EVDES(H83,$B$1)="#NODATA","",_xll.EVDES(H83,$B$1)))</f>
        <v>Consortia</v>
      </c>
      <c r="O83" s="275">
        <v>3</v>
      </c>
      <c r="P83" s="276">
        <v>12</v>
      </c>
      <c r="Q83" s="276">
        <v>4</v>
      </c>
      <c r="R83" s="276">
        <v>6</v>
      </c>
      <c r="S83" s="276">
        <v>6</v>
      </c>
      <c r="T83" s="276">
        <v>5</v>
      </c>
      <c r="U83" s="276"/>
      <c r="V83" s="276">
        <v>9</v>
      </c>
      <c r="W83" s="276">
        <v>5</v>
      </c>
      <c r="X83" s="276">
        <v>1</v>
      </c>
      <c r="Y83" s="276">
        <v>14</v>
      </c>
      <c r="Z83" s="276">
        <v>17</v>
      </c>
      <c r="AA83" s="276">
        <f t="shared" si="7"/>
        <v>82</v>
      </c>
      <c r="AB83" s="312">
        <f t="shared" si="8"/>
        <v>2.0388373654243019E-3</v>
      </c>
      <c r="AC83" s="140"/>
      <c r="AD83" s="278">
        <v>95</v>
      </c>
      <c r="AE83" s="312">
        <f t="shared" si="9"/>
        <v>2.5316455696202532E-3</v>
      </c>
      <c r="AF83" s="279">
        <f t="shared" si="10"/>
        <v>-13</v>
      </c>
      <c r="AG83" s="279">
        <v>87</v>
      </c>
      <c r="AH83" s="312">
        <f t="shared" si="11"/>
        <v>4.3391521197007482E-3</v>
      </c>
      <c r="AI83" s="280">
        <f t="shared" si="12"/>
        <v>-5</v>
      </c>
    </row>
    <row r="84" spans="1:35" x14ac:dyDescent="0.35">
      <c r="A84" s="11"/>
      <c r="B84" s="11"/>
      <c r="C84" s="11"/>
      <c r="D84" s="11"/>
      <c r="E84" s="11"/>
      <c r="F84" s="11"/>
      <c r="G84" s="11"/>
      <c r="H84" s="88" t="s">
        <v>154</v>
      </c>
      <c r="I84" s="104" t="str">
        <f>IF(_epmOfflineCondition_,"N",_xll.EVPRO($B$1,$H84,"STYLE"))</f>
        <v>N</v>
      </c>
      <c r="J84" s="104" t="str">
        <f>IF(_epmOfflineCondition_,"N",_xll.EVPRO($B$1,$H84,"CALC"))</f>
        <v>N</v>
      </c>
      <c r="K84" s="104"/>
      <c r="L84" s="104" t="str">
        <f>IF(_epmOfflineCondition_,"902350",_xll.EVPRO($B$1,H84,"JDEID"))</f>
        <v>902350</v>
      </c>
      <c r="M84" s="90" t="str">
        <f>IF(_epmOfflineCondition_,"991758",IF(AND(I84="N",J84="N"),_xll.EVPRO($B$1,H84,"PSFTID"),""))</f>
        <v>991758</v>
      </c>
      <c r="N84" s="104" t="str">
        <f>IF(_epmOfflineCondition_,"National Negotiated",IF(_xll.EVDES(H84,$B$1)="#NODATA","",_xll.EVDES(H84,$B$1)))</f>
        <v>National Negotiated</v>
      </c>
      <c r="O84" s="275">
        <v>3</v>
      </c>
      <c r="P84" s="276">
        <v>7</v>
      </c>
      <c r="Q84" s="276">
        <v>24</v>
      </c>
      <c r="R84" s="276">
        <v>40</v>
      </c>
      <c r="S84" s="276">
        <v>29</v>
      </c>
      <c r="T84" s="276">
        <v>15</v>
      </c>
      <c r="U84" s="276">
        <v>105</v>
      </c>
      <c r="V84" s="276">
        <v>40</v>
      </c>
      <c r="W84" s="276">
        <v>60</v>
      </c>
      <c r="X84" s="276">
        <v>43</v>
      </c>
      <c r="Y84" s="276">
        <v>78</v>
      </c>
      <c r="Z84" s="276">
        <v>66</v>
      </c>
      <c r="AA84" s="276">
        <f t="shared" si="7"/>
        <v>510</v>
      </c>
      <c r="AB84" s="312">
        <f t="shared" si="8"/>
        <v>1.2680573858126756E-2</v>
      </c>
      <c r="AC84" s="140"/>
      <c r="AD84" s="278">
        <v>409</v>
      </c>
      <c r="AE84" s="312">
        <f t="shared" si="9"/>
        <v>1.089940039973351E-2</v>
      </c>
      <c r="AF84" s="279">
        <f t="shared" si="10"/>
        <v>101</v>
      </c>
      <c r="AG84" s="279">
        <v>433</v>
      </c>
      <c r="AH84" s="312">
        <f t="shared" si="11"/>
        <v>2.1596009975062343E-2</v>
      </c>
      <c r="AI84" s="280">
        <f t="shared" si="12"/>
        <v>77</v>
      </c>
    </row>
    <row r="85" spans="1:35" x14ac:dyDescent="0.35">
      <c r="A85" s="11"/>
      <c r="B85" s="11"/>
      <c r="C85" s="11"/>
      <c r="D85" s="11"/>
      <c r="E85" s="11"/>
      <c r="F85" s="11"/>
      <c r="G85" s="11"/>
      <c r="H85" s="88" t="s">
        <v>155</v>
      </c>
      <c r="I85" s="104" t="str">
        <f>IF(_epmOfflineCondition_,"N",_xll.EVPRO($B$1,$H85,"STYLE"))</f>
        <v>N</v>
      </c>
      <c r="J85" s="104" t="str">
        <f>IF(_epmOfflineCondition_,"N",_xll.EVPRO($B$1,$H85,"CALC"))</f>
        <v>N</v>
      </c>
      <c r="K85" s="104"/>
      <c r="L85" s="104" t="str">
        <f>IF(_epmOfflineCondition_,"902200",_xll.EVPRO($B$1,H85,"JDEID"))</f>
        <v>902200</v>
      </c>
      <c r="M85" s="90" t="str">
        <f>IF(_epmOfflineCondition_,"991756",IF(AND(I85="N",J85="N"),_xll.EVPRO($B$1,H85,"PSFTID"),""))</f>
        <v>991756</v>
      </c>
      <c r="N85" s="104" t="str">
        <f>IF(_epmOfflineCondition_,"Local Negotiated",IF(_xll.EVDES(H85,$B$1)="#NODATA","",_xll.EVDES(H85,$B$1)))</f>
        <v>Local Negotiated</v>
      </c>
      <c r="O85" s="275">
        <v>24</v>
      </c>
      <c r="P85" s="276">
        <v>114</v>
      </c>
      <c r="Q85" s="276">
        <v>54</v>
      </c>
      <c r="R85" s="276">
        <v>53</v>
      </c>
      <c r="S85" s="276">
        <v>39</v>
      </c>
      <c r="T85" s="276">
        <v>27</v>
      </c>
      <c r="U85" s="276">
        <v>84</v>
      </c>
      <c r="V85" s="276">
        <v>120</v>
      </c>
      <c r="W85" s="276">
        <v>137</v>
      </c>
      <c r="X85" s="276">
        <v>257</v>
      </c>
      <c r="Y85" s="276">
        <v>209</v>
      </c>
      <c r="Z85" s="276">
        <v>151</v>
      </c>
      <c r="AA85" s="276">
        <f t="shared" si="7"/>
        <v>1269</v>
      </c>
      <c r="AB85" s="312">
        <f t="shared" si="8"/>
        <v>3.1552251423456572E-2</v>
      </c>
      <c r="AC85" s="140"/>
      <c r="AD85" s="278">
        <v>121</v>
      </c>
      <c r="AE85" s="312">
        <f t="shared" si="9"/>
        <v>3.2245169886742173E-3</v>
      </c>
      <c r="AF85" s="279">
        <f t="shared" si="10"/>
        <v>1148</v>
      </c>
      <c r="AG85" s="279">
        <v>33</v>
      </c>
      <c r="AH85" s="312">
        <f t="shared" si="11"/>
        <v>1.6458852867830423E-3</v>
      </c>
      <c r="AI85" s="280">
        <f t="shared" si="12"/>
        <v>1236</v>
      </c>
    </row>
    <row r="86" spans="1:35" x14ac:dyDescent="0.35">
      <c r="A86" s="11"/>
      <c r="B86" s="11"/>
      <c r="C86" s="11"/>
      <c r="D86" s="11"/>
      <c r="E86" s="11"/>
      <c r="F86" s="11"/>
      <c r="G86" s="11"/>
      <c r="H86" s="88" t="s">
        <v>156</v>
      </c>
      <c r="I86" s="89" t="str">
        <f>IF(_epmOfflineCondition_,"T3",_xll.EVPRO($B$1,$H86,"STYLE"))</f>
        <v>T3</v>
      </c>
      <c r="J86" s="89" t="str">
        <f>IF(_epmOfflineCondition_,"Y",_xll.EVPRO($B$1,$H86,"CALC"))</f>
        <v>Y</v>
      </c>
      <c r="K86" s="265"/>
      <c r="L86" s="106" t="str">
        <f>IF(_epmOfflineCondition_,"",_xll.EVPRO($B$1,H86,"JDEID"))</f>
        <v/>
      </c>
      <c r="M86" s="90" t="str">
        <f>IF(_epmOfflineCondition_,"",IF(AND(I86="N",J86="N"),_xll.EVPRO($B$1,H86,"PSFTID"),""))</f>
        <v/>
      </c>
      <c r="N86" s="106" t="str">
        <f>IF(_epmOfflineCondition_,"Qualified",IF(_xll.EVDES(H86,$B$1)="#NODATA","",_xll.EVDES(H86,$B$1)))</f>
        <v>Qualified</v>
      </c>
      <c r="O86" s="269">
        <v>88</v>
      </c>
      <c r="P86" s="270">
        <v>60</v>
      </c>
      <c r="Q86" s="270">
        <v>188</v>
      </c>
      <c r="R86" s="270">
        <v>196</v>
      </c>
      <c r="S86" s="270">
        <v>268</v>
      </c>
      <c r="T86" s="270">
        <v>176</v>
      </c>
      <c r="U86" s="270">
        <v>163</v>
      </c>
      <c r="V86" s="270">
        <v>107</v>
      </c>
      <c r="W86" s="270">
        <v>122</v>
      </c>
      <c r="X86" s="270">
        <v>119</v>
      </c>
      <c r="Y86" s="270">
        <v>171</v>
      </c>
      <c r="Z86" s="270">
        <v>58</v>
      </c>
      <c r="AA86" s="270">
        <f t="shared" si="7"/>
        <v>1716</v>
      </c>
      <c r="AB86" s="311">
        <f t="shared" si="8"/>
        <v>4.2666401452050029E-2</v>
      </c>
      <c r="AC86" s="140"/>
      <c r="AD86" s="272">
        <v>2248</v>
      </c>
      <c r="AE86" s="311">
        <f t="shared" si="9"/>
        <v>5.9906728847435045E-2</v>
      </c>
      <c r="AF86" s="273">
        <f t="shared" si="10"/>
        <v>-532</v>
      </c>
      <c r="AG86" s="273">
        <v>979</v>
      </c>
      <c r="AH86" s="311">
        <f t="shared" si="11"/>
        <v>4.8827930174563591E-2</v>
      </c>
      <c r="AI86" s="274">
        <f t="shared" si="12"/>
        <v>737</v>
      </c>
    </row>
    <row r="87" spans="1:35" x14ac:dyDescent="0.35">
      <c r="A87" s="11"/>
      <c r="B87" s="11"/>
      <c r="C87" s="11"/>
      <c r="D87" s="11"/>
      <c r="E87" s="11"/>
      <c r="F87" s="11"/>
      <c r="G87" s="11"/>
      <c r="H87" s="88" t="s">
        <v>157</v>
      </c>
      <c r="I87" s="104" t="str">
        <f>IF(_epmOfflineCondition_,"N",_xll.EVPRO($B$1,$H87,"STYLE"))</f>
        <v>N</v>
      </c>
      <c r="J87" s="104" t="str">
        <f>IF(_epmOfflineCondition_,"N",_xll.EVPRO($B$1,$H87,"CALC"))</f>
        <v>N</v>
      </c>
      <c r="K87" s="104"/>
      <c r="L87" s="104" t="str">
        <f>IF(_epmOfflineCondition_,"902700",_xll.EVPRO($B$1,H87,"JDEID"))</f>
        <v>902700</v>
      </c>
      <c r="M87" s="90" t="str">
        <f>IF(_epmOfflineCondition_,"991770",IF(AND(I87="N",J87="N"),_xll.EVPRO($B$1,H87,"PSFTID"),""))</f>
        <v>991770</v>
      </c>
      <c r="N87" s="104" t="str">
        <f>IF(_epmOfflineCondition_,"Qualified",IF(_xll.EVDES(H87,$B$1)="#NODATA","",_xll.EVDES(H87,$B$1)))</f>
        <v>Qualified</v>
      </c>
      <c r="O87" s="275">
        <v>86</v>
      </c>
      <c r="P87" s="276">
        <v>44</v>
      </c>
      <c r="Q87" s="276">
        <v>142</v>
      </c>
      <c r="R87" s="276">
        <v>102</v>
      </c>
      <c r="S87" s="276">
        <v>126</v>
      </c>
      <c r="T87" s="276">
        <v>88</v>
      </c>
      <c r="U87" s="276">
        <v>96</v>
      </c>
      <c r="V87" s="276">
        <v>61</v>
      </c>
      <c r="W87" s="276">
        <v>77</v>
      </c>
      <c r="X87" s="276">
        <v>80</v>
      </c>
      <c r="Y87" s="276">
        <v>112</v>
      </c>
      <c r="Z87" s="276">
        <v>58</v>
      </c>
      <c r="AA87" s="276">
        <f t="shared" si="7"/>
        <v>1072</v>
      </c>
      <c r="AB87" s="312">
        <f t="shared" si="8"/>
        <v>2.6654068972376242E-2</v>
      </c>
      <c r="AC87" s="140"/>
      <c r="AD87" s="278">
        <v>1940</v>
      </c>
      <c r="AE87" s="312">
        <f t="shared" si="9"/>
        <v>5.1698867421718857E-2</v>
      </c>
      <c r="AF87" s="279">
        <f t="shared" si="10"/>
        <v>-868</v>
      </c>
      <c r="AG87" s="279">
        <v>682</v>
      </c>
      <c r="AH87" s="312">
        <f t="shared" si="11"/>
        <v>3.4014962593516211E-2</v>
      </c>
      <c r="AI87" s="280">
        <f t="shared" si="12"/>
        <v>390</v>
      </c>
    </row>
    <row r="88" spans="1:35" x14ac:dyDescent="0.35">
      <c r="A88" s="11"/>
      <c r="B88" s="11"/>
      <c r="C88" s="11"/>
      <c r="D88" s="11"/>
      <c r="E88" s="11"/>
      <c r="F88" s="11"/>
      <c r="G88" s="11"/>
      <c r="H88" s="88" t="s">
        <v>158</v>
      </c>
      <c r="I88" s="104" t="str">
        <f>IF(_epmOfflineCondition_,"N",_xll.EVPRO($B$1,$H88,"STYLE"))</f>
        <v>N</v>
      </c>
      <c r="J88" s="104" t="str">
        <f>IF(_epmOfflineCondition_,"N",_xll.EVPRO($B$1,$H88,"CALC"))</f>
        <v>N</v>
      </c>
      <c r="K88" s="104"/>
      <c r="L88" s="104" t="str">
        <f>IF(_epmOfflineCondition_,"902730",_xll.EVPRO($B$1,H88,"JDEID"))</f>
        <v>902730</v>
      </c>
      <c r="M88" s="90" t="str">
        <f>IF(_epmOfflineCondition_,"991030",IF(AND(I88="N",J88="N"),_xll.EVPRO($B$1,H88,"PSFTID"),""))</f>
        <v>991030</v>
      </c>
      <c r="N88" s="104" t="str">
        <f>IF(_epmOfflineCondition_,"Government",IF(_xll.EVDES(H88,$B$1)="#NODATA","",_xll.EVDES(H88,$B$1)))</f>
        <v>Government</v>
      </c>
      <c r="O88" s="275">
        <v>2</v>
      </c>
      <c r="P88" s="276">
        <v>16</v>
      </c>
      <c r="Q88" s="276">
        <v>46</v>
      </c>
      <c r="R88" s="276">
        <v>94</v>
      </c>
      <c r="S88" s="276">
        <v>142</v>
      </c>
      <c r="T88" s="276">
        <v>88</v>
      </c>
      <c r="U88" s="276">
        <v>67</v>
      </c>
      <c r="V88" s="276">
        <v>46</v>
      </c>
      <c r="W88" s="276">
        <v>45</v>
      </c>
      <c r="X88" s="276">
        <v>39</v>
      </c>
      <c r="Y88" s="276">
        <v>59</v>
      </c>
      <c r="Z88" s="276"/>
      <c r="AA88" s="276">
        <f t="shared" si="7"/>
        <v>644</v>
      </c>
      <c r="AB88" s="312">
        <f t="shared" si="8"/>
        <v>1.6012332479673787E-2</v>
      </c>
      <c r="AC88" s="140"/>
      <c r="AD88" s="278">
        <v>308</v>
      </c>
      <c r="AE88" s="312">
        <f t="shared" si="9"/>
        <v>8.2078614257161901E-3</v>
      </c>
      <c r="AF88" s="279">
        <f t="shared" si="10"/>
        <v>336</v>
      </c>
      <c r="AG88" s="279">
        <v>297</v>
      </c>
      <c r="AH88" s="312">
        <f t="shared" si="11"/>
        <v>1.4812967581047382E-2</v>
      </c>
      <c r="AI88" s="280">
        <f t="shared" si="12"/>
        <v>347</v>
      </c>
    </row>
    <row r="89" spans="1:35" x14ac:dyDescent="0.35">
      <c r="A89" s="11"/>
      <c r="B89" s="11"/>
      <c r="C89" s="11"/>
      <c r="D89" s="11"/>
      <c r="E89" s="11"/>
      <c r="F89" s="11"/>
      <c r="G89" s="11"/>
      <c r="H89" s="88" t="s">
        <v>159</v>
      </c>
      <c r="I89" s="89" t="str">
        <f>IF(_epmOfflineCondition_,"T3",_xll.EVPRO($B$1,$H89,"STYLE"))</f>
        <v>T3</v>
      </c>
      <c r="J89" s="89" t="str">
        <f>IF(_epmOfflineCondition_,"N",_xll.EVPRO($B$1,$H89,"CALC"))</f>
        <v>N</v>
      </c>
      <c r="K89" s="265"/>
      <c r="L89" s="106" t="str">
        <f>IF(_epmOfflineCondition_,"902400",_xll.EVPRO($B$1,H89,"JDEID"))</f>
        <v>902400</v>
      </c>
      <c r="M89" s="90" t="str">
        <f>IF(_epmOfflineCondition_,"",IF(AND(I89="N",J89="N"),_xll.EVPRO($B$1,H89,"PSFTID"),""))</f>
        <v/>
      </c>
      <c r="N89" s="106" t="str">
        <f>IF(_epmOfflineCondition_,"Wholesale",IF(_xll.EVDES(H89,$B$1)="#NODATA","",_xll.EVDES(H89,$B$1)))</f>
        <v>Wholesale</v>
      </c>
      <c r="O89" s="281">
        <v>216</v>
      </c>
      <c r="P89" s="282">
        <v>115</v>
      </c>
      <c r="Q89" s="282">
        <v>212</v>
      </c>
      <c r="R89" s="282">
        <v>190</v>
      </c>
      <c r="S89" s="282">
        <v>122</v>
      </c>
      <c r="T89" s="282">
        <v>193</v>
      </c>
      <c r="U89" s="282">
        <v>108</v>
      </c>
      <c r="V89" s="282">
        <v>51</v>
      </c>
      <c r="W89" s="282">
        <v>33</v>
      </c>
      <c r="X89" s="282">
        <v>51</v>
      </c>
      <c r="Y89" s="282">
        <v>83</v>
      </c>
      <c r="Z89" s="282">
        <v>175</v>
      </c>
      <c r="AA89" s="282">
        <f t="shared" si="7"/>
        <v>1549</v>
      </c>
      <c r="AB89" s="313">
        <f t="shared" si="8"/>
        <v>3.8514135110271262E-2</v>
      </c>
      <c r="AC89" s="140"/>
      <c r="AD89" s="284">
        <v>2443</v>
      </c>
      <c r="AE89" s="313">
        <f t="shared" si="9"/>
        <v>6.5103264490339777E-2</v>
      </c>
      <c r="AF89" s="285">
        <f t="shared" si="10"/>
        <v>-894</v>
      </c>
      <c r="AG89" s="285">
        <v>603</v>
      </c>
      <c r="AH89" s="313">
        <f t="shared" si="11"/>
        <v>3.0074812967581046E-2</v>
      </c>
      <c r="AI89" s="286">
        <f t="shared" si="12"/>
        <v>946</v>
      </c>
    </row>
    <row r="90" spans="1:35" x14ac:dyDescent="0.35">
      <c r="A90" s="11"/>
      <c r="B90" s="11"/>
      <c r="C90" s="11"/>
      <c r="D90" s="11"/>
      <c r="E90" s="11"/>
      <c r="F90" s="11"/>
      <c r="G90" s="11"/>
      <c r="H90" s="88" t="s">
        <v>141</v>
      </c>
      <c r="I90" s="89" t="str">
        <f>IF(_epmOfflineCondition_,"T2",_xll.EVPRO($B$1,$H90,"STYLE"))</f>
        <v>T2</v>
      </c>
      <c r="J90" s="89" t="str">
        <f>IF(_epmOfflineCondition_,"Y",_xll.EVPRO($B$1,$H90,"CALC"))</f>
        <v>Y</v>
      </c>
      <c r="K90" s="265"/>
      <c r="L90" s="106" t="str">
        <f>IF(_epmOfflineCondition_,"902000",_xll.EVPRO($B$1,H90,"JDEID"))</f>
        <v>902000</v>
      </c>
      <c r="M90" s="90" t="str">
        <f>IF(_epmOfflineCondition_,"",IF(AND(I90="N",J90="N"),_xll.EVPRO($B$1,H90,"PSFTID"),""))</f>
        <v/>
      </c>
      <c r="N90" s="106" t="str">
        <f>IF(_epmOfflineCondition_,"Total Transient Rooms Occupied",IF(_xll.EVDES(H90,$B$1)="#NODATA","",_xll.EVDES(H90,$B$1)))</f>
        <v>Total Transient Rooms Occupied</v>
      </c>
      <c r="O90" s="287">
        <v>3435</v>
      </c>
      <c r="P90" s="288">
        <v>3291</v>
      </c>
      <c r="Q90" s="288">
        <v>3637</v>
      </c>
      <c r="R90" s="288">
        <v>3249</v>
      </c>
      <c r="S90" s="288">
        <v>3705</v>
      </c>
      <c r="T90" s="288">
        <v>3543</v>
      </c>
      <c r="U90" s="288">
        <v>3501</v>
      </c>
      <c r="V90" s="288">
        <v>2570</v>
      </c>
      <c r="W90" s="288">
        <v>2275</v>
      </c>
      <c r="X90" s="288">
        <v>2910</v>
      </c>
      <c r="Y90" s="288">
        <v>3021</v>
      </c>
      <c r="Z90" s="288">
        <v>3591</v>
      </c>
      <c r="AA90" s="288">
        <f t="shared" si="7"/>
        <v>38728</v>
      </c>
      <c r="AB90" s="314">
        <f t="shared" si="8"/>
        <v>0.96292796936771174</v>
      </c>
      <c r="AC90" s="140"/>
      <c r="AD90" s="290">
        <v>36094</v>
      </c>
      <c r="AE90" s="314">
        <f t="shared" si="9"/>
        <v>0.96186542305129918</v>
      </c>
      <c r="AF90" s="291">
        <f t="shared" si="10"/>
        <v>2634</v>
      </c>
      <c r="AG90" s="291">
        <v>18203</v>
      </c>
      <c r="AH90" s="314">
        <f t="shared" si="11"/>
        <v>0.9078802992518703</v>
      </c>
      <c r="AI90" s="292">
        <f t="shared" si="12"/>
        <v>20525</v>
      </c>
    </row>
    <row r="91" spans="1:35" x14ac:dyDescent="0.35">
      <c r="A91" s="11"/>
      <c r="B91" s="11"/>
      <c r="C91" s="11"/>
      <c r="D91" s="11"/>
      <c r="E91" s="11"/>
      <c r="F91" s="11"/>
      <c r="G91" s="11"/>
      <c r="H91" s="88" t="s">
        <v>175</v>
      </c>
      <c r="I91" s="104" t="str">
        <f>IF(_epmOfflineCondition_,"B1",_xll.EVPRO($B$1,$H91,"STYLE"))</f>
        <v>B1</v>
      </c>
      <c r="J91" s="104" t="str">
        <f>IF(_epmOfflineCondition_,"Y",_xll.EVPRO($B$1,$H91,"CALC"))</f>
        <v>Y</v>
      </c>
      <c r="K91" s="104"/>
      <c r="L91" s="104" t="str">
        <f>IF(_epmOfflineCondition_,"",_xll.EVPRO($B$1,H91,"JDEID"))</f>
        <v/>
      </c>
      <c r="M91" s="90" t="str">
        <f>IF(_epmOfflineCondition_,"",IF(AND(I91="N",J91="N"),_xll.EVPRO($B$1,H91,"PSFTID"),""))</f>
        <v/>
      </c>
      <c r="N91" s="104" t="str">
        <f>IF(_epmOfflineCondition_,"BLANKROW",IF(_xll.EVDES(H91,$B$1)="#NODATA","",_xll.EVDES(H91,$B$1)))</f>
        <v>BLANKROW</v>
      </c>
      <c r="O91" s="293"/>
      <c r="P91" s="294"/>
      <c r="Q91" s="294"/>
      <c r="R91" s="294"/>
      <c r="S91" s="294"/>
      <c r="T91" s="294"/>
      <c r="U91" s="294"/>
      <c r="V91" s="294"/>
      <c r="W91" s="294"/>
      <c r="X91" s="294"/>
      <c r="Y91" s="294"/>
      <c r="Z91" s="294"/>
      <c r="AA91" s="294">
        <f t="shared" si="7"/>
        <v>0</v>
      </c>
      <c r="AB91" s="315" t="str">
        <f t="shared" si="8"/>
        <v/>
      </c>
      <c r="AC91" s="140"/>
      <c r="AD91" s="296"/>
      <c r="AE91" s="315" t="str">
        <f t="shared" si="9"/>
        <v/>
      </c>
      <c r="AF91" s="297">
        <f t="shared" si="10"/>
        <v>0</v>
      </c>
      <c r="AG91" s="297"/>
      <c r="AH91" s="315" t="str">
        <f t="shared" si="11"/>
        <v/>
      </c>
      <c r="AI91" s="298">
        <f t="shared" si="12"/>
        <v>0</v>
      </c>
    </row>
    <row r="92" spans="1:35" x14ac:dyDescent="0.35">
      <c r="A92" s="11"/>
      <c r="B92" s="11"/>
      <c r="C92" s="11"/>
      <c r="D92" s="11"/>
      <c r="E92" s="11"/>
      <c r="F92" s="11"/>
      <c r="G92" s="11"/>
      <c r="H92" s="88" t="s">
        <v>161</v>
      </c>
      <c r="I92" s="89" t="str">
        <f>IF(_epmOfflineCondition_,"T3",_xll.EVPRO($B$1,$H92,"STYLE"))</f>
        <v>T3</v>
      </c>
      <c r="J92" s="89" t="str">
        <f>IF(_epmOfflineCondition_,"Y",_xll.EVPRO($B$1,$H92,"CALC"))</f>
        <v>Y</v>
      </c>
      <c r="K92" s="265"/>
      <c r="L92" s="106" t="str">
        <f>IF(_epmOfflineCondition_,"",_xll.EVPRO($B$1,H92,"JDEID"))</f>
        <v/>
      </c>
      <c r="M92" s="90" t="str">
        <f>IF(_epmOfflineCondition_,"",IF(AND(I92="N",J92="N"),_xll.EVPRO($B$1,H92,"PSFTID"),""))</f>
        <v/>
      </c>
      <c r="N92" s="106" t="str">
        <f>IF(_epmOfflineCondition_,"Corporate",IF(_xll.EVDES(H92,$B$1)="#NODATA","",_xll.EVDES(H92,$B$1)))</f>
        <v>Corporate</v>
      </c>
      <c r="O92" s="269">
        <v>58</v>
      </c>
      <c r="P92" s="270">
        <v>82</v>
      </c>
      <c r="Q92" s="270">
        <v>27</v>
      </c>
      <c r="R92" s="270">
        <v>228</v>
      </c>
      <c r="S92" s="270">
        <v>24</v>
      </c>
      <c r="T92" s="270">
        <v>39</v>
      </c>
      <c r="U92" s="270">
        <v>2</v>
      </c>
      <c r="V92" s="270">
        <v>28</v>
      </c>
      <c r="W92" s="270">
        <v>58</v>
      </c>
      <c r="X92" s="270">
        <v>68</v>
      </c>
      <c r="Y92" s="270">
        <v>240</v>
      </c>
      <c r="Z92" s="270">
        <v>240</v>
      </c>
      <c r="AA92" s="270">
        <f t="shared" si="7"/>
        <v>1094</v>
      </c>
      <c r="AB92" s="311">
        <f t="shared" si="8"/>
        <v>2.7201074119197394E-2</v>
      </c>
      <c r="AC92" s="140"/>
      <c r="AD92" s="272">
        <v>800</v>
      </c>
      <c r="AE92" s="311">
        <f t="shared" si="9"/>
        <v>2.1319120586275817E-2</v>
      </c>
      <c r="AF92" s="273">
        <f t="shared" si="10"/>
        <v>294</v>
      </c>
      <c r="AG92" s="273">
        <v>1188</v>
      </c>
      <c r="AH92" s="311">
        <f t="shared" si="11"/>
        <v>5.9251870324189528E-2</v>
      </c>
      <c r="AI92" s="274">
        <f t="shared" si="12"/>
        <v>-94</v>
      </c>
    </row>
    <row r="93" spans="1:35" x14ac:dyDescent="0.35">
      <c r="A93" s="11"/>
      <c r="B93" s="11"/>
      <c r="C93" s="11"/>
      <c r="D93" s="11"/>
      <c r="E93" s="11"/>
      <c r="F93" s="11"/>
      <c r="G93" s="11"/>
      <c r="H93" s="88" t="s">
        <v>162</v>
      </c>
      <c r="I93" s="104" t="str">
        <f>IF(_epmOfflineCondition_,"N",_xll.EVPRO($B$1,$H93,"STYLE"))</f>
        <v>N</v>
      </c>
      <c r="J93" s="104" t="str">
        <f>IF(_epmOfflineCondition_,"N",_xll.EVPRO($B$1,$H93,"CALC"))</f>
        <v>N</v>
      </c>
      <c r="K93" s="104"/>
      <c r="L93" s="104" t="str">
        <f>IF(_epmOfflineCondition_,"901100",_xll.EVPRO($B$1,H93,"JDEID"))</f>
        <v>901100</v>
      </c>
      <c r="M93" s="90" t="str">
        <f>IF(_epmOfflineCondition_,"991704",IF(AND(I93="N",J93="N"),_xll.EVPRO($B$1,H93,"PSFTID"),""))</f>
        <v>991704</v>
      </c>
      <c r="N93" s="104" t="str">
        <f>IF(_epmOfflineCondition_,"Corporate",IF(_xll.EVDES(H93,$B$1)="#NODATA","",_xll.EVDES(H93,$B$1)))</f>
        <v>Corporate</v>
      </c>
      <c r="O93" s="275"/>
      <c r="P93" s="276"/>
      <c r="Q93" s="276"/>
      <c r="R93" s="276">
        <v>58</v>
      </c>
      <c r="S93" s="276">
        <v>24</v>
      </c>
      <c r="T93" s="276"/>
      <c r="U93" s="276"/>
      <c r="V93" s="276"/>
      <c r="W93" s="276">
        <v>58</v>
      </c>
      <c r="X93" s="276">
        <v>68</v>
      </c>
      <c r="Y93" s="276">
        <v>120</v>
      </c>
      <c r="Z93" s="276">
        <v>94</v>
      </c>
      <c r="AA93" s="276">
        <f t="shared" si="7"/>
        <v>422</v>
      </c>
      <c r="AB93" s="312">
        <f t="shared" si="8"/>
        <v>1.0492553270842139E-2</v>
      </c>
      <c r="AC93" s="140"/>
      <c r="AD93" s="278">
        <v>425</v>
      </c>
      <c r="AE93" s="312">
        <f t="shared" si="9"/>
        <v>1.1325782811459028E-2</v>
      </c>
      <c r="AF93" s="279">
        <f t="shared" si="10"/>
        <v>-3</v>
      </c>
      <c r="AG93" s="279">
        <v>515</v>
      </c>
      <c r="AH93" s="312">
        <f t="shared" si="11"/>
        <v>2.5685785536159602E-2</v>
      </c>
      <c r="AI93" s="280">
        <f t="shared" si="12"/>
        <v>-93</v>
      </c>
    </row>
    <row r="94" spans="1:35" x14ac:dyDescent="0.35">
      <c r="A94" s="11"/>
      <c r="B94" s="11"/>
      <c r="C94" s="11"/>
      <c r="D94" s="11"/>
      <c r="E94" s="11"/>
      <c r="F94" s="11"/>
      <c r="G94" s="11"/>
      <c r="H94" s="88" t="s">
        <v>163</v>
      </c>
      <c r="I94" s="104" t="str">
        <f>IF(_epmOfflineCondition_,"N",_xll.EVPRO($B$1,$H94,"STYLE"))</f>
        <v>N</v>
      </c>
      <c r="J94" s="104" t="str">
        <f>IF(_epmOfflineCondition_,"N",_xll.EVPRO($B$1,$H94,"CALC"))</f>
        <v>N</v>
      </c>
      <c r="K94" s="104"/>
      <c r="L94" s="104" t="str">
        <f>IF(_epmOfflineCondition_,"901500",_xll.EVPRO($B$1,H94,"JDEID"))</f>
        <v>901500</v>
      </c>
      <c r="M94" s="90" t="str">
        <f>IF(_epmOfflineCondition_,"991754",IF(AND(I94="N",J94="N"),_xll.EVPRO($B$1,H94,"PSFTID"),""))</f>
        <v>991754</v>
      </c>
      <c r="N94" s="104" t="str">
        <f>IF(_epmOfflineCondition_,"Entertainment/ Sports",IF(_xll.EVDES(H94,$B$1)="#NODATA","",_xll.EVDES(H94,$B$1)))</f>
        <v>Entertainment/ Sports</v>
      </c>
      <c r="O94" s="275">
        <v>58</v>
      </c>
      <c r="P94" s="276">
        <v>82</v>
      </c>
      <c r="Q94" s="276">
        <v>27</v>
      </c>
      <c r="R94" s="276">
        <v>170</v>
      </c>
      <c r="S94" s="276"/>
      <c r="T94" s="276">
        <v>39</v>
      </c>
      <c r="U94" s="276">
        <v>2</v>
      </c>
      <c r="V94" s="276">
        <v>28</v>
      </c>
      <c r="W94" s="276"/>
      <c r="X94" s="276"/>
      <c r="Y94" s="276">
        <v>120</v>
      </c>
      <c r="Z94" s="276">
        <v>146</v>
      </c>
      <c r="AA94" s="276">
        <f t="shared" si="7"/>
        <v>672</v>
      </c>
      <c r="AB94" s="312">
        <f t="shared" si="8"/>
        <v>1.6708520848355255E-2</v>
      </c>
      <c r="AC94" s="140"/>
      <c r="AD94" s="278">
        <v>375</v>
      </c>
      <c r="AE94" s="312">
        <f t="shared" si="9"/>
        <v>9.9933377748167886E-3</v>
      </c>
      <c r="AF94" s="279">
        <f t="shared" si="10"/>
        <v>297</v>
      </c>
      <c r="AG94" s="279">
        <v>673</v>
      </c>
      <c r="AH94" s="312">
        <f t="shared" si="11"/>
        <v>3.3566084788029922E-2</v>
      </c>
      <c r="AI94" s="280">
        <f t="shared" si="12"/>
        <v>-1</v>
      </c>
    </row>
    <row r="95" spans="1:35" x14ac:dyDescent="0.35">
      <c r="A95" s="11"/>
      <c r="B95" s="11"/>
      <c r="C95" s="11"/>
      <c r="D95" s="11"/>
      <c r="E95" s="11"/>
      <c r="F95" s="11"/>
      <c r="G95" s="11"/>
      <c r="H95" s="88" t="s">
        <v>164</v>
      </c>
      <c r="I95" s="89" t="str">
        <f>IF(_epmOfflineCondition_,"T3",_xll.EVPRO($B$1,$H95,"STYLE"))</f>
        <v>T3</v>
      </c>
      <c r="J95" s="89" t="str">
        <f>IF(_epmOfflineCondition_,"Y",_xll.EVPRO($B$1,$H95,"CALC"))</f>
        <v>Y</v>
      </c>
      <c r="K95" s="265"/>
      <c r="L95" s="106" t="str">
        <f>IF(_epmOfflineCondition_,"",_xll.EVPRO($B$1,H95,"JDEID"))</f>
        <v/>
      </c>
      <c r="M95" s="90" t="str">
        <f>IF(_epmOfflineCondition_,"",IF(AND(I95="N",J95="N"),_xll.EVPRO($B$1,H95,"PSFTID"),""))</f>
        <v/>
      </c>
      <c r="N95" s="106" t="str">
        <f>IF(_epmOfflineCondition_,"Association/ Convention",IF(_xll.EVDES(H95,$B$1)="#NODATA","",_xll.EVDES(H95,$B$1)))</f>
        <v>Association/ Convention</v>
      </c>
      <c r="O95" s="269"/>
      <c r="P95" s="270"/>
      <c r="Q95" s="270"/>
      <c r="R95" s="270">
        <v>23</v>
      </c>
      <c r="S95" s="270">
        <v>31</v>
      </c>
      <c r="T95" s="270"/>
      <c r="U95" s="270"/>
      <c r="V95" s="270"/>
      <c r="W95" s="270">
        <v>1</v>
      </c>
      <c r="X95" s="270"/>
      <c r="Y95" s="270"/>
      <c r="Z95" s="270"/>
      <c r="AA95" s="270">
        <f t="shared" si="7"/>
        <v>55</v>
      </c>
      <c r="AB95" s="311">
        <f t="shared" si="8"/>
        <v>1.3675128670528854E-3</v>
      </c>
      <c r="AC95" s="140"/>
      <c r="AD95" s="272"/>
      <c r="AE95" s="311" t="str">
        <f t="shared" si="9"/>
        <v/>
      </c>
      <c r="AF95" s="273">
        <f t="shared" si="10"/>
        <v>55</v>
      </c>
      <c r="AG95" s="273">
        <v>206</v>
      </c>
      <c r="AH95" s="311">
        <f t="shared" si="11"/>
        <v>1.027431421446384E-2</v>
      </c>
      <c r="AI95" s="274">
        <f t="shared" si="12"/>
        <v>-151</v>
      </c>
    </row>
    <row r="96" spans="1:35" x14ac:dyDescent="0.35">
      <c r="A96" s="11"/>
      <c r="B96" s="11"/>
      <c r="C96" s="11"/>
      <c r="D96" s="11"/>
      <c r="E96" s="11"/>
      <c r="F96" s="11"/>
      <c r="G96" s="11"/>
      <c r="H96" s="88" t="s">
        <v>165</v>
      </c>
      <c r="I96" s="104" t="str">
        <f>IF(_epmOfflineCondition_,"N",_xll.EVPRO($B$1,$H96,"STYLE"))</f>
        <v>N</v>
      </c>
      <c r="J96" s="104" t="str">
        <f>IF(_epmOfflineCondition_,"N",_xll.EVPRO($B$1,$H96,"CALC"))</f>
        <v>N</v>
      </c>
      <c r="K96" s="104"/>
      <c r="L96" s="104" t="str">
        <f>IF(_epmOfflineCondition_,"901200",_xll.EVPRO($B$1,H96,"JDEID"))</f>
        <v>901200</v>
      </c>
      <c r="M96" s="90" t="str">
        <f>IF(_epmOfflineCondition_,"991715",IF(AND(I96="N",J96="N"),_xll.EVPRO($B$1,H96,"PSFTID"),""))</f>
        <v>991715</v>
      </c>
      <c r="N96" s="104" t="str">
        <f>IF(_epmOfflineCondition_,"Association",IF(_xll.EVDES(H96,$B$1)="#NODATA","",_xll.EVDES(H96,$B$1)))</f>
        <v>Association</v>
      </c>
      <c r="O96" s="275"/>
      <c r="P96" s="276"/>
      <c r="Q96" s="276"/>
      <c r="R96" s="276">
        <v>23</v>
      </c>
      <c r="S96" s="276">
        <v>31</v>
      </c>
      <c r="T96" s="276"/>
      <c r="U96" s="276"/>
      <c r="V96" s="276"/>
      <c r="W96" s="276"/>
      <c r="X96" s="276"/>
      <c r="Y96" s="276"/>
      <c r="Z96" s="276"/>
      <c r="AA96" s="276">
        <f t="shared" si="7"/>
        <v>54</v>
      </c>
      <c r="AB96" s="312">
        <f t="shared" si="8"/>
        <v>1.3426489967428329E-3</v>
      </c>
      <c r="AC96" s="140"/>
      <c r="AD96" s="278"/>
      <c r="AE96" s="312" t="str">
        <f t="shared" si="9"/>
        <v/>
      </c>
      <c r="AF96" s="279">
        <f t="shared" si="10"/>
        <v>54</v>
      </c>
      <c r="AG96" s="279">
        <v>25</v>
      </c>
      <c r="AH96" s="312">
        <f t="shared" si="11"/>
        <v>1.2468827930174563E-3</v>
      </c>
      <c r="AI96" s="280">
        <f t="shared" si="12"/>
        <v>29</v>
      </c>
    </row>
    <row r="97" spans="1:35" x14ac:dyDescent="0.35">
      <c r="A97" s="11"/>
      <c r="B97" s="11"/>
      <c r="C97" s="11"/>
      <c r="D97" s="11"/>
      <c r="E97" s="11"/>
      <c r="F97" s="11"/>
      <c r="G97" s="11"/>
      <c r="H97" s="88" t="s">
        <v>166</v>
      </c>
      <c r="I97" s="104" t="str">
        <f>IF(_epmOfflineCondition_,"N",_xll.EVPRO($B$1,$H97,"STYLE"))</f>
        <v>N</v>
      </c>
      <c r="J97" s="104" t="str">
        <f>IF(_epmOfflineCondition_,"N",_xll.EVPRO($B$1,$H97,"CALC"))</f>
        <v>N</v>
      </c>
      <c r="K97" s="104"/>
      <c r="L97" s="104" t="str">
        <f>IF(_epmOfflineCondition_,"901600",_xll.EVPRO($B$1,H97,"JDEID"))</f>
        <v>901600</v>
      </c>
      <c r="M97" s="90" t="str">
        <f>IF(_epmOfflineCondition_,"991767",IF(AND(I97="N",J97="N"),_xll.EVPRO($B$1,H97,"PSFTID"),""))</f>
        <v>991767</v>
      </c>
      <c r="N97" s="104" t="str">
        <f>IF(_epmOfflineCondition_,"Convention",IF(_xll.EVDES(H97,$B$1)="#NODATA","",_xll.EVDES(H97,$B$1)))</f>
        <v>Convention</v>
      </c>
      <c r="O97" s="275"/>
      <c r="P97" s="276"/>
      <c r="Q97" s="276"/>
      <c r="R97" s="276"/>
      <c r="S97" s="276"/>
      <c r="T97" s="276"/>
      <c r="U97" s="276"/>
      <c r="V97" s="276"/>
      <c r="W97" s="276">
        <v>1</v>
      </c>
      <c r="X97" s="276"/>
      <c r="Y97" s="276"/>
      <c r="Z97" s="276"/>
      <c r="AA97" s="276">
        <f t="shared" si="7"/>
        <v>1</v>
      </c>
      <c r="AB97" s="312">
        <f t="shared" si="8"/>
        <v>2.4863870310052462E-5</v>
      </c>
      <c r="AC97" s="140"/>
      <c r="AD97" s="278"/>
      <c r="AE97" s="312" t="str">
        <f t="shared" si="9"/>
        <v/>
      </c>
      <c r="AF97" s="279">
        <f t="shared" si="10"/>
        <v>1</v>
      </c>
      <c r="AG97" s="279">
        <v>181</v>
      </c>
      <c r="AH97" s="312">
        <f t="shared" si="11"/>
        <v>9.0274314214463837E-3</v>
      </c>
      <c r="AI97" s="280">
        <f t="shared" si="12"/>
        <v>-180</v>
      </c>
    </row>
    <row r="98" spans="1:35" x14ac:dyDescent="0.35">
      <c r="A98" s="11"/>
      <c r="B98" s="11"/>
      <c r="C98" s="11"/>
      <c r="D98" s="11"/>
      <c r="E98" s="11"/>
      <c r="F98" s="11"/>
      <c r="G98" s="11"/>
      <c r="H98" s="88" t="s">
        <v>167</v>
      </c>
      <c r="I98" s="89" t="str">
        <f>IF(_epmOfflineCondition_,"T3",_xll.EVPRO($B$1,$H98,"STYLE"))</f>
        <v>T3</v>
      </c>
      <c r="J98" s="89" t="str">
        <f>IF(_epmOfflineCondition_,"N",_xll.EVPRO($B$1,$H98,"CALC"))</f>
        <v>N</v>
      </c>
      <c r="K98" s="265"/>
      <c r="L98" s="106" t="str">
        <f>IF(_epmOfflineCondition_,"901800",_xll.EVPRO($B$1,H98,"JDEID"))</f>
        <v>901800</v>
      </c>
      <c r="M98" s="90" t="str">
        <f>IF(_epmOfflineCondition_,"",IF(AND(I98="N",J98="N"),_xll.EVPRO($B$1,H98,"PSFTID"),""))</f>
        <v/>
      </c>
      <c r="N98" s="106" t="str">
        <f>IF(_epmOfflineCondition_,"Government",IF(_xll.EVDES(H98,$B$1)="#NODATA","",_xll.EVDES(H98,$B$1)))</f>
        <v>Government</v>
      </c>
      <c r="O98" s="269"/>
      <c r="P98" s="270"/>
      <c r="Q98" s="270"/>
      <c r="R98" s="270"/>
      <c r="S98" s="270"/>
      <c r="T98" s="270"/>
      <c r="U98" s="270"/>
      <c r="V98" s="270"/>
      <c r="W98" s="270"/>
      <c r="X98" s="270"/>
      <c r="Y98" s="270"/>
      <c r="Z98" s="270"/>
      <c r="AA98" s="270">
        <f t="shared" si="7"/>
        <v>0</v>
      </c>
      <c r="AB98" s="311" t="str">
        <f t="shared" si="8"/>
        <v/>
      </c>
      <c r="AC98" s="140"/>
      <c r="AD98" s="272">
        <v>145</v>
      </c>
      <c r="AE98" s="311">
        <f t="shared" si="9"/>
        <v>3.8640906062624917E-3</v>
      </c>
      <c r="AF98" s="273">
        <f t="shared" si="10"/>
        <v>-145</v>
      </c>
      <c r="AG98" s="273">
        <v>41</v>
      </c>
      <c r="AH98" s="311">
        <f t="shared" si="11"/>
        <v>2.0448877805486283E-3</v>
      </c>
      <c r="AI98" s="274">
        <f t="shared" si="12"/>
        <v>-41</v>
      </c>
    </row>
    <row r="99" spans="1:35" x14ac:dyDescent="0.35">
      <c r="A99" s="11"/>
      <c r="B99" s="11"/>
      <c r="C99" s="11"/>
      <c r="D99" s="11"/>
      <c r="E99" s="11"/>
      <c r="F99" s="11"/>
      <c r="G99" s="11"/>
      <c r="H99" s="88" t="s">
        <v>168</v>
      </c>
      <c r="I99" s="89" t="str">
        <f>IF(_epmOfflineCondition_,"T3",_xll.EVPRO($B$1,$H99,"STYLE"))</f>
        <v>T3</v>
      </c>
      <c r="J99" s="89" t="str">
        <f>IF(_epmOfflineCondition_,"Y",_xll.EVPRO($B$1,$H99,"CALC"))</f>
        <v>Y</v>
      </c>
      <c r="K99" s="265"/>
      <c r="L99" s="106" t="str">
        <f>IF(_epmOfflineCondition_,"",_xll.EVPRO($B$1,H99,"JDEID"))</f>
        <v/>
      </c>
      <c r="M99" s="90" t="str">
        <f>IF(_epmOfflineCondition_,"",IF(AND(I99="N",J99="N"),_xll.EVPRO($B$1,H99,"PSFTID"),""))</f>
        <v/>
      </c>
      <c r="N99" s="106" t="str">
        <f>IF(_epmOfflineCondition_,"Tour/ Wholesalers",IF(_xll.EVDES(H99,$B$1)="#NODATA","",_xll.EVDES(H99,$B$1)))</f>
        <v>Tour/ Wholesalers</v>
      </c>
      <c r="O99" s="269"/>
      <c r="P99" s="270"/>
      <c r="Q99" s="270"/>
      <c r="R99" s="270"/>
      <c r="S99" s="270"/>
      <c r="T99" s="270"/>
      <c r="U99" s="270"/>
      <c r="V99" s="270"/>
      <c r="W99" s="270"/>
      <c r="X99" s="270"/>
      <c r="Y99" s="270"/>
      <c r="Z99" s="270"/>
      <c r="AA99" s="270">
        <f t="shared" si="7"/>
        <v>0</v>
      </c>
      <c r="AB99" s="311" t="str">
        <f t="shared" si="8"/>
        <v/>
      </c>
      <c r="AC99" s="140"/>
      <c r="AD99" s="272">
        <v>249</v>
      </c>
      <c r="AE99" s="311">
        <f t="shared" si="9"/>
        <v>6.6355762824783478E-3</v>
      </c>
      <c r="AF99" s="273">
        <f t="shared" si="10"/>
        <v>-249</v>
      </c>
      <c r="AG99" s="273">
        <v>113</v>
      </c>
      <c r="AH99" s="311">
        <f t="shared" si="11"/>
        <v>5.6359102244389024E-3</v>
      </c>
      <c r="AI99" s="274">
        <f t="shared" si="12"/>
        <v>-113</v>
      </c>
    </row>
    <row r="100" spans="1:35" x14ac:dyDescent="0.35">
      <c r="A100" s="11"/>
      <c r="B100" s="11"/>
      <c r="C100" s="11"/>
      <c r="D100" s="11"/>
      <c r="E100" s="11"/>
      <c r="F100" s="11"/>
      <c r="G100" s="11"/>
      <c r="H100" s="88" t="s">
        <v>169</v>
      </c>
      <c r="I100" s="104" t="str">
        <f>IF(_epmOfflineCondition_,"N",_xll.EVPRO($B$1,$H100,"STYLE"))</f>
        <v>N</v>
      </c>
      <c r="J100" s="104" t="str">
        <f>IF(_epmOfflineCondition_,"N",_xll.EVPRO($B$1,$H100,"CALC"))</f>
        <v>N</v>
      </c>
      <c r="K100" s="104"/>
      <c r="L100" s="104" t="str">
        <f>IF(_epmOfflineCondition_,"901300",_xll.EVPRO($B$1,H100,"JDEID"))</f>
        <v>901300</v>
      </c>
      <c r="M100" s="90" t="str">
        <f>IF(_epmOfflineCondition_,"991010",IF(AND(I100="N",J100="N"),_xll.EVPRO($B$1,H100,"PSFTID"),""))</f>
        <v>991010</v>
      </c>
      <c r="N100" s="104" t="str">
        <f>IF(_epmOfflineCondition_,"Tour/ Wholesale",IF(_xll.EVDES(H100,$B$1)="#NODATA","",_xll.EVDES(H100,$B$1)))</f>
        <v>Tour/ Wholesale</v>
      </c>
      <c r="O100" s="275"/>
      <c r="P100" s="276"/>
      <c r="Q100" s="276"/>
      <c r="R100" s="276"/>
      <c r="S100" s="276"/>
      <c r="T100" s="276"/>
      <c r="U100" s="276"/>
      <c r="V100" s="276"/>
      <c r="W100" s="276"/>
      <c r="X100" s="276"/>
      <c r="Y100" s="276"/>
      <c r="Z100" s="276"/>
      <c r="AA100" s="276">
        <f t="shared" si="7"/>
        <v>0</v>
      </c>
      <c r="AB100" s="312" t="str">
        <f t="shared" si="8"/>
        <v/>
      </c>
      <c r="AC100" s="140"/>
      <c r="AD100" s="278"/>
      <c r="AE100" s="312" t="str">
        <f t="shared" si="9"/>
        <v/>
      </c>
      <c r="AF100" s="279">
        <f t="shared" si="10"/>
        <v>0</v>
      </c>
      <c r="AG100" s="279">
        <v>40</v>
      </c>
      <c r="AH100" s="312">
        <f t="shared" si="11"/>
        <v>1.99501246882793E-3</v>
      </c>
      <c r="AI100" s="280">
        <f t="shared" si="12"/>
        <v>-40</v>
      </c>
    </row>
    <row r="101" spans="1:35" x14ac:dyDescent="0.35">
      <c r="A101" s="11"/>
      <c r="B101" s="11"/>
      <c r="C101" s="11"/>
      <c r="D101" s="11"/>
      <c r="E101" s="11"/>
      <c r="F101" s="11"/>
      <c r="G101" s="11"/>
      <c r="H101" s="88" t="s">
        <v>170</v>
      </c>
      <c r="I101" s="104" t="str">
        <f>IF(_epmOfflineCondition_,"N",_xll.EVPRO($B$1,$H101,"STYLE"))</f>
        <v>N</v>
      </c>
      <c r="J101" s="104" t="str">
        <f>IF(_epmOfflineCondition_,"N",_xll.EVPRO($B$1,$H101,"CALC"))</f>
        <v>N</v>
      </c>
      <c r="K101" s="104"/>
      <c r="L101" s="104" t="str">
        <f>IF(_epmOfflineCondition_,"901330",_xll.EVPRO($B$1,H101,"JDEID"))</f>
        <v>901330</v>
      </c>
      <c r="M101" s="90" t="str">
        <f>IF(_epmOfflineCondition_,"991752",IF(AND(I101="N",J101="N"),_xll.EVPRO($B$1,H101,"PSFTID"),""))</f>
        <v>991752</v>
      </c>
      <c r="N101" s="104" t="str">
        <f>IF(_epmOfflineCondition_,"MICE",IF(_xll.EVDES(H101,$B$1)="#NODATA","",_xll.EVDES(H101,$B$1)))</f>
        <v>MICE</v>
      </c>
      <c r="O101" s="275"/>
      <c r="P101" s="276"/>
      <c r="Q101" s="276"/>
      <c r="R101" s="276"/>
      <c r="S101" s="276"/>
      <c r="T101" s="276"/>
      <c r="U101" s="276"/>
      <c r="V101" s="276"/>
      <c r="W101" s="276"/>
      <c r="X101" s="276"/>
      <c r="Y101" s="276"/>
      <c r="Z101" s="276"/>
      <c r="AA101" s="276">
        <f t="shared" si="7"/>
        <v>0</v>
      </c>
      <c r="AB101" s="312" t="str">
        <f t="shared" si="8"/>
        <v/>
      </c>
      <c r="AC101" s="140"/>
      <c r="AD101" s="278">
        <v>249</v>
      </c>
      <c r="AE101" s="312">
        <f t="shared" si="9"/>
        <v>6.6355762824783478E-3</v>
      </c>
      <c r="AF101" s="279">
        <f t="shared" si="10"/>
        <v>-249</v>
      </c>
      <c r="AG101" s="279">
        <v>73</v>
      </c>
      <c r="AH101" s="312">
        <f t="shared" si="11"/>
        <v>3.6408977556109724E-3</v>
      </c>
      <c r="AI101" s="280">
        <f t="shared" si="12"/>
        <v>-73</v>
      </c>
    </row>
    <row r="102" spans="1:35" x14ac:dyDescent="0.35">
      <c r="A102" s="11"/>
      <c r="B102" s="11"/>
      <c r="C102" s="11"/>
      <c r="D102" s="11"/>
      <c r="E102" s="11"/>
      <c r="F102" s="11"/>
      <c r="G102" s="11"/>
      <c r="H102" s="88" t="s">
        <v>171</v>
      </c>
      <c r="I102" s="89" t="str">
        <f>IF(_epmOfflineCondition_,"T3",_xll.EVPRO($B$1,$H102,"STYLE"))</f>
        <v>T3</v>
      </c>
      <c r="J102" s="89" t="str">
        <f>IF(_epmOfflineCondition_,"N",_xll.EVPRO($B$1,$H102,"CALC"))</f>
        <v>N</v>
      </c>
      <c r="K102" s="265"/>
      <c r="L102" s="106" t="str">
        <f>IF(_epmOfflineCondition_,"901400",_xll.EVPRO($B$1,H102,"JDEID"))</f>
        <v>901400</v>
      </c>
      <c r="M102" s="90" t="str">
        <f>IF(_epmOfflineCondition_,"",IF(AND(I102="N",J102="N"),_xll.EVPRO($B$1,H102,"PSFTID"),""))</f>
        <v/>
      </c>
      <c r="N102" s="106" t="str">
        <f>IF(_epmOfflineCondition_,"SMERF",IF(_xll.EVDES(H102,$B$1)="#NODATA","",_xll.EVDES(H102,$B$1)))</f>
        <v>SMERF</v>
      </c>
      <c r="O102" s="281"/>
      <c r="P102" s="282"/>
      <c r="Q102" s="282">
        <v>1</v>
      </c>
      <c r="R102" s="282">
        <v>73</v>
      </c>
      <c r="S102" s="282">
        <v>7</v>
      </c>
      <c r="T102" s="282">
        <v>43</v>
      </c>
      <c r="U102" s="282">
        <v>55</v>
      </c>
      <c r="V102" s="282"/>
      <c r="W102" s="282">
        <v>8</v>
      </c>
      <c r="X102" s="282">
        <v>24</v>
      </c>
      <c r="Y102" s="282">
        <v>80</v>
      </c>
      <c r="Z102" s="282"/>
      <c r="AA102" s="282">
        <f t="shared" si="7"/>
        <v>291</v>
      </c>
      <c r="AB102" s="313">
        <f t="shared" si="8"/>
        <v>7.2353862602252666E-3</v>
      </c>
      <c r="AC102" s="140"/>
      <c r="AD102" s="284">
        <v>172</v>
      </c>
      <c r="AE102" s="313">
        <f t="shared" si="9"/>
        <v>4.5836109260493007E-3</v>
      </c>
      <c r="AF102" s="285">
        <f t="shared" si="10"/>
        <v>119</v>
      </c>
      <c r="AG102" s="285">
        <v>112</v>
      </c>
      <c r="AH102" s="313">
        <f t="shared" si="11"/>
        <v>5.5860349127182041E-3</v>
      </c>
      <c r="AI102" s="286">
        <f t="shared" si="12"/>
        <v>179</v>
      </c>
    </row>
    <row r="103" spans="1:35" x14ac:dyDescent="0.35">
      <c r="A103" s="11"/>
      <c r="B103" s="11"/>
      <c r="C103" s="11"/>
      <c r="D103" s="11"/>
      <c r="E103" s="11"/>
      <c r="F103" s="11"/>
      <c r="G103" s="11"/>
      <c r="H103" s="88" t="s">
        <v>160</v>
      </c>
      <c r="I103" s="89" t="str">
        <f>IF(_epmOfflineCondition_,"T2",_xll.EVPRO($B$1,$H103,"STYLE"))</f>
        <v>T2</v>
      </c>
      <c r="J103" s="89" t="str">
        <f>IF(_epmOfflineCondition_,"Y",_xll.EVPRO($B$1,$H103,"CALC"))</f>
        <v>Y</v>
      </c>
      <c r="K103" s="265"/>
      <c r="L103" s="106" t="str">
        <f>IF(_epmOfflineCondition_,"901000",_xll.EVPRO($B$1,H103,"JDEID"))</f>
        <v>901000</v>
      </c>
      <c r="M103" s="90" t="str">
        <f>IF(_epmOfflineCondition_,"",IF(AND(I103="N",J103="N"),_xll.EVPRO($B$1,H103,"PSFTID"),""))</f>
        <v/>
      </c>
      <c r="N103" s="106" t="str">
        <f>IF(_epmOfflineCondition_,"Total Group Rooms Occupied",IF(_xll.EVDES(H103,$B$1)="#NODATA","",_xll.EVDES(H103,$B$1)))</f>
        <v>Total Group Rooms Occupied</v>
      </c>
      <c r="O103" s="287">
        <v>58</v>
      </c>
      <c r="P103" s="288">
        <v>82</v>
      </c>
      <c r="Q103" s="288">
        <v>28</v>
      </c>
      <c r="R103" s="288">
        <v>324</v>
      </c>
      <c r="S103" s="288">
        <v>62</v>
      </c>
      <c r="T103" s="288">
        <v>82</v>
      </c>
      <c r="U103" s="288">
        <v>57</v>
      </c>
      <c r="V103" s="288">
        <v>28</v>
      </c>
      <c r="W103" s="288">
        <v>67</v>
      </c>
      <c r="X103" s="288">
        <v>92</v>
      </c>
      <c r="Y103" s="288">
        <v>320</v>
      </c>
      <c r="Z103" s="288">
        <v>240</v>
      </c>
      <c r="AA103" s="288">
        <f t="shared" si="7"/>
        <v>1440</v>
      </c>
      <c r="AB103" s="314">
        <f t="shared" si="8"/>
        <v>3.5803973246475544E-2</v>
      </c>
      <c r="AC103" s="140"/>
      <c r="AD103" s="290">
        <v>1366</v>
      </c>
      <c r="AE103" s="314">
        <f t="shared" si="9"/>
        <v>3.6402398401065954E-2</v>
      </c>
      <c r="AF103" s="291">
        <f t="shared" si="10"/>
        <v>74</v>
      </c>
      <c r="AG103" s="291">
        <v>1660</v>
      </c>
      <c r="AH103" s="314">
        <f t="shared" si="11"/>
        <v>8.27930174563591E-2</v>
      </c>
      <c r="AI103" s="292">
        <f t="shared" si="12"/>
        <v>-220</v>
      </c>
    </row>
    <row r="104" spans="1:35" x14ac:dyDescent="0.35">
      <c r="A104" s="11"/>
      <c r="B104" s="11"/>
      <c r="C104" s="11"/>
      <c r="D104" s="11"/>
      <c r="E104" s="11"/>
      <c r="F104" s="11"/>
      <c r="G104" s="11"/>
      <c r="H104" s="88" t="s">
        <v>172</v>
      </c>
      <c r="I104" s="104" t="str">
        <f>IF(_epmOfflineCondition_,"N",_xll.EVPRO($B$1,$H104,"STYLE"))</f>
        <v>N</v>
      </c>
      <c r="J104" s="104" t="str">
        <f>IF(_epmOfflineCondition_,"N",_xll.EVPRO($B$1,$H104,"CALC"))</f>
        <v>N</v>
      </c>
      <c r="K104" s="104"/>
      <c r="L104" s="104" t="str">
        <f>IF(_epmOfflineCondition_,"901700",_xll.EVPRO($B$1,H104,"JDEID"))</f>
        <v>901700</v>
      </c>
      <c r="M104" s="90" t="str">
        <f>IF(_epmOfflineCondition_,"991753",IF(AND(I104="N",J104="N"),_xll.EVPRO($B$1,H104,"PSFTID"),""))</f>
        <v>991753</v>
      </c>
      <c r="N104" s="104" t="str">
        <f>IF(_epmOfflineCondition_,"Contract",IF(_xll.EVDES(H104,$B$1)="#NODATA","",_xll.EVDES(H104,$B$1)))</f>
        <v>Contract</v>
      </c>
      <c r="O104" s="316"/>
      <c r="P104" s="317"/>
      <c r="Q104" s="317"/>
      <c r="R104" s="317"/>
      <c r="S104" s="317"/>
      <c r="T104" s="317"/>
      <c r="U104" s="317"/>
      <c r="V104" s="317"/>
      <c r="W104" s="317"/>
      <c r="X104" s="317"/>
      <c r="Y104" s="317"/>
      <c r="Z104" s="317"/>
      <c r="AA104" s="317">
        <f t="shared" si="7"/>
        <v>0</v>
      </c>
      <c r="AB104" s="318" t="str">
        <f t="shared" si="8"/>
        <v/>
      </c>
      <c r="AC104" s="140"/>
      <c r="AD104" s="319"/>
      <c r="AE104" s="318" t="str">
        <f t="shared" si="9"/>
        <v/>
      </c>
      <c r="AF104" s="320">
        <f t="shared" si="10"/>
        <v>0</v>
      </c>
      <c r="AG104" s="320"/>
      <c r="AH104" s="318" t="str">
        <f t="shared" si="11"/>
        <v/>
      </c>
      <c r="AI104" s="321">
        <f t="shared" si="12"/>
        <v>0</v>
      </c>
    </row>
    <row r="105" spans="1:35" x14ac:dyDescent="0.35">
      <c r="A105" s="11"/>
      <c r="B105" s="11"/>
      <c r="C105" s="11"/>
      <c r="D105" s="11"/>
      <c r="E105" s="11"/>
      <c r="F105" s="11"/>
      <c r="G105" s="11"/>
      <c r="H105" s="88" t="s">
        <v>257</v>
      </c>
      <c r="I105" s="89" t="str">
        <f>IF(_epmOfflineCondition_,"T2",_xll.EVPRO($B$1,$H105,"STYLE"))</f>
        <v>T2</v>
      </c>
      <c r="J105" s="89" t="str">
        <f>IF(_epmOfflineCondition_,"Y",_xll.EVPRO($B$1,$H105,"CALC"))</f>
        <v>Y</v>
      </c>
      <c r="K105" s="265"/>
      <c r="L105" s="106" t="str">
        <f>IF(_epmOfflineCondition_,"",_xll.EVPRO($B$1,H105,"JDEID"))</f>
        <v/>
      </c>
      <c r="M105" s="90" t="str">
        <f>IF(_epmOfflineCondition_,"",IF(AND(I105="N",J105="N"),_xll.EVPRO($B$1,H105,"PSFTID"),""))</f>
        <v/>
      </c>
      <c r="N105" s="106" t="str">
        <f>IF(_epmOfflineCondition_,"Total Rooms Sold",IF(_xll.EVDES(H105,$B$1)="#NODATA","",_xll.EVDES(H105,$B$1)))</f>
        <v>Total Rooms Sold</v>
      </c>
      <c r="O105" s="287">
        <v>3493</v>
      </c>
      <c r="P105" s="288">
        <v>3373</v>
      </c>
      <c r="Q105" s="288">
        <v>3665</v>
      </c>
      <c r="R105" s="288">
        <v>3573</v>
      </c>
      <c r="S105" s="288">
        <v>3767</v>
      </c>
      <c r="T105" s="288">
        <v>3625</v>
      </c>
      <c r="U105" s="288">
        <v>3558</v>
      </c>
      <c r="V105" s="288">
        <v>2598</v>
      </c>
      <c r="W105" s="288">
        <v>2342</v>
      </c>
      <c r="X105" s="288">
        <v>3002</v>
      </c>
      <c r="Y105" s="288">
        <v>3341</v>
      </c>
      <c r="Z105" s="288">
        <v>3831</v>
      </c>
      <c r="AA105" s="288">
        <f t="shared" si="7"/>
        <v>40168</v>
      </c>
      <c r="AB105" s="314">
        <f t="shared" si="8"/>
        <v>0.9987319426141873</v>
      </c>
      <c r="AC105" s="140"/>
      <c r="AD105" s="290">
        <v>37460</v>
      </c>
      <c r="AE105" s="314">
        <f t="shared" si="9"/>
        <v>0.99826782145236514</v>
      </c>
      <c r="AF105" s="291">
        <f t="shared" si="10"/>
        <v>2708</v>
      </c>
      <c r="AG105" s="291">
        <v>19863</v>
      </c>
      <c r="AH105" s="314">
        <f t="shared" si="11"/>
        <v>0.99067331670822945</v>
      </c>
      <c r="AI105" s="292">
        <f t="shared" si="12"/>
        <v>20305</v>
      </c>
    </row>
    <row r="106" spans="1:35" x14ac:dyDescent="0.35">
      <c r="A106" s="11"/>
      <c r="B106" s="11"/>
      <c r="C106" s="11"/>
      <c r="D106" s="11"/>
      <c r="E106" s="11"/>
      <c r="F106" s="11"/>
      <c r="G106" s="11"/>
      <c r="H106" s="88" t="s">
        <v>176</v>
      </c>
      <c r="I106" s="104" t="str">
        <f>IF(_epmOfflineCondition_,"N",_xll.EVPRO($B$1,$H106,"STYLE"))</f>
        <v>N</v>
      </c>
      <c r="J106" s="104" t="str">
        <f>IF(_epmOfflineCondition_,"N",_xll.EVPRO($B$1,$H106,"CALC"))</f>
        <v>N</v>
      </c>
      <c r="K106" s="104"/>
      <c r="L106" s="104" t="str">
        <f>IF(_epmOfflineCondition_,"903100",_xll.EVPRO($B$1,H106,"JDEID"))</f>
        <v>903100</v>
      </c>
      <c r="M106" s="90" t="str">
        <f>IF(_epmOfflineCondition_,"991022",IF(AND(I106="N",J106="N"),_xll.EVPRO($B$1,H106,"PSFTID"),""))</f>
        <v>991022</v>
      </c>
      <c r="N106" s="104" t="str">
        <f>IF(_epmOfflineCondition_,"Comp Rooms",IF(_xll.EVDES(H106,$B$1)="#NODATA","",_xll.EVDES(H106,$B$1)))</f>
        <v>Comp Rooms</v>
      </c>
      <c r="O106" s="316">
        <v>8</v>
      </c>
      <c r="P106" s="317">
        <v>4</v>
      </c>
      <c r="Q106" s="317">
        <v>2</v>
      </c>
      <c r="R106" s="317">
        <v>8</v>
      </c>
      <c r="S106" s="317"/>
      <c r="T106" s="317">
        <v>6</v>
      </c>
      <c r="U106" s="317">
        <v>3</v>
      </c>
      <c r="V106" s="317">
        <v>3</v>
      </c>
      <c r="W106" s="317">
        <v>2</v>
      </c>
      <c r="X106" s="317">
        <v>4</v>
      </c>
      <c r="Y106" s="317">
        <v>8</v>
      </c>
      <c r="Z106" s="317">
        <v>3</v>
      </c>
      <c r="AA106" s="317">
        <f t="shared" si="7"/>
        <v>51</v>
      </c>
      <c r="AB106" s="318">
        <f t="shared" si="8"/>
        <v>1.2680573858126756E-3</v>
      </c>
      <c r="AC106" s="140"/>
      <c r="AD106" s="319">
        <v>65</v>
      </c>
      <c r="AE106" s="318">
        <f t="shared" si="9"/>
        <v>1.7321785476349101E-3</v>
      </c>
      <c r="AF106" s="320">
        <f t="shared" si="10"/>
        <v>-14</v>
      </c>
      <c r="AG106" s="320">
        <v>187</v>
      </c>
      <c r="AH106" s="318">
        <f t="shared" si="11"/>
        <v>9.3266832917705735E-3</v>
      </c>
      <c r="AI106" s="321">
        <f t="shared" si="12"/>
        <v>-136</v>
      </c>
    </row>
    <row r="107" spans="1:35" x14ac:dyDescent="0.35">
      <c r="A107" s="11"/>
      <c r="B107" s="11"/>
      <c r="C107" s="11"/>
      <c r="D107" s="11"/>
      <c r="E107" s="11"/>
      <c r="F107" s="11"/>
      <c r="G107" s="11"/>
      <c r="H107" s="88" t="s">
        <v>174</v>
      </c>
      <c r="I107" s="89" t="str">
        <f>IF(_epmOfflineCondition_,"T2",_xll.EVPRO($B$1,$H107,"STYLE"))</f>
        <v>T2</v>
      </c>
      <c r="J107" s="89" t="str">
        <f>IF(_epmOfflineCondition_,"Y",_xll.EVPRO($B$1,$H107,"CALC"))</f>
        <v>Y</v>
      </c>
      <c r="K107" s="265"/>
      <c r="L107" s="106" t="str">
        <f>IF(_epmOfflineCondition_,"900200",_xll.EVPRO($B$1,H107,"JDEID"))</f>
        <v>900200</v>
      </c>
      <c r="M107" s="90" t="str">
        <f>IF(_epmOfflineCondition_,"",IF(AND(I107="N",J107="N"),_xll.EVPRO($B$1,H107,"PSFTID"),""))</f>
        <v/>
      </c>
      <c r="N107" s="106" t="str">
        <f>IF(_epmOfflineCondition_,"Total Rooms Occupied",IF(_xll.EVDES(H107,$B$1)="#NODATA","",_xll.EVDES(H107,$B$1)))</f>
        <v>Total Rooms Occupied</v>
      </c>
      <c r="O107" s="287">
        <v>3501</v>
      </c>
      <c r="P107" s="288">
        <v>3377</v>
      </c>
      <c r="Q107" s="288">
        <v>3667</v>
      </c>
      <c r="R107" s="288">
        <v>3581</v>
      </c>
      <c r="S107" s="288">
        <v>3767</v>
      </c>
      <c r="T107" s="288">
        <v>3631</v>
      </c>
      <c r="U107" s="288">
        <v>3561</v>
      </c>
      <c r="V107" s="288">
        <v>2601</v>
      </c>
      <c r="W107" s="288">
        <v>2344</v>
      </c>
      <c r="X107" s="288">
        <v>3006</v>
      </c>
      <c r="Y107" s="288">
        <v>3349</v>
      </c>
      <c r="Z107" s="288">
        <v>3834</v>
      </c>
      <c r="AA107" s="288">
        <f t="shared" si="7"/>
        <v>40219</v>
      </c>
      <c r="AB107" s="314">
        <f t="shared" si="8"/>
        <v>1</v>
      </c>
      <c r="AC107" s="140"/>
      <c r="AD107" s="290">
        <v>37525</v>
      </c>
      <c r="AE107" s="314">
        <f t="shared" si="9"/>
        <v>1</v>
      </c>
      <c r="AF107" s="291">
        <f t="shared" si="10"/>
        <v>2694</v>
      </c>
      <c r="AG107" s="291">
        <v>20050</v>
      </c>
      <c r="AH107" s="314">
        <f t="shared" si="11"/>
        <v>1</v>
      </c>
      <c r="AI107" s="292">
        <f t="shared" si="12"/>
        <v>20169</v>
      </c>
    </row>
    <row r="108" spans="1:35" x14ac:dyDescent="0.35">
      <c r="A108" s="11"/>
      <c r="B108" s="11"/>
      <c r="C108" s="11"/>
      <c r="D108" s="11"/>
      <c r="E108" s="11"/>
      <c r="F108" s="11"/>
      <c r="G108" s="11"/>
      <c r="H108" s="88" t="s">
        <v>175</v>
      </c>
      <c r="I108" s="104" t="str">
        <f>IF(_epmOfflineCondition_,"B1",_xll.EVPRO($B$1,$H108,"STYLE"))</f>
        <v>B1</v>
      </c>
      <c r="J108" s="104" t="str">
        <f>IF(_epmOfflineCondition_,"Y",_xll.EVPRO($B$1,$H108,"CALC"))</f>
        <v>Y</v>
      </c>
      <c r="K108" s="104"/>
      <c r="L108" s="104" t="str">
        <f>IF(_epmOfflineCondition_,"",_xll.EVPRO($B$1,H108,"JDEID"))</f>
        <v/>
      </c>
      <c r="M108" s="90" t="str">
        <f>IF(_epmOfflineCondition_,"",IF(AND(I108="N",J108="N"),_xll.EVPRO($B$1,H108,"PSFTID"),""))</f>
        <v/>
      </c>
      <c r="N108" s="104" t="str">
        <f>IF(_epmOfflineCondition_,"BLANKROW",IF(_xll.EVDES(H108,$B$1)="#NODATA","",_xll.EVDES(H108,$B$1)))</f>
        <v>BLANKROW</v>
      </c>
      <c r="O108" s="293"/>
      <c r="P108" s="294"/>
      <c r="Q108" s="294"/>
      <c r="R108" s="294"/>
      <c r="S108" s="294"/>
      <c r="T108" s="294"/>
      <c r="U108" s="294"/>
      <c r="V108" s="294"/>
      <c r="W108" s="294"/>
      <c r="X108" s="294"/>
      <c r="Y108" s="294"/>
      <c r="Z108" s="294"/>
      <c r="AA108" s="294">
        <f t="shared" si="7"/>
        <v>0</v>
      </c>
      <c r="AB108" s="315" t="str">
        <f t="shared" si="8"/>
        <v/>
      </c>
      <c r="AC108" s="140"/>
      <c r="AD108" s="296"/>
      <c r="AE108" s="315" t="str">
        <f t="shared" si="9"/>
        <v/>
      </c>
      <c r="AF108" s="297">
        <f t="shared" si="10"/>
        <v>0</v>
      </c>
      <c r="AG108" s="297"/>
      <c r="AH108" s="315" t="str">
        <f t="shared" si="11"/>
        <v/>
      </c>
      <c r="AI108" s="298">
        <f t="shared" si="12"/>
        <v>0</v>
      </c>
    </row>
    <row r="109" spans="1:35" x14ac:dyDescent="0.35">
      <c r="A109" s="11"/>
      <c r="B109" s="11"/>
      <c r="C109" s="11"/>
      <c r="D109" s="11"/>
      <c r="E109" s="11"/>
      <c r="F109" s="11"/>
      <c r="G109" s="11"/>
      <c r="H109" s="88" t="s">
        <v>211</v>
      </c>
      <c r="I109" s="104" t="str">
        <f>IF(_epmOfflineCondition_,"N",_xll.EVPRO($B$1,$H109,"STYLE"))</f>
        <v>N</v>
      </c>
      <c r="J109" s="104" t="str">
        <f>IF(_epmOfflineCondition_,"N",_xll.EVPRO($B$1,$H109,"CALC"))</f>
        <v>N</v>
      </c>
      <c r="K109" s="104"/>
      <c r="L109" s="104" t="str">
        <f>IF(_epmOfflineCondition_,"904100",_xll.EVPRO($B$1,H109,"JDEID"))</f>
        <v>904100</v>
      </c>
      <c r="M109" s="90" t="str">
        <f>IF(_epmOfflineCondition_,"991001",IF(AND(I109="N",J109="N"),_xll.EVPRO($B$1,H109,"PSFTID"),""))</f>
        <v>991001</v>
      </c>
      <c r="N109" s="104" t="str">
        <f>IF(_epmOfflineCondition_,"Available rooms",IF(_xll.EVDES(H109,$B$1)="#NODATA","",_xll.EVDES(H109,$B$1)))</f>
        <v>Available rooms</v>
      </c>
      <c r="O109" s="275">
        <v>4092</v>
      </c>
      <c r="P109" s="276">
        <v>3696</v>
      </c>
      <c r="Q109" s="276">
        <v>4092</v>
      </c>
      <c r="R109" s="276">
        <v>3960</v>
      </c>
      <c r="S109" s="276">
        <v>4092</v>
      </c>
      <c r="T109" s="276">
        <v>3960</v>
      </c>
      <c r="U109" s="276">
        <v>4092</v>
      </c>
      <c r="V109" s="276">
        <v>4092</v>
      </c>
      <c r="W109" s="276">
        <v>3960</v>
      </c>
      <c r="X109" s="276">
        <v>4092</v>
      </c>
      <c r="Y109" s="276">
        <v>3960</v>
      </c>
      <c r="Z109" s="276">
        <v>4092</v>
      </c>
      <c r="AA109" s="276">
        <f t="shared" si="7"/>
        <v>48180</v>
      </c>
      <c r="AB109" s="312">
        <f t="shared" si="8"/>
        <v>1.1979412715383277</v>
      </c>
      <c r="AC109" s="140"/>
      <c r="AD109" s="278">
        <v>48180</v>
      </c>
      <c r="AE109" s="312">
        <f t="shared" si="9"/>
        <v>1.283944037308461</v>
      </c>
      <c r="AF109" s="279">
        <f t="shared" si="10"/>
        <v>0</v>
      </c>
      <c r="AG109" s="279">
        <v>48312</v>
      </c>
      <c r="AH109" s="312">
        <f t="shared" si="11"/>
        <v>2.4095760598503739</v>
      </c>
      <c r="AI109" s="280">
        <f t="shared" si="12"/>
        <v>-132</v>
      </c>
    </row>
    <row r="110" spans="1:35" x14ac:dyDescent="0.35">
      <c r="A110" s="11"/>
      <c r="B110" s="11"/>
      <c r="C110" s="11"/>
      <c r="D110" s="11"/>
      <c r="E110" s="11"/>
      <c r="F110" s="11"/>
      <c r="G110" s="11"/>
      <c r="H110" s="88" t="s">
        <v>212</v>
      </c>
      <c r="I110" s="104" t="str">
        <f>IF(_epmOfflineCondition_,"N",_xll.EVPRO($B$1,$H110,"STYLE"))</f>
        <v>N</v>
      </c>
      <c r="J110" s="104" t="str">
        <f>IF(_epmOfflineCondition_,"N",_xll.EVPRO($B$1,$H110,"CALC"))</f>
        <v>N</v>
      </c>
      <c r="K110" s="104"/>
      <c r="L110" s="104" t="str">
        <f>IF(_epmOfflineCondition_,"905100",_xll.EVPRO($B$1,H110,"JDEID"))</f>
        <v>905100</v>
      </c>
      <c r="M110" s="90" t="str">
        <f>IF(_epmOfflineCondition_,"991765",IF(AND(I110="N",J110="N"),_xll.EVPRO($B$1,H110,"PSFTID"),""))</f>
        <v>991765</v>
      </c>
      <c r="N110" s="104" t="str">
        <f>IF(_epmOfflineCondition_,"Seasonally Closed Rooms",IF(_xll.EVDES(H110,$B$1)="#NODATA","",_xll.EVDES(H110,$B$1)))</f>
        <v>Seasonally Closed Rooms</v>
      </c>
      <c r="O110" s="275"/>
      <c r="P110" s="276"/>
      <c r="Q110" s="276"/>
      <c r="R110" s="276"/>
      <c r="S110" s="276"/>
      <c r="T110" s="276"/>
      <c r="U110" s="276"/>
      <c r="V110" s="276"/>
      <c r="W110" s="276"/>
      <c r="X110" s="276"/>
      <c r="Y110" s="276"/>
      <c r="Z110" s="276"/>
      <c r="AA110" s="276">
        <f t="shared" si="7"/>
        <v>0</v>
      </c>
      <c r="AB110" s="312" t="str">
        <f t="shared" si="8"/>
        <v/>
      </c>
      <c r="AC110" s="140"/>
      <c r="AD110" s="278"/>
      <c r="AE110" s="312" t="str">
        <f t="shared" si="9"/>
        <v/>
      </c>
      <c r="AF110" s="279">
        <f t="shared" si="10"/>
        <v>0</v>
      </c>
      <c r="AG110" s="279"/>
      <c r="AH110" s="312" t="str">
        <f t="shared" si="11"/>
        <v/>
      </c>
      <c r="AI110" s="280">
        <f t="shared" si="12"/>
        <v>0</v>
      </c>
    </row>
    <row r="111" spans="1:35" x14ac:dyDescent="0.35">
      <c r="A111" s="11"/>
      <c r="B111" s="11"/>
      <c r="C111" s="11"/>
      <c r="D111" s="11"/>
      <c r="E111" s="11"/>
      <c r="F111" s="11"/>
      <c r="G111" s="11"/>
      <c r="H111" s="88" t="s">
        <v>213</v>
      </c>
      <c r="I111" s="104" t="str">
        <f>IF(_epmOfflineCondition_,"N",_xll.EVPRO($B$1,$H111,"STYLE"))</f>
        <v>N</v>
      </c>
      <c r="J111" s="104" t="str">
        <f>IF(_epmOfflineCondition_,"N",_xll.EVPRO($B$1,$H111,"CALC"))</f>
        <v>N</v>
      </c>
      <c r="K111" s="104"/>
      <c r="L111" s="104" t="str">
        <f>IF(_epmOfflineCondition_,"905200",_xll.EVPRO($B$1,H111,"JDEID"))</f>
        <v>905200</v>
      </c>
      <c r="M111" s="90" t="str">
        <f>IF(_epmOfflineCondition_,"991766",IF(AND(I111="N",J111="N"),_xll.EVPRO($B$1,H111,"PSFTID"),""))</f>
        <v>991766</v>
      </c>
      <c r="N111" s="104" t="str">
        <f>IF(_epmOfflineCondition_,"Extended Closed Rooms",IF(_xll.EVDES(H111,$B$1)="#NODATA","",_xll.EVDES(H111,$B$1)))</f>
        <v>Extended Closed Rooms</v>
      </c>
      <c r="O111" s="275">
        <v>251</v>
      </c>
      <c r="P111" s="276">
        <v>89</v>
      </c>
      <c r="Q111" s="276">
        <v>85</v>
      </c>
      <c r="R111" s="276">
        <v>113</v>
      </c>
      <c r="S111" s="276">
        <v>53</v>
      </c>
      <c r="T111" s="276">
        <v>99</v>
      </c>
      <c r="U111" s="276">
        <v>178</v>
      </c>
      <c r="V111" s="276">
        <v>155</v>
      </c>
      <c r="W111" s="276">
        <v>330</v>
      </c>
      <c r="X111" s="276">
        <v>356</v>
      </c>
      <c r="Y111" s="276">
        <v>224</v>
      </c>
      <c r="Z111" s="276">
        <v>83</v>
      </c>
      <c r="AA111" s="276">
        <f t="shared" si="7"/>
        <v>2016</v>
      </c>
      <c r="AB111" s="312">
        <f t="shared" si="8"/>
        <v>5.0125562545065762E-2</v>
      </c>
      <c r="AC111" s="140"/>
      <c r="AD111" s="278"/>
      <c r="AE111" s="312" t="str">
        <f t="shared" si="9"/>
        <v/>
      </c>
      <c r="AF111" s="279">
        <f t="shared" si="10"/>
        <v>2016</v>
      </c>
      <c r="AG111" s="279">
        <v>7862</v>
      </c>
      <c r="AH111" s="312">
        <f t="shared" si="11"/>
        <v>0.39211970074812968</v>
      </c>
      <c r="AI111" s="280">
        <f t="shared" si="12"/>
        <v>-5846</v>
      </c>
    </row>
    <row r="112" spans="1:35" x14ac:dyDescent="0.35">
      <c r="A112" s="11"/>
      <c r="B112" s="11"/>
      <c r="C112" s="11"/>
      <c r="D112" s="11"/>
      <c r="E112" s="11"/>
      <c r="F112" s="11"/>
      <c r="G112" s="11"/>
      <c r="H112" s="88" t="s">
        <v>214</v>
      </c>
      <c r="I112" s="104" t="str">
        <f>IF(_epmOfflineCondition_,"N",_xll.EVPRO($B$1,$H112,"STYLE"))</f>
        <v>N</v>
      </c>
      <c r="J112" s="104" t="str">
        <f>IF(_epmOfflineCondition_,"N",_xll.EVPRO($B$1,$H112,"CALC"))</f>
        <v>N</v>
      </c>
      <c r="K112" s="104"/>
      <c r="L112" s="104" t="str">
        <f>IF(_epmOfflineCondition_,"905300",_xll.EVPRO($B$1,H112,"JDEID"))</f>
        <v>905300</v>
      </c>
      <c r="M112" s="90" t="str">
        <f>IF(_epmOfflineCondition_,"991009",IF(AND(I112="N",J112="N"),_xll.EVPRO($B$1,H112,"PSFTID"),""))</f>
        <v>991009</v>
      </c>
      <c r="N112" s="104" t="str">
        <f>IF(_epmOfflineCondition_,"Rooms for Permanent House Use",IF(_xll.EVDES(H112,$B$1)="#NODATA","",_xll.EVDES(H112,$B$1)))</f>
        <v>Rooms for Permanent House Use</v>
      </c>
      <c r="O112" s="275"/>
      <c r="P112" s="276"/>
      <c r="Q112" s="276"/>
      <c r="R112" s="276"/>
      <c r="S112" s="276"/>
      <c r="T112" s="276"/>
      <c r="U112" s="276"/>
      <c r="V112" s="276"/>
      <c r="W112" s="276"/>
      <c r="X112" s="276"/>
      <c r="Y112" s="276"/>
      <c r="Z112" s="276"/>
      <c r="AA112" s="276">
        <f t="shared" si="7"/>
        <v>0</v>
      </c>
      <c r="AB112" s="312" t="str">
        <f t="shared" si="8"/>
        <v/>
      </c>
      <c r="AC112" s="140"/>
      <c r="AD112" s="278"/>
      <c r="AE112" s="312" t="str">
        <f t="shared" si="9"/>
        <v/>
      </c>
      <c r="AF112" s="279">
        <f t="shared" si="10"/>
        <v>0</v>
      </c>
      <c r="AG112" s="279"/>
      <c r="AH112" s="312" t="str">
        <f t="shared" si="11"/>
        <v/>
      </c>
      <c r="AI112" s="280">
        <f t="shared" si="12"/>
        <v>0</v>
      </c>
    </row>
    <row r="113" spans="1:35" x14ac:dyDescent="0.35">
      <c r="A113" s="11"/>
      <c r="B113" s="11"/>
      <c r="C113" s="11"/>
      <c r="D113" s="11"/>
      <c r="E113" s="11"/>
      <c r="F113" s="11"/>
      <c r="G113" s="11"/>
      <c r="H113" s="88" t="s">
        <v>215</v>
      </c>
      <c r="I113" s="104" t="str">
        <f>IF(_epmOfflineCondition_,"N",_xll.EVPRO($B$1,$H113,"STYLE"))</f>
        <v>N</v>
      </c>
      <c r="J113" s="104" t="str">
        <f>IF(_epmOfflineCondition_,"N",_xll.EVPRO($B$1,$H113,"CALC"))</f>
        <v>N</v>
      </c>
      <c r="K113" s="104"/>
      <c r="L113" s="104" t="str">
        <f>IF(_epmOfflineCondition_,"906100",_xll.EVPRO($B$1,H113,"JDEID"))</f>
        <v>906100</v>
      </c>
      <c r="M113" s="90" t="str">
        <f>IF(_epmOfflineCondition_,"991008",IF(AND(I113="N",J113="N"),_xll.EVPRO($B$1,H113,"PSFTID"),""))</f>
        <v>991008</v>
      </c>
      <c r="N113" s="104" t="str">
        <f>IF(_epmOfflineCondition_,"Number of Arrivals",IF(_xll.EVDES(H113,$B$1)="#NODATA","",_xll.EVDES(H113,$B$1)))</f>
        <v>Number of Arrivals</v>
      </c>
      <c r="O113" s="275">
        <v>1359</v>
      </c>
      <c r="P113" s="276">
        <v>1288</v>
      </c>
      <c r="Q113" s="276">
        <v>1306</v>
      </c>
      <c r="R113" s="276">
        <v>1383</v>
      </c>
      <c r="S113" s="276">
        <v>1429</v>
      </c>
      <c r="T113" s="276">
        <v>1497</v>
      </c>
      <c r="U113" s="276">
        <v>1343</v>
      </c>
      <c r="V113" s="276">
        <v>1019</v>
      </c>
      <c r="W113" s="276">
        <v>967</v>
      </c>
      <c r="X113" s="276">
        <v>1180</v>
      </c>
      <c r="Y113" s="276">
        <v>1286</v>
      </c>
      <c r="Z113" s="276">
        <v>1357</v>
      </c>
      <c r="AA113" s="276">
        <f t="shared" si="7"/>
        <v>15414</v>
      </c>
      <c r="AB113" s="312">
        <f t="shared" si="8"/>
        <v>0.38325169695914868</v>
      </c>
      <c r="AC113" s="140"/>
      <c r="AD113" s="278"/>
      <c r="AE113" s="312" t="str">
        <f t="shared" si="9"/>
        <v/>
      </c>
      <c r="AF113" s="279">
        <f t="shared" si="10"/>
        <v>15414</v>
      </c>
      <c r="AG113" s="279">
        <v>8725</v>
      </c>
      <c r="AH113" s="312">
        <f t="shared" si="11"/>
        <v>0.43516209476309226</v>
      </c>
      <c r="AI113" s="280">
        <f t="shared" si="12"/>
        <v>6689</v>
      </c>
    </row>
    <row r="114" spans="1:35" x14ac:dyDescent="0.35">
      <c r="A114" s="11"/>
      <c r="B114" s="11"/>
      <c r="C114" s="11"/>
      <c r="D114" s="11"/>
      <c r="E114" s="11"/>
      <c r="F114" s="11"/>
      <c r="G114" s="11"/>
      <c r="H114" s="88" t="s">
        <v>216</v>
      </c>
      <c r="I114" s="104" t="str">
        <f>IF(_epmOfflineCondition_,"N",_xll.EVPRO($B$1,$H114,"STYLE"))</f>
        <v>N</v>
      </c>
      <c r="J114" s="104" t="str">
        <f>IF(_epmOfflineCondition_,"N",_xll.EVPRO($B$1,$H114,"CALC"))</f>
        <v>N</v>
      </c>
      <c r="K114" s="104"/>
      <c r="L114" s="104" t="str">
        <f>IF(_epmOfflineCondition_,"907100",_xll.EVPRO($B$1,H114,"JDEID"))</f>
        <v>907100</v>
      </c>
      <c r="M114" s="90" t="str">
        <f>IF(_epmOfflineCondition_,"991007",IF(AND(I114="N",J114="N"),_xll.EVPRO($B$1,H114,"PSFTID"),""))</f>
        <v>991007</v>
      </c>
      <c r="N114" s="104" t="str">
        <f>IF(_epmOfflineCondition_,"Rooms Cleaned",IF(_xll.EVDES(H114,$B$1)="#NODATA","",_xll.EVDES(H114,$B$1)))</f>
        <v>Rooms Cleaned</v>
      </c>
      <c r="O114" s="275">
        <v>1360</v>
      </c>
      <c r="P114" s="276">
        <v>1288</v>
      </c>
      <c r="Q114" s="276">
        <v>1322</v>
      </c>
      <c r="R114" s="276">
        <v>1370</v>
      </c>
      <c r="S114" s="276">
        <v>1429</v>
      </c>
      <c r="T114" s="276">
        <v>1521</v>
      </c>
      <c r="U114" s="276">
        <v>1341</v>
      </c>
      <c r="V114" s="276">
        <v>1068</v>
      </c>
      <c r="W114" s="276">
        <v>942</v>
      </c>
      <c r="X114" s="276">
        <v>1175</v>
      </c>
      <c r="Y114" s="276">
        <v>1249</v>
      </c>
      <c r="Z114" s="276">
        <v>1351</v>
      </c>
      <c r="AA114" s="276">
        <f t="shared" si="7"/>
        <v>15416</v>
      </c>
      <c r="AB114" s="312">
        <f t="shared" si="8"/>
        <v>0.38330142469976874</v>
      </c>
      <c r="AC114" s="140"/>
      <c r="AD114" s="278"/>
      <c r="AE114" s="312" t="str">
        <f t="shared" si="9"/>
        <v/>
      </c>
      <c r="AF114" s="279">
        <f t="shared" si="10"/>
        <v>15416</v>
      </c>
      <c r="AG114" s="279">
        <v>9248</v>
      </c>
      <c r="AH114" s="312">
        <f t="shared" si="11"/>
        <v>0.46124688279301745</v>
      </c>
      <c r="AI114" s="280">
        <f t="shared" si="12"/>
        <v>6168</v>
      </c>
    </row>
    <row r="115" spans="1:35" x14ac:dyDescent="0.35">
      <c r="A115" s="11"/>
      <c r="B115" s="11"/>
      <c r="C115" s="11"/>
      <c r="D115" s="11"/>
      <c r="E115" s="11"/>
      <c r="F115" s="11"/>
      <c r="G115" s="11"/>
      <c r="H115" s="88" t="s">
        <v>217</v>
      </c>
      <c r="I115" s="104" t="str">
        <f>IF(_epmOfflineCondition_,"N",_xll.EVPRO($B$1,$H115,"STYLE"))</f>
        <v>N</v>
      </c>
      <c r="J115" s="104" t="str">
        <f>IF(_epmOfflineCondition_,"N",_xll.EVPRO($B$1,$H115,"CALC"))</f>
        <v>N</v>
      </c>
      <c r="K115" s="104"/>
      <c r="L115" s="104" t="str">
        <f>IF(_epmOfflineCondition_,"907200",_xll.EVPRO($B$1,H115,"JDEID"))</f>
        <v>907200</v>
      </c>
      <c r="M115" s="90" t="str">
        <f>IF(_epmOfflineCondition_,"991700",IF(AND(I115="N",J115="N"),_xll.EVPRO($B$1,H115,"PSFTID"),""))</f>
        <v>991700</v>
      </c>
      <c r="N115" s="104" t="str">
        <f>IF(_epmOfflineCondition_,"KIT Rooms Occupied",IF(_xll.EVDES(H115,$B$1)="#NODATA","",_xll.EVDES(H115,$B$1)))</f>
        <v>KIT Rooms Occupied</v>
      </c>
      <c r="O115" s="275">
        <v>487</v>
      </c>
      <c r="P115" s="276">
        <v>550</v>
      </c>
      <c r="Q115" s="276">
        <v>849</v>
      </c>
      <c r="R115" s="276">
        <v>627</v>
      </c>
      <c r="S115" s="276">
        <v>697</v>
      </c>
      <c r="T115" s="276">
        <v>644</v>
      </c>
      <c r="U115" s="276">
        <v>791</v>
      </c>
      <c r="V115" s="276">
        <v>590</v>
      </c>
      <c r="W115" s="276">
        <v>452</v>
      </c>
      <c r="X115" s="276">
        <v>686</v>
      </c>
      <c r="Y115" s="276">
        <v>824</v>
      </c>
      <c r="Z115" s="276">
        <v>780</v>
      </c>
      <c r="AA115" s="276">
        <f t="shared" si="7"/>
        <v>7977</v>
      </c>
      <c r="AB115" s="312">
        <f t="shared" si="8"/>
        <v>0.19833909346328848</v>
      </c>
      <c r="AC115" s="140"/>
      <c r="AD115" s="278"/>
      <c r="AE115" s="312" t="str">
        <f t="shared" si="9"/>
        <v/>
      </c>
      <c r="AF115" s="279">
        <f t="shared" si="10"/>
        <v>7977</v>
      </c>
      <c r="AG115" s="279">
        <v>4134</v>
      </c>
      <c r="AH115" s="312">
        <f t="shared" si="11"/>
        <v>0.20618453865336658</v>
      </c>
      <c r="AI115" s="280">
        <f t="shared" si="12"/>
        <v>3843</v>
      </c>
    </row>
    <row r="116" spans="1:35" x14ac:dyDescent="0.35">
      <c r="A116" s="11"/>
      <c r="B116" s="11"/>
      <c r="C116" s="11"/>
      <c r="D116" s="11"/>
      <c r="E116" s="11"/>
      <c r="F116" s="11"/>
      <c r="G116" s="11"/>
      <c r="H116" s="88" t="s">
        <v>218</v>
      </c>
      <c r="I116" s="104" t="str">
        <f>IF(_epmOfflineCondition_,"N",_xll.EVPRO($B$1,$H116,"STYLE"))</f>
        <v>N</v>
      </c>
      <c r="J116" s="104" t="str">
        <f>IF(_epmOfflineCondition_,"N",_xll.EVPRO($B$1,$H116,"CALC"))</f>
        <v>N</v>
      </c>
      <c r="K116" s="104"/>
      <c r="L116" s="104" t="str">
        <f>IF(_epmOfflineCondition_,"907300",_xll.EVPRO($B$1,H116,"JDEID"))</f>
        <v>907300</v>
      </c>
      <c r="M116" s="90" t="str">
        <f>IF(_epmOfflineCondition_,"991059",IF(AND(I116="N",J116="N"),_xll.EVPRO($B$1,H116,"PSFTID"),""))</f>
        <v>991059</v>
      </c>
      <c r="N116" s="104" t="str">
        <f>IF(_epmOfflineCondition_,"Number of Guests",IF(_xll.EVDES(H116,$B$1)="#NODATA","",_xll.EVDES(H116,$B$1)))</f>
        <v>Number of Guests</v>
      </c>
      <c r="O116" s="322">
        <v>5951</v>
      </c>
      <c r="P116" s="323">
        <v>5881</v>
      </c>
      <c r="Q116" s="323">
        <v>6985</v>
      </c>
      <c r="R116" s="323">
        <v>6602</v>
      </c>
      <c r="S116" s="323">
        <v>7029</v>
      </c>
      <c r="T116" s="323">
        <v>7224</v>
      </c>
      <c r="U116" s="323">
        <v>7156</v>
      </c>
      <c r="V116" s="323">
        <v>5100</v>
      </c>
      <c r="W116" s="323">
        <v>4057</v>
      </c>
      <c r="X116" s="323">
        <v>5589</v>
      </c>
      <c r="Y116" s="323">
        <v>5776</v>
      </c>
      <c r="Z116" s="323">
        <v>6881</v>
      </c>
      <c r="AA116" s="323">
        <f t="shared" si="7"/>
        <v>74231</v>
      </c>
      <c r="AB116" s="324" t="str">
        <f t="shared" si="8"/>
        <v>1.85</v>
      </c>
      <c r="AC116" s="140"/>
      <c r="AD116" s="325"/>
      <c r="AE116" s="324" t="str">
        <f t="shared" si="9"/>
        <v>0.00</v>
      </c>
      <c r="AF116" s="326">
        <f t="shared" si="10"/>
        <v>74231</v>
      </c>
      <c r="AG116" s="326">
        <v>34095</v>
      </c>
      <c r="AH116" s="324" t="str">
        <f t="shared" si="11"/>
        <v>1.70</v>
      </c>
      <c r="AI116" s="327">
        <f t="shared" si="12"/>
        <v>40136</v>
      </c>
    </row>
    <row r="117" spans="1:35" x14ac:dyDescent="0.35">
      <c r="A117" s="11"/>
      <c r="B117" s="11"/>
      <c r="C117" s="11"/>
      <c r="D117" s="11"/>
      <c r="E117" s="11"/>
      <c r="F117" s="11"/>
      <c r="G117" s="11"/>
      <c r="H117" s="11"/>
      <c r="I117" s="11"/>
      <c r="J117" s="11"/>
      <c r="K117" s="11"/>
      <c r="L117" s="11"/>
      <c r="M117" s="11"/>
      <c r="N117" s="104"/>
      <c r="O117" s="203"/>
      <c r="P117" s="204"/>
      <c r="Q117" s="204"/>
      <c r="R117" s="204"/>
      <c r="S117" s="204"/>
      <c r="T117" s="204"/>
      <c r="U117" s="204"/>
      <c r="V117" s="204"/>
      <c r="W117" s="204"/>
      <c r="X117" s="204"/>
      <c r="Y117" s="204"/>
      <c r="Z117" s="204"/>
      <c r="AA117" s="204"/>
      <c r="AB117" s="118"/>
      <c r="AC117" s="11"/>
      <c r="AD117" s="203"/>
      <c r="AE117" s="204"/>
      <c r="AF117" s="118"/>
      <c r="AG117" s="203"/>
      <c r="AH117" s="204"/>
      <c r="AI117" s="118"/>
    </row>
    <row r="118" spans="1:35" x14ac:dyDescent="0.35">
      <c r="A118" s="11"/>
      <c r="B118" s="11"/>
      <c r="C118" s="11"/>
      <c r="D118" s="11"/>
      <c r="E118" s="11"/>
      <c r="F118" s="11"/>
      <c r="G118" s="11"/>
      <c r="H118" s="11" t="s">
        <v>494</v>
      </c>
      <c r="I118" s="59" t="str">
        <f>IF(_epmOfflineCondition_,"B1",_xll.EVPRO($B$1,$H118,"STYLE"))</f>
        <v>B1</v>
      </c>
      <c r="J118" s="59" t="str">
        <f>IF(_epmOfflineCondition_,"Y",_xll.EVPRO($B$1,$H118,"CALC"))</f>
        <v>Y</v>
      </c>
      <c r="K118" s="11"/>
      <c r="L118" s="11"/>
      <c r="M118" s="11"/>
      <c r="N118" s="105" t="str">
        <f>IF(_epmOfflineCondition_,"ADR &amp; OCC% Calculations",IF(_xll.EVDES(H118,$B$1)="#NODATA","",_xll.EVDES(H118,$B$1)))</f>
        <v>ADR &amp; OCC% Calculations</v>
      </c>
      <c r="O118" s="266" t="s">
        <v>743</v>
      </c>
      <c r="P118" s="266" t="s">
        <v>743</v>
      </c>
      <c r="Q118" s="266" t="s">
        <v>743</v>
      </c>
      <c r="R118" s="266" t="s">
        <v>743</v>
      </c>
      <c r="S118" s="266" t="s">
        <v>743</v>
      </c>
      <c r="T118" s="266" t="s">
        <v>743</v>
      </c>
      <c r="U118" s="266" t="s">
        <v>743</v>
      </c>
      <c r="V118" s="266" t="s">
        <v>743</v>
      </c>
      <c r="W118" s="266" t="s">
        <v>743</v>
      </c>
      <c r="X118" s="266" t="s">
        <v>743</v>
      </c>
      <c r="Y118" s="266" t="s">
        <v>743</v>
      </c>
      <c r="Z118" s="266" t="s">
        <v>743</v>
      </c>
      <c r="AA118" s="266" t="s">
        <v>743</v>
      </c>
      <c r="AB118" s="266" t="s">
        <v>744</v>
      </c>
      <c r="AC118" s="11"/>
      <c r="AD118" s="266" t="s">
        <v>743</v>
      </c>
      <c r="AE118" s="266" t="s">
        <v>744</v>
      </c>
      <c r="AF118" s="266"/>
      <c r="AG118" s="266" t="s">
        <v>743</v>
      </c>
      <c r="AH118" s="266" t="s">
        <v>744</v>
      </c>
      <c r="AI118" s="266"/>
    </row>
    <row r="119" spans="1:35" x14ac:dyDescent="0.35">
      <c r="A119" s="11"/>
      <c r="B119" s="11"/>
      <c r="C119" s="11"/>
      <c r="D119" s="11"/>
      <c r="E119" s="11"/>
      <c r="F119" s="11"/>
      <c r="G119" s="265" t="str">
        <f t="shared" ref="G119:G151" si="13">REPLACE(H119,1,3,"OCC")</f>
        <v>OCC_RETAIL</v>
      </c>
      <c r="H119" s="88" t="s">
        <v>190</v>
      </c>
      <c r="I119" s="89" t="str">
        <f>IF(_epmOfflineCondition_,"T3",_xll.EVPRO($B$1,$H119,"STYLE"))</f>
        <v>T3</v>
      </c>
      <c r="J119" s="89" t="str">
        <f>IF(_epmOfflineCondition_,"Y",_xll.EVPRO($B$1,$H119,"CALC"))</f>
        <v>Y</v>
      </c>
      <c r="K119" s="11"/>
      <c r="L119" s="106" t="str">
        <f>IF(_epmOfflineCondition_,"",_xll.EVPRO($B$1,H119,"JDEID"))</f>
        <v/>
      </c>
      <c r="M119" s="90" t="str">
        <f>IF(_epmOfflineCondition_,"",IF(AND(I119="N",J119="N"),_xll.EVPRO($B$1,H119,"PSFTID"),""))</f>
        <v/>
      </c>
      <c r="N119" s="106" t="str">
        <f>IF(_epmOfflineCondition_,"Retail",IF(_xll.EVDES(H119,$B$1)="#NODATA","",_xll.EVDES(H119,$B$1)))</f>
        <v>Retail</v>
      </c>
      <c r="O119" s="328">
        <v>169.05209771987001</v>
      </c>
      <c r="P119" s="329">
        <v>211.74121808898599</v>
      </c>
      <c r="Q119" s="329">
        <v>253.48986199575401</v>
      </c>
      <c r="R119" s="329">
        <v>275.90677984665899</v>
      </c>
      <c r="S119" s="329">
        <v>288.164236176195</v>
      </c>
      <c r="T119" s="329">
        <v>247.92163095238101</v>
      </c>
      <c r="U119" s="329">
        <v>280.72073206442201</v>
      </c>
      <c r="V119" s="329">
        <v>194.55250883392199</v>
      </c>
      <c r="W119" s="329">
        <v>164.02023853211</v>
      </c>
      <c r="X119" s="329">
        <v>167.57179856115101</v>
      </c>
      <c r="Y119" s="329">
        <v>215.224231213873</v>
      </c>
      <c r="Z119" s="329">
        <v>280.34716625716601</v>
      </c>
      <c r="AA119" s="329">
        <f t="shared" ref="AA119:AA150" si="14">IFERROR(AA34/AA72,0)</f>
        <v>229.80808908803377</v>
      </c>
      <c r="AB119" s="330">
        <f>IF(_epmOfflineCondition_,0.236239103362391,IF(_xll.EVGET($B$1,$B$3,$B$5,$B$6,$B$7,$B$9,AA$16,AA$17,AA$18,$G119)="#NODATA","",_xll.EVGET($B$1,$B$3,$B$5,$B$6,$B$7,$B$9,AA$16,AA$17,AA$18,$G119)))</f>
        <v>0.23623910336239101</v>
      </c>
      <c r="AC119" s="140"/>
      <c r="AD119" s="328">
        <v>178.132532620321</v>
      </c>
      <c r="AE119" s="330">
        <f>IF(_epmOfflineCondition_,0.291095890410959,IF(_xll.EVGET($B$1,$B$3,$B$5,$B$6,$B$7,$B$9,AD$16,AD$17,AD$18,$G119)="#NODATA","",_xll.EVGET($B$1,$B$3,$B$5,$B$6,$B$7,$B$9,AD$16,AD$17,AD$18,$G119)))</f>
        <v>0.29109589041095901</v>
      </c>
      <c r="AF119" s="331">
        <f t="shared" ref="AF119:AF152" si="15">IF(AND($AA119="",AD119=""),"",$AA119-AD119)</f>
        <v>51.675556467712767</v>
      </c>
      <c r="AG119" s="328">
        <v>193.40950880307699</v>
      </c>
      <c r="AH119" s="330">
        <f>IF(_epmOfflineCondition_,0.139903129657228,IF(_xll.EVGET($B$1,$B$3,$B$5,$B$6,$B$7,$B$9,AG$16,AG$17,AG$18,$G119)="#NODATA","",_xll.EVGET($B$1,$B$3,$B$5,$B$6,$B$7,$B$9,AG$16,AG$17,AG$18,$G119)))</f>
        <v>0.13990312965722801</v>
      </c>
      <c r="AI119" s="332">
        <f t="shared" ref="AI119:AI152" si="16">IF(AND($AA119="",AG119=""),"",$AA119-AG119)</f>
        <v>36.398580284956779</v>
      </c>
    </row>
    <row r="120" spans="1:35" x14ac:dyDescent="0.35">
      <c r="A120" s="11"/>
      <c r="B120" s="11"/>
      <c r="C120" s="11"/>
      <c r="D120" s="11"/>
      <c r="E120" s="11"/>
      <c r="F120" s="11"/>
      <c r="G120" s="267" t="str">
        <f t="shared" si="13"/>
        <v>OCC_ROOM</v>
      </c>
      <c r="H120" s="88" t="s">
        <v>191</v>
      </c>
      <c r="I120" s="104" t="str">
        <f>IF(_epmOfflineCondition_,"N",_xll.EVPRO($B$1,$H120,"STYLE"))</f>
        <v>N</v>
      </c>
      <c r="J120" s="104" t="str">
        <f>IF(_epmOfflineCondition_,"Y",_xll.EVPRO($B$1,$H120,"CALC"))</f>
        <v>Y</v>
      </c>
      <c r="K120" s="11"/>
      <c r="L120" s="104" t="str">
        <f>IF(_epmOfflineCondition_,"",_xll.EVPRO($B$1,H120,"JDEID"))</f>
        <v/>
      </c>
      <c r="M120" s="90" t="str">
        <f>IF(_epmOfflineCondition_,"",IF(AND(I120="N",J120="N"),_xll.EVPRO($B$1,H120,"PSFTID"),""))</f>
        <v/>
      </c>
      <c r="N120" s="104" t="str">
        <f>IF(_epmOfflineCondition_,"Room Only",IF(_xll.EVDES(H120,$B$1)="#NODATA","",_xll.EVDES(H120,$B$1)))</f>
        <v>Room Only</v>
      </c>
      <c r="O120" s="333">
        <v>213.758473684211</v>
      </c>
      <c r="P120" s="334">
        <v>262.79432258064497</v>
      </c>
      <c r="Q120" s="334">
        <v>279.87167259786497</v>
      </c>
      <c r="R120" s="334">
        <v>273.14437500000003</v>
      </c>
      <c r="S120" s="334">
        <v>258.61071672355001</v>
      </c>
      <c r="T120" s="334">
        <v>208.80692640692601</v>
      </c>
      <c r="U120" s="334">
        <v>289.72221590909101</v>
      </c>
      <c r="V120" s="334">
        <v>216.06525547445301</v>
      </c>
      <c r="W120" s="334">
        <v>214.90859374999999</v>
      </c>
      <c r="X120" s="334">
        <v>206.29330985915499</v>
      </c>
      <c r="Y120" s="334">
        <v>306.28438848920899</v>
      </c>
      <c r="Z120" s="334">
        <v>376.72850678732999</v>
      </c>
      <c r="AA120" s="334">
        <f t="shared" si="14"/>
        <v>264.06733041575495</v>
      </c>
      <c r="AB120" s="335">
        <f>IF(_epmOfflineCondition_,0.0474263179742632,IF(_xll.EVGET($B$1,$B$3,$B$5,$B$6,$B$7,$B$9,AA$16,AA$17,AA$18,$G120)="#NODATA","",_xll.EVGET($B$1,$B$3,$B$5,$B$6,$B$7,$B$9,AA$16,AA$17,AA$18,$G120)))</f>
        <v>4.74263179742632E-2</v>
      </c>
      <c r="AC120" s="140"/>
      <c r="AD120" s="333">
        <v>220.24802863961801</v>
      </c>
      <c r="AE120" s="335">
        <f>IF(_epmOfflineCondition_,0.0434827729348277,IF(_xll.EVGET($B$1,$B$3,$B$5,$B$6,$B$7,$B$9,AD$16,AD$17,AD$18,$G120)="#NODATA","",_xll.EVGET($B$1,$B$3,$B$5,$B$6,$B$7,$B$9,AD$16,AD$17,AD$18,$G120)))</f>
        <v>4.3482772934827697E-2</v>
      </c>
      <c r="AF120" s="336">
        <f t="shared" si="15"/>
        <v>43.819301776136939</v>
      </c>
      <c r="AG120" s="333">
        <v>268.66171177761498</v>
      </c>
      <c r="AH120" s="335">
        <f>IF(_epmOfflineCondition_,0.0282952475575426,IF(_xll.EVGET($B$1,$B$3,$B$5,$B$6,$B$7,$B$9,AG$16,AG$17,AG$18,$G120)="#NODATA","",_xll.EVGET($B$1,$B$3,$B$5,$B$6,$B$7,$B$9,AG$16,AG$17,AG$18,$G120)))</f>
        <v>2.8295247557542601E-2</v>
      </c>
      <c r="AI120" s="337">
        <f t="shared" si="16"/>
        <v>-4.5943813618600302</v>
      </c>
    </row>
    <row r="121" spans="1:35" x14ac:dyDescent="0.35">
      <c r="A121" s="11"/>
      <c r="B121" s="11"/>
      <c r="C121" s="11"/>
      <c r="D121" s="11"/>
      <c r="E121" s="11"/>
      <c r="F121" s="11"/>
      <c r="G121" s="267" t="str">
        <f t="shared" si="13"/>
        <v>OCC_RWEB</v>
      </c>
      <c r="H121" s="88" t="s">
        <v>192</v>
      </c>
      <c r="I121" s="104" t="str">
        <f>IF(_epmOfflineCondition_,"N",_xll.EVPRO($B$1,$H121,"STYLE"))</f>
        <v>N</v>
      </c>
      <c r="J121" s="104" t="str">
        <f>IF(_epmOfflineCondition_,"Y",_xll.EVPRO($B$1,$H121,"CALC"))</f>
        <v>Y</v>
      </c>
      <c r="K121" s="11"/>
      <c r="L121" s="104" t="str">
        <f>IF(_epmOfflineCondition_,"",_xll.EVPRO($B$1,H121,"JDEID"))</f>
        <v/>
      </c>
      <c r="M121" s="90" t="str">
        <f>IF(_epmOfflineCondition_,"",IF(AND(I121="N",J121="N"),_xll.EVPRO($B$1,H121,"PSFTID"),""))</f>
        <v/>
      </c>
      <c r="N121" s="104" t="str">
        <f>IF(_epmOfflineCondition_,"Retail Web",IF(_xll.EVDES(H121,$B$1)="#NODATA","",_xll.EVDES(H121,$B$1)))</f>
        <v>Retail Web</v>
      </c>
      <c r="O121" s="333">
        <v>162.736698884758</v>
      </c>
      <c r="P121" s="334">
        <v>205.233626644737</v>
      </c>
      <c r="Q121" s="334">
        <v>242.27459909228401</v>
      </c>
      <c r="R121" s="334">
        <v>276.98315068493201</v>
      </c>
      <c r="S121" s="334">
        <v>299.35180878553001</v>
      </c>
      <c r="T121" s="334">
        <v>262.758243021346</v>
      </c>
      <c r="U121" s="334">
        <v>277.595956607495</v>
      </c>
      <c r="V121" s="334">
        <v>187.68247086247101</v>
      </c>
      <c r="W121" s="334">
        <v>157.24923076923099</v>
      </c>
      <c r="X121" s="334">
        <v>159.62605491329501</v>
      </c>
      <c r="Y121" s="334">
        <v>197.78984848484799</v>
      </c>
      <c r="Z121" s="334">
        <v>259.04689000000002</v>
      </c>
      <c r="AA121" s="334">
        <f t="shared" si="14"/>
        <v>221.20279432780035</v>
      </c>
      <c r="AB121" s="335">
        <f>IF(_epmOfflineCondition_,0.188812785388128,IF(_xll.EVGET($B$1,$B$3,$B$5,$B$6,$B$7,$B$9,AA$16,AA$17,AA$18,$G121)="#NODATA","",_xll.EVGET($B$1,$B$3,$B$5,$B$6,$B$7,$B$9,AA$16,AA$17,AA$18,$G121)))</f>
        <v>0.18881278538812801</v>
      </c>
      <c r="AC121" s="140"/>
      <c r="AD121" s="333">
        <v>170.73672673931301</v>
      </c>
      <c r="AE121" s="335">
        <f>IF(_epmOfflineCondition_,0.247613117476131,IF(_xll.EVGET($B$1,$B$3,$B$5,$B$6,$B$7,$B$9,AD$16,AD$17,AD$18,$G121)="#NODATA","",_xll.EVGET($B$1,$B$3,$B$5,$B$6,$B$7,$B$9,AD$16,AD$17,AD$18,$G121)))</f>
        <v>0.24761311747613099</v>
      </c>
      <c r="AF121" s="336">
        <f t="shared" si="15"/>
        <v>50.466067588487334</v>
      </c>
      <c r="AG121" s="333">
        <v>174.33128894658699</v>
      </c>
      <c r="AH121" s="335">
        <f>IF(_epmOfflineCondition_,0.111607882099685,IF(_xll.EVGET($B$1,$B$3,$B$5,$B$6,$B$7,$B$9,AG$16,AG$17,AG$18,$G121)="#NODATA","",_xll.EVGET($B$1,$B$3,$B$5,$B$6,$B$7,$B$9,AG$16,AG$17,AG$18,$G121)))</f>
        <v>0.111607882099685</v>
      </c>
      <c r="AI121" s="337">
        <f t="shared" si="16"/>
        <v>46.871505381213353</v>
      </c>
    </row>
    <row r="122" spans="1:35" x14ac:dyDescent="0.35">
      <c r="A122" s="11"/>
      <c r="B122" s="11"/>
      <c r="C122" s="11"/>
      <c r="D122" s="11"/>
      <c r="E122" s="11"/>
      <c r="F122" s="11"/>
      <c r="G122" s="265" t="str">
        <f t="shared" si="13"/>
        <v>OCC_DISCNT</v>
      </c>
      <c r="H122" s="88" t="s">
        <v>193</v>
      </c>
      <c r="I122" s="89" t="str">
        <f>IF(_epmOfflineCondition_,"T3",_xll.EVPRO($B$1,$H122,"STYLE"))</f>
        <v>T3</v>
      </c>
      <c r="J122" s="89" t="str">
        <f>IF(_epmOfflineCondition_,"Y",_xll.EVPRO($B$1,$H122,"CALC"))</f>
        <v>Y</v>
      </c>
      <c r="K122" s="11"/>
      <c r="L122" s="106" t="str">
        <f>IF(_epmOfflineCondition_,"",_xll.EVPRO($B$1,H122,"JDEID"))</f>
        <v/>
      </c>
      <c r="M122" s="90" t="str">
        <f>IF(_epmOfflineCondition_,"",IF(AND(I122="N",J122="N"),_xll.EVPRO($B$1,H122,"PSFTID"),""))</f>
        <v/>
      </c>
      <c r="N122" s="106" t="str">
        <f>IF(_epmOfflineCondition_,"Discount",IF(_xll.EVDES(H122,$B$1)="#NODATA","",_xll.EVDES(H122,$B$1)))</f>
        <v>Discount</v>
      </c>
      <c r="O122" s="328">
        <v>170.966098339719</v>
      </c>
      <c r="P122" s="329">
        <v>202.020459057072</v>
      </c>
      <c r="Q122" s="329">
        <v>237.07469046543201</v>
      </c>
      <c r="R122" s="329">
        <v>245.54199891950299</v>
      </c>
      <c r="S122" s="329">
        <v>273.61219871205202</v>
      </c>
      <c r="T122" s="329">
        <v>231.11084827284699</v>
      </c>
      <c r="U122" s="329">
        <v>272.43844783715002</v>
      </c>
      <c r="V122" s="329">
        <v>216.78311866428101</v>
      </c>
      <c r="W122" s="329">
        <v>193.57507647487299</v>
      </c>
      <c r="X122" s="329">
        <v>200.63036760124601</v>
      </c>
      <c r="Y122" s="329">
        <v>244.59309181761401</v>
      </c>
      <c r="Z122" s="329">
        <v>372.833951655281</v>
      </c>
      <c r="AA122" s="329">
        <f t="shared" si="14"/>
        <v>242.6084549954995</v>
      </c>
      <c r="AB122" s="330">
        <f>IF(_epmOfflineCondition_,0.461187214611872,IF(_xll.EVGET($B$1,$B$3,$B$5,$B$6,$B$7,$B$9,AA$16,AA$17,AA$18,$G122)="#NODATA","",_xll.EVGET($B$1,$B$3,$B$5,$B$6,$B$7,$B$9,AA$16,AA$17,AA$18,$G122)))</f>
        <v>0.46118721461187201</v>
      </c>
      <c r="AC122" s="140"/>
      <c r="AD122" s="328">
        <v>150.930011341252</v>
      </c>
      <c r="AE122" s="330">
        <f>IF(_epmOfflineCondition_,0.347716894977169,IF(_xll.EVGET($B$1,$B$3,$B$5,$B$6,$B$7,$B$9,AD$16,AD$17,AD$18,$G122)="#NODATA","",_xll.EVGET($B$1,$B$3,$B$5,$B$6,$B$7,$B$9,AD$16,AD$17,AD$18,$G122)))</f>
        <v>0.34771689497716901</v>
      </c>
      <c r="AF122" s="331">
        <f t="shared" si="15"/>
        <v>91.678443654247502</v>
      </c>
      <c r="AG122" s="328">
        <v>180.47745729938799</v>
      </c>
      <c r="AH122" s="330">
        <f>IF(_epmOfflineCondition_,0.192685047193244,IF(_xll.EVGET($B$1,$B$3,$B$5,$B$6,$B$7,$B$9,AG$16,AG$17,AG$18,$G122)="#NODATA","",_xll.EVGET($B$1,$B$3,$B$5,$B$6,$B$7,$B$9,AG$16,AG$17,AG$18,$G122)))</f>
        <v>0.192685047193244</v>
      </c>
      <c r="AI122" s="332">
        <f t="shared" si="16"/>
        <v>62.130997696111507</v>
      </c>
    </row>
    <row r="123" spans="1:35" x14ac:dyDescent="0.35">
      <c r="A123" s="11"/>
      <c r="B123" s="11"/>
      <c r="C123" s="11"/>
      <c r="D123" s="11"/>
      <c r="E123" s="11"/>
      <c r="F123" s="11"/>
      <c r="G123" s="267" t="str">
        <f t="shared" si="13"/>
        <v>OCC_PACK</v>
      </c>
      <c r="H123" s="88" t="s">
        <v>194</v>
      </c>
      <c r="I123" s="104" t="str">
        <f>IF(_epmOfflineCondition_,"N",_xll.EVPRO($B$1,$H123,"STYLE"))</f>
        <v>N</v>
      </c>
      <c r="J123" s="104" t="str">
        <f>IF(_epmOfflineCondition_,"Y",_xll.EVPRO($B$1,$H123,"CALC"))</f>
        <v>Y</v>
      </c>
      <c r="K123" s="11"/>
      <c r="L123" s="104" t="str">
        <f>IF(_epmOfflineCondition_,"",_xll.EVPRO($B$1,H123,"JDEID"))</f>
        <v/>
      </c>
      <c r="M123" s="90" t="str">
        <f>IF(_epmOfflineCondition_,"",IF(AND(I123="N",J123="N"),_xll.EVPRO($B$1,H123,"PSFTID"),""))</f>
        <v/>
      </c>
      <c r="N123" s="104" t="str">
        <f>IF(_epmOfflineCondition_,"Package",IF(_xll.EVDES(H123,$B$1)="#NODATA","",_xll.EVDES(H123,$B$1)))</f>
        <v>Package</v>
      </c>
      <c r="O123" s="333">
        <v>314.35555555555601</v>
      </c>
      <c r="P123" s="334">
        <v>258.41363636363599</v>
      </c>
      <c r="Q123" s="334">
        <v>327.60000000000002</v>
      </c>
      <c r="R123" s="334">
        <v>515.31818181818198</v>
      </c>
      <c r="S123" s="334">
        <v>374.831428571429</v>
      </c>
      <c r="T123" s="334">
        <v>369.50437499999998</v>
      </c>
      <c r="U123" s="334">
        <v>373.553243243243</v>
      </c>
      <c r="V123" s="334">
        <v>284.95454545454498</v>
      </c>
      <c r="W123" s="334">
        <v>300.89333333333298</v>
      </c>
      <c r="X123" s="334">
        <v>296.35789473684201</v>
      </c>
      <c r="Y123" s="334">
        <v>331.84545454545503</v>
      </c>
      <c r="Z123" s="334">
        <v>376.17666666666702</v>
      </c>
      <c r="AA123" s="334">
        <f t="shared" si="14"/>
        <v>339.64954225352113</v>
      </c>
      <c r="AB123" s="335">
        <f>IF(_epmOfflineCondition_,0.00589456205894562,IF(_xll.EVGET($B$1,$B$3,$B$5,$B$6,$B$7,$B$9,AA$16,AA$17,AA$18,$G123)="#NODATA","",_xll.EVGET($B$1,$B$3,$B$5,$B$6,$B$7,$B$9,AA$16,AA$17,AA$18,$G123)))</f>
        <v>5.89456205894562E-3</v>
      </c>
      <c r="AC123" s="140"/>
      <c r="AD123" s="333">
        <v>206.836626865672</v>
      </c>
      <c r="AE123" s="335">
        <f>IF(_epmOfflineCondition_,0.00695309256953093,IF(_xll.EVGET($B$1,$B$3,$B$5,$B$6,$B$7,$B$9,AD$16,AD$17,AD$18,$G123)="#NODATA","",_xll.EVGET($B$1,$B$3,$B$5,$B$6,$B$7,$B$9,AD$16,AD$17,AD$18,$G123)))</f>
        <v>6.9530925695309304E-3</v>
      </c>
      <c r="AF123" s="336">
        <f t="shared" si="15"/>
        <v>132.81291538784913</v>
      </c>
      <c r="AG123" s="333">
        <v>285.957218543046</v>
      </c>
      <c r="AH123" s="335">
        <f>IF(_epmOfflineCondition_,0.00312551746977977,IF(_xll.EVGET($B$1,$B$3,$B$5,$B$6,$B$7,$B$9,AG$16,AG$17,AG$18,$G123)="#NODATA","",_xll.EVGET($B$1,$B$3,$B$5,$B$6,$B$7,$B$9,AG$16,AG$17,AG$18,$G123)))</f>
        <v>3.1255174697797702E-3</v>
      </c>
      <c r="AI123" s="337">
        <f t="shared" si="16"/>
        <v>53.692323710475137</v>
      </c>
    </row>
    <row r="124" spans="1:35" x14ac:dyDescent="0.35">
      <c r="A124" s="11"/>
      <c r="B124" s="11"/>
      <c r="C124" s="11"/>
      <c r="D124" s="11"/>
      <c r="E124" s="11"/>
      <c r="F124" s="11"/>
      <c r="G124" s="267" t="str">
        <f t="shared" si="13"/>
        <v>OCC_OTA</v>
      </c>
      <c r="H124" s="88" t="s">
        <v>195</v>
      </c>
      <c r="I124" s="104" t="str">
        <f>IF(_epmOfflineCondition_,"N",_xll.EVPRO($B$1,$H124,"STYLE"))</f>
        <v>N</v>
      </c>
      <c r="J124" s="104" t="str">
        <f>IF(_epmOfflineCondition_,"Y",_xll.EVPRO($B$1,$H124,"CALC"))</f>
        <v>Y</v>
      </c>
      <c r="K124" s="11"/>
      <c r="L124" s="104" t="str">
        <f>IF(_epmOfflineCondition_,"",_xll.EVPRO($B$1,H124,"JDEID"))</f>
        <v/>
      </c>
      <c r="M124" s="90" t="str">
        <f>IF(_epmOfflineCondition_,"",IF(AND(I124="N",J124="N"),_xll.EVPRO($B$1,H124,"PSFTID"),""))</f>
        <v/>
      </c>
      <c r="N124" s="104" t="str">
        <f>IF(_epmOfflineCondition_,"OTA Opaque",IF(_xll.EVDES(H124,$B$1)="#NODATA","",_xll.EVDES(H124,$B$1)))</f>
        <v>OTA Opaque</v>
      </c>
      <c r="O124" s="333">
        <v>147.385522875817</v>
      </c>
      <c r="P124" s="334">
        <v>156.69127192982501</v>
      </c>
      <c r="Q124" s="334">
        <v>238.233392070485</v>
      </c>
      <c r="R124" s="334">
        <v>210.685771428571</v>
      </c>
      <c r="S124" s="334">
        <v>259.378982035928</v>
      </c>
      <c r="T124" s="334">
        <v>202.69381736526901</v>
      </c>
      <c r="U124" s="334">
        <v>226.18038617886199</v>
      </c>
      <c r="V124" s="334">
        <v>159.07098540146001</v>
      </c>
      <c r="W124" s="334">
        <v>162.925510204082</v>
      </c>
      <c r="X124" s="334">
        <v>156.63075000000001</v>
      </c>
      <c r="Y124" s="334">
        <v>210.59790909090901</v>
      </c>
      <c r="Z124" s="334">
        <v>281.564841269841</v>
      </c>
      <c r="AA124" s="334">
        <f t="shared" si="14"/>
        <v>202.70081072653571</v>
      </c>
      <c r="AB124" s="335">
        <f>IF(_epmOfflineCondition_,0.0665628891656289,IF(_xll.EVGET($B$1,$B$3,$B$5,$B$6,$B$7,$B$9,AA$16,AA$17,AA$18,$G124)="#NODATA","",_xll.EVGET($B$1,$B$3,$B$5,$B$6,$B$7,$B$9,AA$16,AA$17,AA$18,$G124)))</f>
        <v>6.65628891656289E-2</v>
      </c>
      <c r="AC124" s="140"/>
      <c r="AD124" s="333">
        <v>121.80607424594</v>
      </c>
      <c r="AE124" s="335">
        <f>IF(_epmOfflineCondition_,0.044728102947281,IF(_xll.EVGET($B$1,$B$3,$B$5,$B$6,$B$7,$B$9,AD$16,AD$17,AD$18,$G124)="#NODATA","",_xll.EVGET($B$1,$B$3,$B$5,$B$6,$B$7,$B$9,AD$16,AD$17,AD$18,$G124)))</f>
        <v>4.4728102947281002E-2</v>
      </c>
      <c r="AF124" s="336">
        <f t="shared" si="15"/>
        <v>80.894736480595711</v>
      </c>
      <c r="AG124" s="333">
        <v>124.893346341463</v>
      </c>
      <c r="AH124" s="335">
        <f>IF(_epmOfflineCondition_,0.0212162609703593,IF(_xll.EVGET($B$1,$B$3,$B$5,$B$6,$B$7,$B$9,AG$16,AG$17,AG$18,$G124)="#NODATA","",_xll.EVGET($B$1,$B$3,$B$5,$B$6,$B$7,$B$9,AG$16,AG$17,AG$18,$G124)))</f>
        <v>2.1216260970359301E-2</v>
      </c>
      <c r="AI124" s="337">
        <f t="shared" si="16"/>
        <v>77.807464385072706</v>
      </c>
    </row>
    <row r="125" spans="1:35" x14ac:dyDescent="0.35">
      <c r="A125" s="11"/>
      <c r="B125" s="11"/>
      <c r="C125" s="11"/>
      <c r="D125" s="11"/>
      <c r="E125" s="11"/>
      <c r="F125" s="11"/>
      <c r="G125" s="267" t="str">
        <f t="shared" si="13"/>
        <v>OCC_BMPRO</v>
      </c>
      <c r="H125" s="88" t="s">
        <v>196</v>
      </c>
      <c r="I125" s="104" t="str">
        <f>IF(_epmOfflineCondition_,"N",_xll.EVPRO($B$1,$H125,"STYLE"))</f>
        <v>N</v>
      </c>
      <c r="J125" s="104" t="str">
        <f>IF(_epmOfflineCondition_,"Y",_xll.EVPRO($B$1,$H125,"CALC"))</f>
        <v>Y</v>
      </c>
      <c r="K125" s="11"/>
      <c r="L125" s="104" t="str">
        <f>IF(_epmOfflineCondition_,"",_xll.EVPRO($B$1,H125,"JDEID"))</f>
        <v/>
      </c>
      <c r="M125" s="90" t="str">
        <f>IF(_epmOfflineCondition_,"",IF(AND(I125="N",J125="N"),_xll.EVPRO($B$1,H125,"PSFTID"),""))</f>
        <v/>
      </c>
      <c r="N125" s="104" t="str">
        <f>IF(_epmOfflineCondition_,"Brand/Media Promotions",IF(_xll.EVDES(H125,$B$1)="#NODATA","",_xll.EVDES(H125,$B$1)))</f>
        <v>Brand/Media Promotions</v>
      </c>
      <c r="O125" s="333">
        <v>155.17956616052101</v>
      </c>
      <c r="P125" s="334">
        <v>202.049952941176</v>
      </c>
      <c r="Q125" s="334">
        <v>215.499693430657</v>
      </c>
      <c r="R125" s="334">
        <v>199.07740540540499</v>
      </c>
      <c r="S125" s="334">
        <v>240.506234817814</v>
      </c>
      <c r="T125" s="334">
        <v>207.61501204819299</v>
      </c>
      <c r="U125" s="334">
        <v>279.63619808306697</v>
      </c>
      <c r="V125" s="334">
        <v>215.26461111111101</v>
      </c>
      <c r="W125" s="334">
        <v>184.33189349112399</v>
      </c>
      <c r="X125" s="334">
        <v>176.13131687242799</v>
      </c>
      <c r="Y125" s="334">
        <v>212.40335195530699</v>
      </c>
      <c r="Z125" s="334">
        <v>298.69671957672</v>
      </c>
      <c r="AA125" s="334">
        <f t="shared" si="14"/>
        <v>212.43830315691739</v>
      </c>
      <c r="AB125" s="335">
        <f>IF(_epmOfflineCondition_,0.089414694894147,IF(_xll.EVGET($B$1,$B$3,$B$5,$B$6,$B$7,$B$9,AA$16,AA$17,AA$18,$G125)="#NODATA","",_xll.EVGET($B$1,$B$3,$B$5,$B$6,$B$7,$B$9,AA$16,AA$17,AA$18,$G125)))</f>
        <v>8.9414694894146995E-2</v>
      </c>
      <c r="AC125" s="140"/>
      <c r="AD125" s="333">
        <v>139.284623229462</v>
      </c>
      <c r="AE125" s="335">
        <f>IF(_epmOfflineCondition_,0.109900373599004,IF(_xll.EVGET($B$1,$B$3,$B$5,$B$6,$B$7,$B$9,AD$16,AD$17,AD$18,$G125)="#NODATA","",_xll.EVGET($B$1,$B$3,$B$5,$B$6,$B$7,$B$9,AD$16,AD$17,AD$18,$G125)))</f>
        <v>0.10990037359900399</v>
      </c>
      <c r="AF125" s="336">
        <f t="shared" si="15"/>
        <v>73.153679927455386</v>
      </c>
      <c r="AG125" s="333">
        <v>214.64688013136299</v>
      </c>
      <c r="AH125" s="335">
        <f>IF(_epmOfflineCondition_,0.0504222553402881,IF(_xll.EVGET($B$1,$B$3,$B$5,$B$6,$B$7,$B$9,AG$16,AG$17,AG$18,$G125)="#NODATA","",_xll.EVGET($B$1,$B$3,$B$5,$B$6,$B$7,$B$9,AG$16,AG$17,AG$18,$G125)))</f>
        <v>5.0422255340288102E-2</v>
      </c>
      <c r="AI125" s="337">
        <f t="shared" si="16"/>
        <v>-2.2085769744456059</v>
      </c>
    </row>
    <row r="126" spans="1:35" x14ac:dyDescent="0.35">
      <c r="A126" s="11"/>
      <c r="B126" s="11"/>
      <c r="C126" s="11"/>
      <c r="D126" s="11"/>
      <c r="E126" s="11"/>
      <c r="F126" s="11"/>
      <c r="G126" s="267" t="str">
        <f t="shared" si="13"/>
        <v>OCC_ADVPR</v>
      </c>
      <c r="H126" s="88" t="s">
        <v>197</v>
      </c>
      <c r="I126" s="104" t="str">
        <f>IF(_epmOfflineCondition_,"N",_xll.EVPRO($B$1,$H126,"STYLE"))</f>
        <v>N</v>
      </c>
      <c r="J126" s="104" t="str">
        <f>IF(_epmOfflineCondition_,"Y",_xll.EVPRO($B$1,$H126,"CALC"))</f>
        <v>Y</v>
      </c>
      <c r="K126" s="11"/>
      <c r="L126" s="104" t="str">
        <f>IF(_epmOfflineCondition_,"",_xll.EVPRO($B$1,H126,"JDEID"))</f>
        <v/>
      </c>
      <c r="M126" s="90" t="str">
        <f>IF(_epmOfflineCondition_,"",IF(AND(I126="N",J126="N"),_xll.EVPRO($B$1,H126,"PSFTID"),""))</f>
        <v/>
      </c>
      <c r="N126" s="104" t="str">
        <f>IF(_epmOfflineCondition_,"Advance Purchases",IF(_xll.EVDES(H126,$B$1)="#NODATA","",_xll.EVDES(H126,$B$1)))</f>
        <v>Advance Purchases</v>
      </c>
      <c r="O126" s="333"/>
      <c r="P126" s="334"/>
      <c r="Q126" s="334"/>
      <c r="R126" s="334"/>
      <c r="S126" s="334">
        <v>519.29764705882303</v>
      </c>
      <c r="T126" s="334">
        <v>302.40025477707002</v>
      </c>
      <c r="U126" s="334">
        <v>299.771382550336</v>
      </c>
      <c r="V126" s="334">
        <v>242.39718965517201</v>
      </c>
      <c r="W126" s="334">
        <v>215.9864</v>
      </c>
      <c r="X126" s="334">
        <v>223.41865979381399</v>
      </c>
      <c r="Y126" s="334">
        <v>263.28434389140301</v>
      </c>
      <c r="Z126" s="334">
        <v>402.34328398384901</v>
      </c>
      <c r="AA126" s="334">
        <f t="shared" si="14"/>
        <v>287.67417988107036</v>
      </c>
      <c r="AB126" s="335">
        <f>IF(_epmOfflineCondition_,0.083769198837692,IF(_xll.EVGET($B$1,$B$3,$B$5,$B$6,$B$7,$B$9,AA$16,AA$17,AA$18,$G126)="#NODATA","",_xll.EVGET($B$1,$B$3,$B$5,$B$6,$B$7,$B$9,AA$16,AA$17,AA$18,$G126)))</f>
        <v>8.3769198837692002E-2</v>
      </c>
      <c r="AC126" s="140"/>
      <c r="AD126" s="333"/>
      <c r="AE126" s="335">
        <f>IF(_epmOfflineCondition_,0,IF(_xll.EVGET($B$1,$B$3,$B$5,$B$6,$B$7,$B$9,AD$16,AD$17,AD$18,$G126)="#NODATA","",_xll.EVGET($B$1,$B$3,$B$5,$B$6,$B$7,$B$9,AD$16,AD$17,AD$18,$G126)))</f>
        <v>0</v>
      </c>
      <c r="AF126" s="336">
        <f t="shared" si="15"/>
        <v>287.67417988107036</v>
      </c>
      <c r="AG126" s="333">
        <v>297.90768115942001</v>
      </c>
      <c r="AH126" s="335">
        <f>IF(_epmOfflineCondition_,0.00285643318430204,IF(_xll.EVGET($B$1,$B$3,$B$5,$B$6,$B$7,$B$9,AG$16,AG$17,AG$18,$G126)="#NODATA","",_xll.EVGET($B$1,$B$3,$B$5,$B$6,$B$7,$B$9,AG$16,AG$17,AG$18,$G126)))</f>
        <v>2.85643318430204E-3</v>
      </c>
      <c r="AI126" s="337">
        <f t="shared" si="16"/>
        <v>-10.23350127834965</v>
      </c>
    </row>
    <row r="127" spans="1:35" x14ac:dyDescent="0.35">
      <c r="A127" s="11"/>
      <c r="B127" s="11"/>
      <c r="C127" s="11"/>
      <c r="D127" s="11"/>
      <c r="E127" s="11"/>
      <c r="F127" s="11"/>
      <c r="G127" s="267" t="str">
        <f t="shared" si="13"/>
        <v>OCC_LDISCNT</v>
      </c>
      <c r="H127" s="88" t="s">
        <v>198</v>
      </c>
      <c r="I127" s="104" t="str">
        <f>IF(_epmOfflineCondition_,"N",_xll.EVPRO($B$1,$H127,"STYLE"))</f>
        <v>N</v>
      </c>
      <c r="J127" s="104" t="str">
        <f>IF(_epmOfflineCondition_,"Y",_xll.EVPRO($B$1,$H127,"CALC"))</f>
        <v>Y</v>
      </c>
      <c r="K127" s="11"/>
      <c r="L127" s="104" t="str">
        <f>IF(_epmOfflineCondition_,"",_xll.EVPRO($B$1,H127,"JDEID"))</f>
        <v/>
      </c>
      <c r="M127" s="90" t="str">
        <f>IF(_epmOfflineCondition_,"",IF(AND(I127="N",J127="N"),_xll.EVPRO($B$1,H127,"PSFTID"),""))</f>
        <v/>
      </c>
      <c r="N127" s="104" t="str">
        <f>IF(_epmOfflineCondition_,"Local Discounts",IF(_xll.EVDES(H127,$B$1)="#NODATA","",_xll.EVDES(H127,$B$1)))</f>
        <v>Local Discounts</v>
      </c>
      <c r="O127" s="333">
        <v>187.678430379747</v>
      </c>
      <c r="P127" s="334">
        <v>211.71295624333001</v>
      </c>
      <c r="Q127" s="334">
        <v>246.10230465666899</v>
      </c>
      <c r="R127" s="334">
        <v>271.59618918918898</v>
      </c>
      <c r="S127" s="334">
        <v>281.33867601246101</v>
      </c>
      <c r="T127" s="334">
        <v>233.34847319347301</v>
      </c>
      <c r="U127" s="334">
        <v>267.77150453955898</v>
      </c>
      <c r="V127" s="334">
        <v>216.34917874396101</v>
      </c>
      <c r="W127" s="334">
        <v>185.053282208589</v>
      </c>
      <c r="X127" s="334">
        <v>194.626645865835</v>
      </c>
      <c r="Y127" s="334">
        <v>236.920972886762</v>
      </c>
      <c r="Z127" s="334">
        <v>377.09784764208001</v>
      </c>
      <c r="AA127" s="334">
        <f t="shared" si="14"/>
        <v>247.27979778526722</v>
      </c>
      <c r="AB127" s="335">
        <f>IF(_epmOfflineCondition_,0.215545869655459,IF(_xll.EVGET($B$1,$B$3,$B$5,$B$6,$B$7,$B$9,AA$16,AA$17,AA$18,$G127)="#NODATA","",_xll.EVGET($B$1,$B$3,$B$5,$B$6,$B$7,$B$9,AA$16,AA$17,AA$18,$G127)))</f>
        <v>0.21554586965545899</v>
      </c>
      <c r="AC127" s="140"/>
      <c r="AD127" s="333">
        <v>162.71588314005399</v>
      </c>
      <c r="AE127" s="335">
        <f>IF(_epmOfflineCondition_,0.186135325861353,IF(_xll.EVGET($B$1,$B$3,$B$5,$B$6,$B$7,$B$9,AD$16,AD$17,AD$18,$G127)="#NODATA","",_xll.EVGET($B$1,$B$3,$B$5,$B$6,$B$7,$B$9,AD$16,AD$17,AD$18,$G127)))</f>
        <v>0.18613532586135301</v>
      </c>
      <c r="AF127" s="336">
        <f t="shared" si="15"/>
        <v>84.563914645213231</v>
      </c>
      <c r="AG127" s="333">
        <v>169.972723511423</v>
      </c>
      <c r="AH127" s="335">
        <f>IF(_epmOfflineCondition_,0.115064580228515,IF(_xll.EVGET($B$1,$B$3,$B$5,$B$6,$B$7,$B$9,AG$16,AG$17,AG$18,$G127)="#NODATA","",_xll.EVGET($B$1,$B$3,$B$5,$B$6,$B$7,$B$9,AG$16,AG$17,AG$18,$G127)))</f>
        <v>0.115064580228515</v>
      </c>
      <c r="AI127" s="337">
        <f t="shared" si="16"/>
        <v>77.307074273844222</v>
      </c>
    </row>
    <row r="128" spans="1:35" x14ac:dyDescent="0.35">
      <c r="A128" s="11"/>
      <c r="B128" s="11"/>
      <c r="C128" s="11"/>
      <c r="D128" s="11"/>
      <c r="E128" s="11"/>
      <c r="F128" s="11"/>
      <c r="G128" s="267" t="str">
        <f t="shared" si="13"/>
        <v>OCC_PAPR</v>
      </c>
      <c r="H128" s="88" t="s">
        <v>199</v>
      </c>
      <c r="I128" s="104" t="str">
        <f>IF(_epmOfflineCondition_,"N",_xll.EVPRO($B$1,$H128,"STYLE"))</f>
        <v>N</v>
      </c>
      <c r="J128" s="104" t="str">
        <f>IF(_epmOfflineCondition_,"Y",_xll.EVPRO($B$1,$H128,"CALC"))</f>
        <v>Y</v>
      </c>
      <c r="K128" s="11"/>
      <c r="L128" s="104" t="str">
        <f>IF(_epmOfflineCondition_,"",_xll.EVPRO($B$1,H128,"JDEID"))</f>
        <v/>
      </c>
      <c r="M128" s="90" t="str">
        <f>IF(_epmOfflineCondition_,"",IF(AND(I128="N",J128="N"),_xll.EVPRO($B$1,H128,"PSFTID"),""))</f>
        <v/>
      </c>
      <c r="N128" s="104" t="str">
        <f>IF(_epmOfflineCondition_,"Package &amp; Promo (Legacy)",IF(_xll.EVDES(H128,$B$1)="#NODATA","",_xll.EVDES(H128,$B$1)))</f>
        <v>Package &amp; Promo (Legacy)</v>
      </c>
      <c r="O128" s="333"/>
      <c r="P128" s="334"/>
      <c r="Q128" s="334"/>
      <c r="R128" s="334"/>
      <c r="S128" s="334"/>
      <c r="T128" s="334"/>
      <c r="U128" s="334"/>
      <c r="V128" s="334"/>
      <c r="W128" s="334"/>
      <c r="X128" s="334"/>
      <c r="Y128" s="334"/>
      <c r="Z128" s="334"/>
      <c r="AA128" s="334">
        <f t="shared" si="14"/>
        <v>0</v>
      </c>
      <c r="AB128" s="335">
        <f>IF(_epmOfflineCondition_,0,IF(_xll.EVGET($B$1,$B$3,$B$5,$B$6,$B$7,$B$9,AA$16,AA$17,AA$18,$G128)="#NODATA","",_xll.EVGET($B$1,$B$3,$B$5,$B$6,$B$7,$B$9,AA$16,AA$17,AA$18,$G128)))</f>
        <v>0</v>
      </c>
      <c r="AC128" s="140"/>
      <c r="AD128" s="333"/>
      <c r="AE128" s="335">
        <f>IF(_epmOfflineCondition_,0,IF(_xll.EVGET($B$1,$B$3,$B$5,$B$6,$B$7,$B$9,AD$16,AD$17,AD$18,$G128)="#NODATA","",_xll.EVGET($B$1,$B$3,$B$5,$B$6,$B$7,$B$9,AD$16,AD$17,AD$18,$G128)))</f>
        <v>0</v>
      </c>
      <c r="AF128" s="336">
        <f t="shared" si="15"/>
        <v>0</v>
      </c>
      <c r="AG128" s="333"/>
      <c r="AH128" s="335">
        <f>IF(_epmOfflineCondition_,0,IF(_xll.EVGET($B$1,$B$3,$B$5,$B$6,$B$7,$B$9,AG$16,AG$17,AG$18,$G128)="#NODATA","",_xll.EVGET($B$1,$B$3,$B$5,$B$6,$B$7,$B$9,AG$16,AG$17,AG$18,$G128)))</f>
        <v>0</v>
      </c>
      <c r="AI128" s="337">
        <f t="shared" si="16"/>
        <v>0</v>
      </c>
    </row>
    <row r="129" spans="1:35" x14ac:dyDescent="0.35">
      <c r="A129" s="11"/>
      <c r="B129" s="11"/>
      <c r="C129" s="11"/>
      <c r="D129" s="11"/>
      <c r="E129" s="11"/>
      <c r="F129" s="11"/>
      <c r="G129" s="265" t="str">
        <f t="shared" si="13"/>
        <v>OCC_NEGOT</v>
      </c>
      <c r="H129" s="88" t="s">
        <v>200</v>
      </c>
      <c r="I129" s="89" t="str">
        <f>IF(_epmOfflineCondition_,"T3",_xll.EVPRO($B$1,$H129,"STYLE"))</f>
        <v>T3</v>
      </c>
      <c r="J129" s="89" t="str">
        <f>IF(_epmOfflineCondition_,"Y",_xll.EVPRO($B$1,$H129,"CALC"))</f>
        <v>Y</v>
      </c>
      <c r="K129" s="11"/>
      <c r="L129" s="106" t="str">
        <f>IF(_epmOfflineCondition_,"",_xll.EVPRO($B$1,H129,"JDEID"))</f>
        <v/>
      </c>
      <c r="M129" s="90" t="str">
        <f>IF(_epmOfflineCondition_,"",IF(AND(I129="N",J129="N"),_xll.EVPRO($B$1,H129,"PSFTID"),""))</f>
        <v/>
      </c>
      <c r="N129" s="106" t="str">
        <f>IF(_epmOfflineCondition_,"Negotiated",IF(_xll.EVDES(H129,$B$1)="#NODATA","",_xll.EVDES(H129,$B$1)))</f>
        <v>Negotiated</v>
      </c>
      <c r="O129" s="328">
        <v>147.09</v>
      </c>
      <c r="P129" s="329">
        <v>170.36744360902301</v>
      </c>
      <c r="Q129" s="329">
        <v>228.67646341463399</v>
      </c>
      <c r="R129" s="329">
        <v>236.85272727272701</v>
      </c>
      <c r="S129" s="329">
        <v>277.58175675675699</v>
      </c>
      <c r="T129" s="329">
        <v>244.94659574468099</v>
      </c>
      <c r="U129" s="329">
        <v>269.95894179894202</v>
      </c>
      <c r="V129" s="329">
        <v>200.572071005917</v>
      </c>
      <c r="W129" s="329">
        <v>171.39980198019799</v>
      </c>
      <c r="X129" s="329">
        <v>142.74099667774101</v>
      </c>
      <c r="Y129" s="329">
        <v>206.35418604651201</v>
      </c>
      <c r="Z129" s="329">
        <v>326.01495726495699</v>
      </c>
      <c r="AA129" s="329">
        <f t="shared" si="14"/>
        <v>216.13746910263296</v>
      </c>
      <c r="AB129" s="330">
        <f>IF(_epmOfflineCondition_,0.0386259858862599,IF(_xll.EVGET($B$1,$B$3,$B$5,$B$6,$B$7,$B$9,AA$16,AA$17,AA$18,$G129)="#NODATA","",_xll.EVGET($B$1,$B$3,$B$5,$B$6,$B$7,$B$9,AA$16,AA$17,AA$18,$G129)))</f>
        <v>3.86259858862599E-2</v>
      </c>
      <c r="AC129" s="140"/>
      <c r="AD129" s="328">
        <v>155.67576</v>
      </c>
      <c r="AE129" s="330">
        <f>IF(_epmOfflineCondition_,0.0129721876297219,IF(_xll.EVGET($B$1,$B$3,$B$5,$B$6,$B$7,$B$9,AD$16,AD$17,AD$18,$G129)="#NODATA","",_xll.EVGET($B$1,$B$3,$B$5,$B$6,$B$7,$B$9,AD$16,AD$17,AD$18,$G129)))</f>
        <v>1.2972187629721899E-2</v>
      </c>
      <c r="AF129" s="331">
        <f t="shared" si="15"/>
        <v>60.461709102632966</v>
      </c>
      <c r="AG129" s="328">
        <v>273.152350813743</v>
      </c>
      <c r="AH129" s="330">
        <f>IF(_epmOfflineCondition_,0.0114464315283987,IF(_xll.EVGET($B$1,$B$3,$B$5,$B$6,$B$7,$B$9,AG$16,AG$17,AG$18,$G129)="#NODATA","",_xll.EVGET($B$1,$B$3,$B$5,$B$6,$B$7,$B$9,AG$16,AG$17,AG$18,$G129)))</f>
        <v>1.14464315283987E-2</v>
      </c>
      <c r="AI129" s="332">
        <f t="shared" si="16"/>
        <v>-57.014881711110036</v>
      </c>
    </row>
    <row r="130" spans="1:35" x14ac:dyDescent="0.35">
      <c r="A130" s="11"/>
      <c r="B130" s="11"/>
      <c r="C130" s="11"/>
      <c r="D130" s="11"/>
      <c r="E130" s="11"/>
      <c r="F130" s="11"/>
      <c r="G130" s="267" t="str">
        <f t="shared" si="13"/>
        <v>OCC_CONS</v>
      </c>
      <c r="H130" s="88" t="s">
        <v>201</v>
      </c>
      <c r="I130" s="104" t="str">
        <f>IF(_epmOfflineCondition_,"N",_xll.EVPRO($B$1,$H130,"STYLE"))</f>
        <v>N</v>
      </c>
      <c r="J130" s="104" t="str">
        <f>IF(_epmOfflineCondition_,"Y",_xll.EVPRO($B$1,$H130,"CALC"))</f>
        <v>Y</v>
      </c>
      <c r="K130" s="11"/>
      <c r="L130" s="104" t="str">
        <f>IF(_epmOfflineCondition_,"",_xll.EVPRO($B$1,H130,"JDEID"))</f>
        <v/>
      </c>
      <c r="M130" s="90" t="str">
        <f>IF(_epmOfflineCondition_,"",IF(AND(I130="N",J130="N"),_xll.EVPRO($B$1,H130,"PSFTID"),""))</f>
        <v/>
      </c>
      <c r="N130" s="104" t="str">
        <f>IF(_epmOfflineCondition_,"Consortia",IF(_xll.EVDES(H130,$B$1)="#NODATA","",_xll.EVDES(H130,$B$1)))</f>
        <v>Consortia</v>
      </c>
      <c r="O130" s="333">
        <v>119.333333333333</v>
      </c>
      <c r="P130" s="334">
        <v>255.333333333333</v>
      </c>
      <c r="Q130" s="334">
        <v>266.75</v>
      </c>
      <c r="R130" s="334">
        <v>287.33333333333297</v>
      </c>
      <c r="S130" s="334">
        <v>239</v>
      </c>
      <c r="T130" s="334">
        <v>235.102</v>
      </c>
      <c r="U130" s="334"/>
      <c r="V130" s="334">
        <v>182.24666666666701</v>
      </c>
      <c r="W130" s="334">
        <v>181</v>
      </c>
      <c r="X130" s="334">
        <v>179</v>
      </c>
      <c r="Y130" s="334">
        <v>304.02785714285699</v>
      </c>
      <c r="Z130" s="334">
        <v>581.30529411764701</v>
      </c>
      <c r="AA130" s="334">
        <f t="shared" si="14"/>
        <v>313.23548780487801</v>
      </c>
      <c r="AB130" s="335">
        <f>IF(_epmOfflineCondition_,0.00170195101701951,IF(_xll.EVGET($B$1,$B$3,$B$5,$B$6,$B$7,$B$9,AA$16,AA$17,AA$18,$G130)="#NODATA","",_xll.EVGET($B$1,$B$3,$B$5,$B$6,$B$7,$B$9,AA$16,AA$17,AA$18,$G130)))</f>
        <v>1.7019510170195101E-3</v>
      </c>
      <c r="AC130" s="140"/>
      <c r="AD130" s="333">
        <v>200.30600000000001</v>
      </c>
      <c r="AE130" s="335">
        <f>IF(_epmOfflineCondition_,0.00197177251971773,IF(_xll.EVGET($B$1,$B$3,$B$5,$B$6,$B$7,$B$9,AD$16,AD$17,AD$18,$G130)="#NODATA","",_xll.EVGET($B$1,$B$3,$B$5,$B$6,$B$7,$B$9,AD$16,AD$17,AD$18,$G130)))</f>
        <v>1.9717725197177299E-3</v>
      </c>
      <c r="AF130" s="336">
        <f t="shared" si="15"/>
        <v>112.92948780487799</v>
      </c>
      <c r="AG130" s="333">
        <v>341.048505747126</v>
      </c>
      <c r="AH130" s="335">
        <f>IF(_epmOfflineCondition_,0.00180079483358172,IF(_xll.EVGET($B$1,$B$3,$B$5,$B$6,$B$7,$B$9,AG$16,AG$17,AG$18,$G130)="#NODATA","",_xll.EVGET($B$1,$B$3,$B$5,$B$6,$B$7,$B$9,AG$16,AG$17,AG$18,$G130)))</f>
        <v>1.80079483358172E-3</v>
      </c>
      <c r="AI130" s="337">
        <f t="shared" si="16"/>
        <v>-27.813017942247996</v>
      </c>
    </row>
    <row r="131" spans="1:35" x14ac:dyDescent="0.35">
      <c r="A131" s="11"/>
      <c r="B131" s="11"/>
      <c r="C131" s="11"/>
      <c r="D131" s="11"/>
      <c r="E131" s="11"/>
      <c r="F131" s="11"/>
      <c r="G131" s="267" t="str">
        <f t="shared" si="13"/>
        <v>OCC_NNEG</v>
      </c>
      <c r="H131" s="88" t="s">
        <v>202</v>
      </c>
      <c r="I131" s="104" t="str">
        <f>IF(_epmOfflineCondition_,"N",_xll.EVPRO($B$1,$H131,"STYLE"))</f>
        <v>N</v>
      </c>
      <c r="J131" s="104" t="str">
        <f>IF(_epmOfflineCondition_,"Y",_xll.EVPRO($B$1,$H131,"CALC"))</f>
        <v>Y</v>
      </c>
      <c r="K131" s="11"/>
      <c r="L131" s="104" t="str">
        <f>IF(_epmOfflineCondition_,"",_xll.EVPRO($B$1,H131,"JDEID"))</f>
        <v/>
      </c>
      <c r="M131" s="90" t="str">
        <f>IF(_epmOfflineCondition_,"",IF(AND(I131="N",J131="N"),_xll.EVPRO($B$1,H131,"PSFTID"),""))</f>
        <v/>
      </c>
      <c r="N131" s="104" t="str">
        <f>IF(_epmOfflineCondition_,"National Negotiated",IF(_xll.EVDES(H131,$B$1)="#NODATA","",_xll.EVDES(H131,$B$1)))</f>
        <v>National Negotiated</v>
      </c>
      <c r="O131" s="333">
        <v>145.833333333333</v>
      </c>
      <c r="P131" s="334">
        <v>196.982857142857</v>
      </c>
      <c r="Q131" s="334">
        <v>288.78625</v>
      </c>
      <c r="R131" s="334">
        <v>275.07549999999998</v>
      </c>
      <c r="S131" s="334">
        <v>281.87413793103502</v>
      </c>
      <c r="T131" s="334">
        <v>224.78200000000001</v>
      </c>
      <c r="U131" s="334">
        <v>297.30371428571402</v>
      </c>
      <c r="V131" s="334">
        <v>229.28325000000001</v>
      </c>
      <c r="W131" s="334">
        <v>217.899333333333</v>
      </c>
      <c r="X131" s="334">
        <v>198.356744186047</v>
      </c>
      <c r="Y131" s="334">
        <v>248.026538461538</v>
      </c>
      <c r="Z131" s="334">
        <v>319.99560606060601</v>
      </c>
      <c r="AA131" s="334">
        <f t="shared" si="14"/>
        <v>262.2620588235294</v>
      </c>
      <c r="AB131" s="335">
        <f>IF(_epmOfflineCondition_,0.0105853051058531,IF(_xll.EVGET($B$1,$B$3,$B$5,$B$6,$B$7,$B$9,AA$16,AA$17,AA$18,$G131)="#NODATA","",_xll.EVGET($B$1,$B$3,$B$5,$B$6,$B$7,$B$9,AA$16,AA$17,AA$18,$G131)))</f>
        <v>1.05853051058531E-2</v>
      </c>
      <c r="AC131" s="140"/>
      <c r="AD131" s="333">
        <v>153.08447432762799</v>
      </c>
      <c r="AE131" s="335">
        <f>IF(_epmOfflineCondition_,0.00848899958489,IF(_xll.EVGET($B$1,$B$3,$B$5,$B$6,$B$7,$B$9,AD$16,AD$17,AD$18,$G131)="#NODATA","",_xll.EVGET($B$1,$B$3,$B$5,$B$6,$B$7,$B$9,AD$16,AD$17,AD$18,$G131)))</f>
        <v>8.4889995848899998E-3</v>
      </c>
      <c r="AF131" s="336">
        <f t="shared" si="15"/>
        <v>109.17758449590141</v>
      </c>
      <c r="AG131" s="333">
        <v>263.73217090069301</v>
      </c>
      <c r="AH131" s="335">
        <f>IF(_epmOfflineCondition_,0.00896257658552741,IF(_xll.EVGET($B$1,$B$3,$B$5,$B$6,$B$7,$B$9,AG$16,AG$17,AG$18,$G131)="#NODATA","",_xll.EVGET($B$1,$B$3,$B$5,$B$6,$B$7,$B$9,AG$16,AG$17,AG$18,$G131)))</f>
        <v>8.9625765855274094E-3</v>
      </c>
      <c r="AI131" s="337">
        <f t="shared" si="16"/>
        <v>-1.4701120771636056</v>
      </c>
    </row>
    <row r="132" spans="1:35" x14ac:dyDescent="0.35">
      <c r="A132" s="11"/>
      <c r="B132" s="11"/>
      <c r="C132" s="11"/>
      <c r="D132" s="11"/>
      <c r="E132" s="11"/>
      <c r="F132" s="11"/>
      <c r="G132" s="267" t="str">
        <f t="shared" si="13"/>
        <v>OCC_LNEG</v>
      </c>
      <c r="H132" s="88" t="s">
        <v>203</v>
      </c>
      <c r="I132" s="104" t="str">
        <f>IF(_epmOfflineCondition_,"N",_xll.EVPRO($B$1,$H132,"STYLE"))</f>
        <v>N</v>
      </c>
      <c r="J132" s="104" t="str">
        <f>IF(_epmOfflineCondition_,"Y",_xll.EVPRO($B$1,$H132,"CALC"))</f>
        <v>Y</v>
      </c>
      <c r="K132" s="11"/>
      <c r="L132" s="104" t="str">
        <f>IF(_epmOfflineCondition_,"",_xll.EVPRO($B$1,H132,"JDEID"))</f>
        <v/>
      </c>
      <c r="M132" s="90" t="str">
        <f>IF(_epmOfflineCondition_,"",IF(AND(I132="N",J132="N"),_xll.EVPRO($B$1,H132,"PSFTID"),""))</f>
        <v/>
      </c>
      <c r="N132" s="104" t="str">
        <f>IF(_epmOfflineCondition_,"Local Negotiated",IF(_xll.EVDES(H132,$B$1)="#NODATA","",_xll.EVDES(H132,$B$1)))</f>
        <v>Local Negotiated</v>
      </c>
      <c r="O132" s="333">
        <v>150.71666666666701</v>
      </c>
      <c r="P132" s="334">
        <v>159.78938596491199</v>
      </c>
      <c r="Q132" s="334">
        <v>199.14074074074099</v>
      </c>
      <c r="R132" s="334">
        <v>202.290566037736</v>
      </c>
      <c r="S132" s="334">
        <v>280.325641025641</v>
      </c>
      <c r="T132" s="334">
        <v>257.972222222222</v>
      </c>
      <c r="U132" s="334">
        <v>235.77797619047601</v>
      </c>
      <c r="V132" s="334">
        <v>192.37608333333301</v>
      </c>
      <c r="W132" s="334">
        <v>150.68467153284701</v>
      </c>
      <c r="X132" s="334">
        <v>133.29455252918299</v>
      </c>
      <c r="Y132" s="334">
        <v>184.25909090909099</v>
      </c>
      <c r="Z132" s="334">
        <v>299.90463576158902</v>
      </c>
      <c r="AA132" s="334">
        <f t="shared" si="14"/>
        <v>191.32613869188336</v>
      </c>
      <c r="AB132" s="335">
        <f>IF(_epmOfflineCondition_,0.0263387297633873,IF(_xll.EVGET($B$1,$B$3,$B$5,$B$6,$B$7,$B$9,AA$16,AA$17,AA$18,$G132)="#NODATA","",_xll.EVGET($B$1,$B$3,$B$5,$B$6,$B$7,$B$9,AA$16,AA$17,AA$18,$G132)))</f>
        <v>2.63387297633873E-2</v>
      </c>
      <c r="AC132" s="140"/>
      <c r="AD132" s="333">
        <v>129.394462809917</v>
      </c>
      <c r="AE132" s="335">
        <f>IF(_epmOfflineCondition_,0.00251141552511416,IF(_xll.EVGET($B$1,$B$3,$B$5,$B$6,$B$7,$B$9,AD$16,AD$17,AD$18,$G132)="#NODATA","",_xll.EVGET($B$1,$B$3,$B$5,$B$6,$B$7,$B$9,AD$16,AD$17,AD$18,$G132)))</f>
        <v>2.51141552511416E-3</v>
      </c>
      <c r="AF132" s="336">
        <f t="shared" si="15"/>
        <v>61.931675881966356</v>
      </c>
      <c r="AG132" s="333">
        <v>217.75757575757601</v>
      </c>
      <c r="AH132" s="335">
        <f>IF(_epmOfflineCondition_,0.000683060109289617,IF(_xll.EVGET($B$1,$B$3,$B$5,$B$6,$B$7,$B$9,AG$16,AG$17,AG$18,$G132)="#NODATA","",_xll.EVGET($B$1,$B$3,$B$5,$B$6,$B$7,$B$9,AG$16,AG$17,AG$18,$G132)))</f>
        <v>6.8306010928961705E-4</v>
      </c>
      <c r="AI132" s="337">
        <f t="shared" si="16"/>
        <v>-26.431437065692649</v>
      </c>
    </row>
    <row r="133" spans="1:35" x14ac:dyDescent="0.35">
      <c r="A133" s="11"/>
      <c r="B133" s="11"/>
      <c r="C133" s="11"/>
      <c r="D133" s="11"/>
      <c r="E133" s="11"/>
      <c r="F133" s="11"/>
      <c r="G133" s="265" t="str">
        <f t="shared" si="13"/>
        <v>OCC_QUALF</v>
      </c>
      <c r="H133" s="88" t="s">
        <v>204</v>
      </c>
      <c r="I133" s="89" t="str">
        <f>IF(_epmOfflineCondition_,"T3",_xll.EVPRO($B$1,$H133,"STYLE"))</f>
        <v>T3</v>
      </c>
      <c r="J133" s="89" t="str">
        <f>IF(_epmOfflineCondition_,"Y",_xll.EVPRO($B$1,$H133,"CALC"))</f>
        <v>Y</v>
      </c>
      <c r="K133" s="11"/>
      <c r="L133" s="106" t="str">
        <f>IF(_epmOfflineCondition_,"",_xll.EVPRO($B$1,H133,"JDEID"))</f>
        <v/>
      </c>
      <c r="M133" s="90" t="str">
        <f>IF(_epmOfflineCondition_,"",IF(AND(I133="N",J133="N"),_xll.EVPRO($B$1,H133,"PSFTID"),""))</f>
        <v/>
      </c>
      <c r="N133" s="106" t="str">
        <f>IF(_epmOfflineCondition_,"Qualified",IF(_xll.EVDES(H133,$B$1)="#NODATA","",_xll.EVDES(H133,$B$1)))</f>
        <v>Qualified</v>
      </c>
      <c r="O133" s="328">
        <v>131.786363636364</v>
      </c>
      <c r="P133" s="329">
        <v>140.32</v>
      </c>
      <c r="Q133" s="329">
        <v>199.98271276595699</v>
      </c>
      <c r="R133" s="329">
        <v>168.12551020408199</v>
      </c>
      <c r="S133" s="329">
        <v>199.99227611940299</v>
      </c>
      <c r="T133" s="329">
        <v>171.768181818182</v>
      </c>
      <c r="U133" s="329">
        <v>161.31809815950899</v>
      </c>
      <c r="V133" s="329">
        <v>121.706728971963</v>
      </c>
      <c r="W133" s="329">
        <v>155.06352459016401</v>
      </c>
      <c r="X133" s="329">
        <v>166.595798319328</v>
      </c>
      <c r="Y133" s="329">
        <v>195.07391812865501</v>
      </c>
      <c r="Z133" s="329">
        <v>238.615517241379</v>
      </c>
      <c r="AA133" s="329">
        <f t="shared" si="14"/>
        <v>174.62257575757576</v>
      </c>
      <c r="AB133" s="330">
        <f>IF(_epmOfflineCondition_,0.0356164383561644,IF(_xll.EVGET($B$1,$B$3,$B$5,$B$6,$B$7,$B$9,AA$16,AA$17,AA$18,$G133)="#NODATA","",_xll.EVGET($B$1,$B$3,$B$5,$B$6,$B$7,$B$9,AA$16,AA$17,AA$18,$G133)))</f>
        <v>3.5616438356164397E-2</v>
      </c>
      <c r="AC133" s="140"/>
      <c r="AD133" s="328">
        <v>165.80537366548</v>
      </c>
      <c r="AE133" s="330">
        <f>IF(_epmOfflineCondition_,0.0466583644665836,IF(_xll.EVGET($B$1,$B$3,$B$5,$B$6,$B$7,$B$9,AD$16,AD$17,AD$18,$G133)="#NODATA","",_xll.EVGET($B$1,$B$3,$B$5,$B$6,$B$7,$B$9,AD$16,AD$17,AD$18,$G133)))</f>
        <v>4.6658364466583599E-2</v>
      </c>
      <c r="AF133" s="331">
        <f t="shared" si="15"/>
        <v>8.817202092095755</v>
      </c>
      <c r="AG133" s="328">
        <v>172.04006128702801</v>
      </c>
      <c r="AH133" s="330">
        <f>IF(_epmOfflineCondition_,0.020264116575592,IF(_xll.EVGET($B$1,$B$3,$B$5,$B$6,$B$7,$B$9,AG$16,AG$17,AG$18,$G133)="#NODATA","",_xll.EVGET($B$1,$B$3,$B$5,$B$6,$B$7,$B$9,AG$16,AG$17,AG$18,$G133)))</f>
        <v>2.0264116575592E-2</v>
      </c>
      <c r="AI133" s="332">
        <f t="shared" si="16"/>
        <v>2.5825144705477499</v>
      </c>
    </row>
    <row r="134" spans="1:35" x14ac:dyDescent="0.35">
      <c r="A134" s="11"/>
      <c r="B134" s="11"/>
      <c r="C134" s="11"/>
      <c r="D134" s="11"/>
      <c r="E134" s="11"/>
      <c r="F134" s="11"/>
      <c r="G134" s="267" t="str">
        <f t="shared" si="13"/>
        <v>OCC_QUDI</v>
      </c>
      <c r="H134" s="88" t="s">
        <v>205</v>
      </c>
      <c r="I134" s="104" t="str">
        <f>IF(_epmOfflineCondition_,"N",_xll.EVPRO($B$1,$H134,"STYLE"))</f>
        <v>N</v>
      </c>
      <c r="J134" s="104" t="str">
        <f>IF(_epmOfflineCondition_,"Y",_xll.EVPRO($B$1,$H134,"CALC"))</f>
        <v>Y</v>
      </c>
      <c r="K134" s="11"/>
      <c r="L134" s="104" t="str">
        <f>IF(_epmOfflineCondition_,"",_xll.EVPRO($B$1,H134,"JDEID"))</f>
        <v/>
      </c>
      <c r="M134" s="90" t="str">
        <f>IF(_epmOfflineCondition_,"",IF(AND(I134="N",J134="N"),_xll.EVPRO($B$1,H134,"PSFTID"),""))</f>
        <v/>
      </c>
      <c r="N134" s="104" t="str">
        <f>IF(_epmOfflineCondition_,"Qualified",IF(_xll.EVDES(H134,$B$1)="#NODATA","",_xll.EVDES(H134,$B$1)))</f>
        <v>Qualified</v>
      </c>
      <c r="O134" s="333">
        <v>130.386046511628</v>
      </c>
      <c r="P134" s="334">
        <v>121.527272727273</v>
      </c>
      <c r="Q134" s="334">
        <v>202.56866197183101</v>
      </c>
      <c r="R134" s="334">
        <v>185.24117647058799</v>
      </c>
      <c r="S134" s="334">
        <v>256.33277777777801</v>
      </c>
      <c r="T134" s="334">
        <v>224.74090909090901</v>
      </c>
      <c r="U134" s="334">
        <v>187.706770833333</v>
      </c>
      <c r="V134" s="334">
        <v>117.42</v>
      </c>
      <c r="W134" s="334">
        <v>163.43831168831201</v>
      </c>
      <c r="X134" s="334">
        <v>165.19874999999999</v>
      </c>
      <c r="Y134" s="334">
        <v>213.68428571428601</v>
      </c>
      <c r="Z134" s="334">
        <v>238.615517241379</v>
      </c>
      <c r="AA134" s="334">
        <f t="shared" si="14"/>
        <v>191.27830223880594</v>
      </c>
      <c r="AB134" s="335">
        <f>IF(_epmOfflineCondition_,0.022249896222499,IF(_xll.EVGET($B$1,$B$3,$B$5,$B$6,$B$7,$B$9,AA$16,AA$17,AA$18,$G134)="#NODATA","",_xll.EVGET($B$1,$B$3,$B$5,$B$6,$B$7,$B$9,AA$16,AA$17,AA$18,$G134)))</f>
        <v>2.2249896222499E-2</v>
      </c>
      <c r="AC134" s="140"/>
      <c r="AD134" s="333">
        <v>168.24199999999999</v>
      </c>
      <c r="AE134" s="335">
        <f>IF(_epmOfflineCondition_,0.0402656704026567,IF(_xll.EVGET($B$1,$B$3,$B$5,$B$6,$B$7,$B$9,AD$16,AD$17,AD$18,$G134)="#NODATA","",_xll.EVGET($B$1,$B$3,$B$5,$B$6,$B$7,$B$9,AD$16,AD$17,AD$18,$G134)))</f>
        <v>4.0265670402656703E-2</v>
      </c>
      <c r="AF134" s="336">
        <f t="shared" si="15"/>
        <v>23.036302238805945</v>
      </c>
      <c r="AG134" s="333">
        <v>161.198269794721</v>
      </c>
      <c r="AH134" s="335">
        <f>IF(_epmOfflineCondition_,0.0141165755919854,IF(_xll.EVGET($B$1,$B$3,$B$5,$B$6,$B$7,$B$9,AG$16,AG$17,AG$18,$G134)="#NODATA","",_xll.EVGET($B$1,$B$3,$B$5,$B$6,$B$7,$B$9,AG$16,AG$17,AG$18,$G134)))</f>
        <v>1.4116575591985399E-2</v>
      </c>
      <c r="AI134" s="337">
        <f t="shared" si="16"/>
        <v>30.080032444084935</v>
      </c>
    </row>
    <row r="135" spans="1:35" x14ac:dyDescent="0.35">
      <c r="A135" s="11"/>
      <c r="B135" s="11"/>
      <c r="C135" s="11"/>
      <c r="D135" s="11"/>
      <c r="E135" s="11"/>
      <c r="F135" s="11"/>
      <c r="G135" s="267" t="str">
        <f t="shared" si="13"/>
        <v>OCC_TGOV</v>
      </c>
      <c r="H135" s="88" t="s">
        <v>206</v>
      </c>
      <c r="I135" s="104" t="str">
        <f>IF(_epmOfflineCondition_,"N",_xll.EVPRO($B$1,$H135,"STYLE"))</f>
        <v>N</v>
      </c>
      <c r="J135" s="104" t="str">
        <f>IF(_epmOfflineCondition_,"Y",_xll.EVPRO($B$1,$H135,"CALC"))</f>
        <v>Y</v>
      </c>
      <c r="K135" s="11"/>
      <c r="L135" s="104" t="str">
        <f>IF(_epmOfflineCondition_,"",_xll.EVPRO($B$1,H135,"JDEID"))</f>
        <v/>
      </c>
      <c r="M135" s="90" t="str">
        <f>IF(_epmOfflineCondition_,"",IF(AND(I135="N",J135="N"),_xll.EVPRO($B$1,H135,"PSFTID"),""))</f>
        <v/>
      </c>
      <c r="N135" s="104" t="str">
        <f>IF(_epmOfflineCondition_,"Government",IF(_xll.EVDES(H135,$B$1)="#NODATA","",_xll.EVDES(H135,$B$1)))</f>
        <v>Government</v>
      </c>
      <c r="O135" s="333">
        <v>192</v>
      </c>
      <c r="P135" s="334">
        <v>192</v>
      </c>
      <c r="Q135" s="334">
        <v>192</v>
      </c>
      <c r="R135" s="334">
        <v>149.55319148936201</v>
      </c>
      <c r="S135" s="334">
        <v>150</v>
      </c>
      <c r="T135" s="334">
        <v>118.795454545455</v>
      </c>
      <c r="U135" s="334">
        <v>123.507462686567</v>
      </c>
      <c r="V135" s="334">
        <v>127.39130434782599</v>
      </c>
      <c r="W135" s="334">
        <v>140.73333333333301</v>
      </c>
      <c r="X135" s="334">
        <v>169.461538461538</v>
      </c>
      <c r="Y135" s="334">
        <v>159.74576271186399</v>
      </c>
      <c r="Z135" s="334"/>
      <c r="AA135" s="334">
        <f t="shared" si="14"/>
        <v>146.8975155279503</v>
      </c>
      <c r="AB135" s="335">
        <f>IF(_epmOfflineCondition_,0.0133665421336654,IF(_xll.EVGET($B$1,$B$3,$B$5,$B$6,$B$7,$B$9,AA$16,AA$17,AA$18,$G135)="#NODATA","",_xll.EVGET($B$1,$B$3,$B$5,$B$6,$B$7,$B$9,AA$16,AA$17,AA$18,$G135)))</f>
        <v>1.33665421336654E-2</v>
      </c>
      <c r="AC135" s="140"/>
      <c r="AD135" s="333">
        <v>150.45779220779201</v>
      </c>
      <c r="AE135" s="335">
        <f>IF(_epmOfflineCondition_,0.00639269406392694,IF(_xll.EVGET($B$1,$B$3,$B$5,$B$6,$B$7,$B$9,AD$16,AD$17,AD$18,$G135)="#NODATA","",_xll.EVGET($B$1,$B$3,$B$5,$B$6,$B$7,$B$9,AD$16,AD$17,AD$18,$G135)))</f>
        <v>6.3926940639269401E-3</v>
      </c>
      <c r="AF135" s="336">
        <f t="shared" si="15"/>
        <v>-3.5602766798417065</v>
      </c>
      <c r="AG135" s="333">
        <v>196.93602693602699</v>
      </c>
      <c r="AH135" s="335">
        <f>IF(_epmOfflineCondition_,0.00614754098360656,IF(_xll.EVGET($B$1,$B$3,$B$5,$B$6,$B$7,$B$9,AG$16,AG$17,AG$18,$G135)="#NODATA","",_xll.EVGET($B$1,$B$3,$B$5,$B$6,$B$7,$B$9,AG$16,AG$17,AG$18,$G135)))</f>
        <v>6.1475409836065599E-3</v>
      </c>
      <c r="AI135" s="337">
        <f t="shared" si="16"/>
        <v>-50.038511408076687</v>
      </c>
    </row>
    <row r="136" spans="1:35" x14ac:dyDescent="0.35">
      <c r="A136" s="11"/>
      <c r="B136" s="11"/>
      <c r="C136" s="11"/>
      <c r="D136" s="11"/>
      <c r="E136" s="11"/>
      <c r="F136" s="11"/>
      <c r="G136" s="265" t="str">
        <f t="shared" si="13"/>
        <v>OCC_WHOL</v>
      </c>
      <c r="H136" s="88" t="s">
        <v>207</v>
      </c>
      <c r="I136" s="89" t="str">
        <f>IF(_epmOfflineCondition_,"T3",_xll.EVPRO($B$1,$H136,"STYLE"))</f>
        <v>T3</v>
      </c>
      <c r="J136" s="89" t="str">
        <f>IF(_epmOfflineCondition_,"Y",_xll.EVPRO($B$1,$H136,"CALC"))</f>
        <v>Y</v>
      </c>
      <c r="K136" s="11"/>
      <c r="L136" s="106" t="str">
        <f>IF(_epmOfflineCondition_,"",_xll.EVPRO($B$1,H136,"JDEID"))</f>
        <v/>
      </c>
      <c r="M136" s="90" t="str">
        <f>IF(_epmOfflineCondition_,"",IF(AND(I136="N",J136="N"),_xll.EVPRO($B$1,H136,"PSFTID"),""))</f>
        <v/>
      </c>
      <c r="N136" s="106" t="str">
        <f>IF(_epmOfflineCondition_,"Wholesale",IF(_xll.EVDES(H136,$B$1)="#NODATA","",_xll.EVDES(H136,$B$1)))</f>
        <v>Wholesale</v>
      </c>
      <c r="O136" s="338">
        <v>104.523148148148</v>
      </c>
      <c r="P136" s="339">
        <v>151.13852173913</v>
      </c>
      <c r="Q136" s="339">
        <v>167.67344339622599</v>
      </c>
      <c r="R136" s="339">
        <v>156.284263157895</v>
      </c>
      <c r="S136" s="339">
        <v>202.39877049180299</v>
      </c>
      <c r="T136" s="339">
        <v>140.30321243523301</v>
      </c>
      <c r="U136" s="339">
        <v>211.85935185185201</v>
      </c>
      <c r="V136" s="339">
        <v>140.44196078431401</v>
      </c>
      <c r="W136" s="339">
        <v>200.034545454545</v>
      </c>
      <c r="X136" s="339">
        <v>201.44235294117601</v>
      </c>
      <c r="Y136" s="339">
        <v>219.78843373494001</v>
      </c>
      <c r="Z136" s="339">
        <v>339.94154285714302</v>
      </c>
      <c r="AA136" s="339">
        <f t="shared" si="14"/>
        <v>181.80770819883796</v>
      </c>
      <c r="AB136" s="340">
        <f>IF(_epmOfflineCondition_,0.0321502698215027,IF(_xll.EVGET($B$1,$B$3,$B$5,$B$6,$B$7,$B$9,AA$16,AA$17,AA$18,$G136)="#NODATA","",_xll.EVGET($B$1,$B$3,$B$5,$B$6,$B$7,$B$9,AA$16,AA$17,AA$18,$G136)))</f>
        <v>3.2150269821502701E-2</v>
      </c>
      <c r="AC136" s="140"/>
      <c r="AD136" s="338">
        <v>94.559471960704002</v>
      </c>
      <c r="AE136" s="340">
        <f>IF(_epmOfflineCondition_,0.0507056870070569,IF(_xll.EVGET($B$1,$B$3,$B$5,$B$6,$B$7,$B$9,AD$16,AD$17,AD$18,$G136)="#NODATA","",_xll.EVGET($B$1,$B$3,$B$5,$B$6,$B$7,$B$9,AD$16,AD$17,AD$18,$G136)))</f>
        <v>5.0705687007056903E-2</v>
      </c>
      <c r="AF136" s="341">
        <f t="shared" si="15"/>
        <v>87.248236238133956</v>
      </c>
      <c r="AG136" s="338">
        <v>174.318988391376</v>
      </c>
      <c r="AH136" s="340">
        <f>IF(_epmOfflineCondition_,0.0124813710879285,IF(_xll.EVGET($B$1,$B$3,$B$5,$B$6,$B$7,$B$9,AG$16,AG$17,AG$18,$G136)="#NODATA","",_xll.EVGET($B$1,$B$3,$B$5,$B$6,$B$7,$B$9,AG$16,AG$17,AG$18,$G136)))</f>
        <v>1.2481371087928499E-2</v>
      </c>
      <c r="AI136" s="342">
        <f t="shared" si="16"/>
        <v>7.4887198074619619</v>
      </c>
    </row>
    <row r="137" spans="1:35" x14ac:dyDescent="0.35">
      <c r="A137" s="11"/>
      <c r="B137" s="11"/>
      <c r="C137" s="11"/>
      <c r="D137" s="11"/>
      <c r="E137" s="11"/>
      <c r="F137" s="11"/>
      <c r="G137" s="265" t="str">
        <f t="shared" si="13"/>
        <v>OCC_INDT</v>
      </c>
      <c r="H137" s="88" t="s">
        <v>177</v>
      </c>
      <c r="I137" s="89" t="str">
        <f>IF(_epmOfflineCondition_,"T2",_xll.EVPRO($B$1,$H137,"STYLE"))</f>
        <v>T2</v>
      </c>
      <c r="J137" s="89" t="str">
        <f>IF(_epmOfflineCondition_,"Y",_xll.EVPRO($B$1,$H137,"CALC"))</f>
        <v>Y</v>
      </c>
      <c r="K137" s="11"/>
      <c r="L137" s="106" t="str">
        <f>IF(_epmOfflineCondition_,"",_xll.EVPRO($B$1,H137,"JDEID"))</f>
        <v/>
      </c>
      <c r="M137" s="90" t="str">
        <f>IF(_epmOfflineCondition_,"",IF(AND(I137="N",J137="N"),_xll.EVPRO($B$1,H137,"PSFTID"),""))</f>
        <v/>
      </c>
      <c r="N137" s="106" t="str">
        <f>IF(_epmOfflineCondition_,"Total Transient ADR",IF(_xll.EVDES(H137,$B$1)="#NODATA","",_xll.EVDES(H137,$B$1)))</f>
        <v>Total Transient ADR</v>
      </c>
      <c r="O137" s="343">
        <v>164.72045997088799</v>
      </c>
      <c r="P137" s="344">
        <v>201.88793375873601</v>
      </c>
      <c r="Q137" s="344">
        <v>235.17424525708</v>
      </c>
      <c r="R137" s="344">
        <v>243.92002462296099</v>
      </c>
      <c r="S137" s="344">
        <v>270.212089068826</v>
      </c>
      <c r="T137" s="344">
        <v>227.38551792266401</v>
      </c>
      <c r="U137" s="344">
        <v>266.87804055983997</v>
      </c>
      <c r="V137" s="344">
        <v>205.34780155641999</v>
      </c>
      <c r="W137" s="344">
        <v>182.55439999999999</v>
      </c>
      <c r="X137" s="344">
        <v>183.79041924398601</v>
      </c>
      <c r="Y137" s="344">
        <v>228.88950347567001</v>
      </c>
      <c r="Z137" s="344">
        <v>334.56526594263403</v>
      </c>
      <c r="AA137" s="344">
        <f t="shared" si="14"/>
        <v>232.1302378124355</v>
      </c>
      <c r="AB137" s="345">
        <f>IF(_epmOfflineCondition_,0.80381901203819,IF(_xll.EVGET($B$1,$B$3,$B$5,$B$6,$B$7,$B$9,AA$16,AA$17,AA$18,$G137)="#NODATA","",_xll.EVGET($B$1,$B$3,$B$5,$B$6,$B$7,$B$9,AA$16,AA$17,AA$18,$G137)))</f>
        <v>0.80381901203818995</v>
      </c>
      <c r="AC137" s="140"/>
      <c r="AD137" s="343">
        <v>158.69329722391501</v>
      </c>
      <c r="AE137" s="345">
        <f>IF(_epmOfflineCondition_,0.74914902449149,IF(_xll.EVGET($B$1,$B$3,$B$5,$B$6,$B$7,$B$9,AD$16,AD$17,AD$18,$G137)="#NODATA","",_xll.EVGET($B$1,$B$3,$B$5,$B$6,$B$7,$B$9,AD$16,AD$17,AD$18,$G137)))</f>
        <v>0.74914902449149001</v>
      </c>
      <c r="AF137" s="346">
        <f t="shared" si="15"/>
        <v>73.436940588520486</v>
      </c>
      <c r="AG137" s="343">
        <v>187.436924682745</v>
      </c>
      <c r="AH137" s="345">
        <f>IF(_epmOfflineCondition_,0.376780096042391,IF(_xll.EVGET($B$1,$B$3,$B$5,$B$6,$B$7,$B$9,AG$16,AG$17,AG$18,$G137)="#NODATA","",_xll.EVGET($B$1,$B$3,$B$5,$B$6,$B$7,$B$9,AG$16,AG$17,AG$18,$G137)))</f>
        <v>0.37678009604239099</v>
      </c>
      <c r="AI137" s="347">
        <f t="shared" si="16"/>
        <v>44.693313129690495</v>
      </c>
    </row>
    <row r="138" spans="1:35" x14ac:dyDescent="0.35">
      <c r="A138" s="11"/>
      <c r="B138" s="11"/>
      <c r="C138" s="11"/>
      <c r="D138" s="11"/>
      <c r="E138" s="11"/>
      <c r="F138" s="11"/>
      <c r="G138" s="267" t="str">
        <f t="shared" si="13"/>
        <v>OCCNKROW</v>
      </c>
      <c r="H138" s="88" t="s">
        <v>175</v>
      </c>
      <c r="I138" s="104" t="str">
        <f>IF(_epmOfflineCondition_,"B1",_xll.EVPRO($B$1,$H138,"STYLE"))</f>
        <v>B1</v>
      </c>
      <c r="J138" s="104" t="str">
        <f>IF(_epmOfflineCondition_,"Y",_xll.EVPRO($B$1,$H138,"CALC"))</f>
        <v>Y</v>
      </c>
      <c r="K138" s="11"/>
      <c r="L138" s="104" t="str">
        <f>IF(_epmOfflineCondition_,"",_xll.EVPRO($B$1,H138,"JDEID"))</f>
        <v/>
      </c>
      <c r="M138" s="90" t="str">
        <f>IF(_epmOfflineCondition_,"",IF(AND(I138="N",J138="N"),_xll.EVPRO($B$1,H138,"PSFTID"),""))</f>
        <v/>
      </c>
      <c r="N138" s="104" t="str">
        <f>IF(_epmOfflineCondition_,"BLANKROW",IF(_xll.EVDES(H138,$B$1)="#NODATA","",_xll.EVDES(H138,$B$1)))</f>
        <v>BLANKROW</v>
      </c>
      <c r="O138" s="348"/>
      <c r="P138" s="349"/>
      <c r="Q138" s="349"/>
      <c r="R138" s="349"/>
      <c r="S138" s="349"/>
      <c r="T138" s="349"/>
      <c r="U138" s="349"/>
      <c r="V138" s="349"/>
      <c r="W138" s="349"/>
      <c r="X138" s="349"/>
      <c r="Y138" s="349"/>
      <c r="Z138" s="349"/>
      <c r="AA138" s="349">
        <f t="shared" si="14"/>
        <v>0</v>
      </c>
      <c r="AB138" s="350" t="str">
        <f>IF(_epmOfflineCondition_,"",IF(_xll.EVGET($B$1,$B$3,$B$5,$B$6,$B$7,$B$9,AA$16,AA$17,AA$18,$G138)="#NODATA","",_xll.EVGET($B$1,$B$3,$B$5,$B$6,$B$7,$B$9,AA$16,AA$17,AA$18,$G138)))</f>
        <v/>
      </c>
      <c r="AC138" s="140"/>
      <c r="AD138" s="348"/>
      <c r="AE138" s="350" t="str">
        <f>IF(_epmOfflineCondition_,"",IF(_xll.EVGET($B$1,$B$3,$B$5,$B$6,$B$7,$B$9,AD$16,AD$17,AD$18,$G138)="#NODATA","",_xll.EVGET($B$1,$B$3,$B$5,$B$6,$B$7,$B$9,AD$16,AD$17,AD$18,$G138)))</f>
        <v/>
      </c>
      <c r="AF138" s="351">
        <f t="shared" si="15"/>
        <v>0</v>
      </c>
      <c r="AG138" s="348"/>
      <c r="AH138" s="350" t="str">
        <f>IF(_epmOfflineCondition_,"",IF(_xll.EVGET($B$1,$B$3,$B$5,$B$6,$B$7,$B$9,AG$16,AG$17,AG$18,$G138)="#NODATA","",_xll.EVGET($B$1,$B$3,$B$5,$B$6,$B$7,$B$9,AG$16,AG$17,AG$18,$G138)))</f>
        <v/>
      </c>
      <c r="AI138" s="352">
        <f t="shared" si="16"/>
        <v>0</v>
      </c>
    </row>
    <row r="139" spans="1:35" x14ac:dyDescent="0.35">
      <c r="A139" s="11"/>
      <c r="B139" s="11"/>
      <c r="C139" s="11"/>
      <c r="D139" s="11"/>
      <c r="E139" s="11"/>
      <c r="F139" s="11"/>
      <c r="G139" s="265" t="str">
        <f t="shared" si="13"/>
        <v>OCC_CORPT</v>
      </c>
      <c r="H139" s="88" t="s">
        <v>179</v>
      </c>
      <c r="I139" s="89" t="str">
        <f>IF(_epmOfflineCondition_,"T3",_xll.EVPRO($B$1,$H139,"STYLE"))</f>
        <v>T3</v>
      </c>
      <c r="J139" s="89" t="str">
        <f>IF(_epmOfflineCondition_,"Y",_xll.EVPRO($B$1,$H139,"CALC"))</f>
        <v>Y</v>
      </c>
      <c r="K139" s="11"/>
      <c r="L139" s="106" t="str">
        <f>IF(_epmOfflineCondition_,"",_xll.EVPRO($B$1,H139,"JDEID"))</f>
        <v/>
      </c>
      <c r="M139" s="90" t="str">
        <f>IF(_epmOfflineCondition_,"",IF(AND(I139="N",J139="N"),_xll.EVPRO($B$1,H139,"PSFTID"),""))</f>
        <v/>
      </c>
      <c r="N139" s="106" t="str">
        <f>IF(_epmOfflineCondition_,"Corporate",IF(_xll.EVDES(H139,$B$1)="#NODATA","",_xll.EVDES(H139,$B$1)))</f>
        <v>Corporate</v>
      </c>
      <c r="O139" s="328">
        <v>252.03448275862101</v>
      </c>
      <c r="P139" s="329">
        <v>248.26829268292701</v>
      </c>
      <c r="Q139" s="329">
        <v>299</v>
      </c>
      <c r="R139" s="329">
        <v>188.39912280701799</v>
      </c>
      <c r="S139" s="329">
        <v>178.041666666667</v>
      </c>
      <c r="T139" s="329">
        <v>269</v>
      </c>
      <c r="U139" s="329">
        <v>169</v>
      </c>
      <c r="V139" s="329">
        <v>167.92857142857099</v>
      </c>
      <c r="W139" s="329">
        <v>142.10344827586201</v>
      </c>
      <c r="X139" s="329">
        <v>129</v>
      </c>
      <c r="Y139" s="329">
        <v>259.77916666666698</v>
      </c>
      <c r="Z139" s="329">
        <v>353.28687500000001</v>
      </c>
      <c r="AA139" s="329">
        <f t="shared" si="14"/>
        <v>246.76220292504567</v>
      </c>
      <c r="AB139" s="330">
        <f>IF(_epmOfflineCondition_,0.0227065172270652,IF(_xll.EVGET($B$1,$B$3,$B$5,$B$6,$B$7,$B$9,AA$16,AA$17,AA$18,$G139)="#NODATA","",_xll.EVGET($B$1,$B$3,$B$5,$B$6,$B$7,$B$9,AA$16,AA$17,AA$18,$G139)))</f>
        <v>2.2706517227065199E-2</v>
      </c>
      <c r="AC139" s="140"/>
      <c r="AD139" s="328">
        <v>133.88655</v>
      </c>
      <c r="AE139" s="330">
        <f>IF(_epmOfflineCondition_,0.016604400166044,IF(_xll.EVGET($B$1,$B$3,$B$5,$B$6,$B$7,$B$9,AD$16,AD$17,AD$18,$G139)="#NODATA","",_xll.EVGET($B$1,$B$3,$B$5,$B$6,$B$7,$B$9,AD$16,AD$17,AD$18,$G139)))</f>
        <v>1.6604400166044E-2</v>
      </c>
      <c r="AF139" s="331">
        <f t="shared" si="15"/>
        <v>112.87565292504567</v>
      </c>
      <c r="AG139" s="328">
        <v>277.21464646464602</v>
      </c>
      <c r="AH139" s="330">
        <f>IF(_epmOfflineCondition_,0.0245901639344262,IF(_xll.EVGET($B$1,$B$3,$B$5,$B$6,$B$7,$B$9,AG$16,AG$17,AG$18,$G139)="#NODATA","",_xll.EVGET($B$1,$B$3,$B$5,$B$6,$B$7,$B$9,AG$16,AG$17,AG$18,$G139)))</f>
        <v>2.4590163934426201E-2</v>
      </c>
      <c r="AI139" s="332">
        <f t="shared" si="16"/>
        <v>-30.452443539600353</v>
      </c>
    </row>
    <row r="140" spans="1:35" x14ac:dyDescent="0.35">
      <c r="A140" s="11"/>
      <c r="B140" s="11"/>
      <c r="C140" s="11"/>
      <c r="D140" s="11"/>
      <c r="E140" s="11"/>
      <c r="F140" s="11"/>
      <c r="G140" s="267" t="str">
        <f t="shared" si="13"/>
        <v>OCC_CORP</v>
      </c>
      <c r="H140" s="88" t="s">
        <v>180</v>
      </c>
      <c r="I140" s="104" t="str">
        <f>IF(_epmOfflineCondition_,"N",_xll.EVPRO($B$1,$H140,"STYLE"))</f>
        <v>N</v>
      </c>
      <c r="J140" s="104" t="str">
        <f>IF(_epmOfflineCondition_,"Y",_xll.EVPRO($B$1,$H140,"CALC"))</f>
        <v>Y</v>
      </c>
      <c r="K140" s="11"/>
      <c r="L140" s="104" t="str">
        <f>IF(_epmOfflineCondition_,"",_xll.EVPRO($B$1,H140,"JDEID"))</f>
        <v/>
      </c>
      <c r="M140" s="90" t="str">
        <f>IF(_epmOfflineCondition_,"",IF(AND(I140="N",J140="N"),_xll.EVPRO($B$1,H140,"PSFTID"),""))</f>
        <v/>
      </c>
      <c r="N140" s="104" t="str">
        <f>IF(_epmOfflineCondition_,"Corporate",IF(_xll.EVDES(H140,$B$1)="#NODATA","",_xll.EVDES(H140,$B$1)))</f>
        <v>Corporate</v>
      </c>
      <c r="O140" s="333"/>
      <c r="P140" s="334"/>
      <c r="Q140" s="334"/>
      <c r="R140" s="334">
        <v>206.63793103448299</v>
      </c>
      <c r="S140" s="334">
        <v>171</v>
      </c>
      <c r="T140" s="334"/>
      <c r="U140" s="334"/>
      <c r="V140" s="334"/>
      <c r="W140" s="334">
        <v>142.10344827586201</v>
      </c>
      <c r="X140" s="334">
        <v>129</v>
      </c>
      <c r="Y140" s="334">
        <v>181.89166666666699</v>
      </c>
      <c r="Z140" s="334">
        <v>253.23244680851101</v>
      </c>
      <c r="AA140" s="334">
        <f t="shared" si="14"/>
        <v>186.57310426540286</v>
      </c>
      <c r="AB140" s="335">
        <f>IF(_epmOfflineCondition_,0.00875882108758821,IF(_xll.EVGET($B$1,$B$3,$B$5,$B$6,$B$7,$B$9,AA$16,AA$17,AA$18,$G140)="#NODATA","",_xll.EVGET($B$1,$B$3,$B$5,$B$6,$B$7,$B$9,AA$16,AA$17,AA$18,$G140)))</f>
        <v>8.7588210875882092E-3</v>
      </c>
      <c r="AC140" s="140"/>
      <c r="AD140" s="333">
        <v>146.88800000000001</v>
      </c>
      <c r="AE140" s="335">
        <f>IF(_epmOfflineCondition_,0.00882108758821088,IF(_xll.EVGET($B$1,$B$3,$B$5,$B$6,$B$7,$B$9,AD$16,AD$17,AD$18,$G140)="#NODATA","",_xll.EVGET($B$1,$B$3,$B$5,$B$6,$B$7,$B$9,AD$16,AD$17,AD$18,$G140)))</f>
        <v>8.8210875882108793E-3</v>
      </c>
      <c r="AF140" s="336">
        <f t="shared" si="15"/>
        <v>39.685104265402856</v>
      </c>
      <c r="AG140" s="333">
        <v>272.33009708737899</v>
      </c>
      <c r="AH140" s="335">
        <f>IF(_epmOfflineCondition_,0.0106598774631562,IF(_xll.EVGET($B$1,$B$3,$B$5,$B$6,$B$7,$B$9,AG$16,AG$17,AG$18,$G140)="#NODATA","",_xll.EVGET($B$1,$B$3,$B$5,$B$6,$B$7,$B$9,AG$16,AG$17,AG$18,$G140)))</f>
        <v>1.0659877463156201E-2</v>
      </c>
      <c r="AI140" s="337">
        <f t="shared" si="16"/>
        <v>-85.756992821976127</v>
      </c>
    </row>
    <row r="141" spans="1:35" x14ac:dyDescent="0.35">
      <c r="A141" s="11"/>
      <c r="B141" s="11"/>
      <c r="C141" s="11"/>
      <c r="D141" s="11"/>
      <c r="E141" s="11"/>
      <c r="F141" s="11"/>
      <c r="G141" s="267" t="str">
        <f t="shared" si="13"/>
        <v>OCC_ENTR</v>
      </c>
      <c r="H141" s="88" t="s">
        <v>181</v>
      </c>
      <c r="I141" s="104" t="str">
        <f>IF(_epmOfflineCondition_,"N",_xll.EVPRO($B$1,$H141,"STYLE"))</f>
        <v>N</v>
      </c>
      <c r="J141" s="104" t="str">
        <f>IF(_epmOfflineCondition_,"Y",_xll.EVPRO($B$1,$H141,"CALC"))</f>
        <v>Y</v>
      </c>
      <c r="K141" s="11"/>
      <c r="L141" s="104" t="str">
        <f>IF(_epmOfflineCondition_,"",_xll.EVPRO($B$1,H141,"JDEID"))</f>
        <v/>
      </c>
      <c r="M141" s="90" t="str">
        <f>IF(_epmOfflineCondition_,"",IF(AND(I141="N",J141="N"),_xll.EVPRO($B$1,H141,"PSFTID"),""))</f>
        <v/>
      </c>
      <c r="N141" s="104" t="str">
        <f>IF(_epmOfflineCondition_,"Entertainment/Sports",IF(_xll.EVDES(H141,$B$1)="#NODATA","",_xll.EVDES(H141,$B$1)))</f>
        <v>Entertainment/Sports</v>
      </c>
      <c r="O141" s="333">
        <v>252.03448275862101</v>
      </c>
      <c r="P141" s="334">
        <v>248.26829268292701</v>
      </c>
      <c r="Q141" s="334">
        <v>299</v>
      </c>
      <c r="R141" s="334">
        <v>182.17647058823499</v>
      </c>
      <c r="S141" s="334"/>
      <c r="T141" s="334">
        <v>269</v>
      </c>
      <c r="U141" s="334">
        <v>169</v>
      </c>
      <c r="V141" s="334">
        <v>167.92857142857099</v>
      </c>
      <c r="W141" s="334"/>
      <c r="X141" s="334"/>
      <c r="Y141" s="334">
        <v>337.66666666666703</v>
      </c>
      <c r="Z141" s="334">
        <v>417.70547945205499</v>
      </c>
      <c r="AA141" s="334">
        <f t="shared" si="14"/>
        <v>284.5595238095238</v>
      </c>
      <c r="AB141" s="335">
        <f>IF(_epmOfflineCondition_,0.013947696139477,IF(_xll.EVGET($B$1,$B$3,$B$5,$B$6,$B$7,$B$9,AA$16,AA$17,AA$18,$G141)="#NODATA","",_xll.EVGET($B$1,$B$3,$B$5,$B$6,$B$7,$B$9,AA$16,AA$17,AA$18,$G141)))</f>
        <v>1.3947696139477E-2</v>
      </c>
      <c r="AC141" s="140"/>
      <c r="AD141" s="333">
        <v>119.151573333333</v>
      </c>
      <c r="AE141" s="335">
        <f>IF(_epmOfflineCondition_,0.00778331257783313,IF(_xll.EVGET($B$1,$B$3,$B$5,$B$6,$B$7,$B$9,AD$16,AD$17,AD$18,$G141)="#NODATA","",_xll.EVGET($B$1,$B$3,$B$5,$B$6,$B$7,$B$9,AD$16,AD$17,AD$18,$G141)))</f>
        <v>7.78331257783313E-3</v>
      </c>
      <c r="AF141" s="336">
        <f t="shared" si="15"/>
        <v>165.40795047619079</v>
      </c>
      <c r="AG141" s="333">
        <v>280.952451708767</v>
      </c>
      <c r="AH141" s="335">
        <f>IF(_epmOfflineCondition_,0.0139302864712701,IF(_xll.EVGET($B$1,$B$3,$B$5,$B$6,$B$7,$B$9,AG$16,AG$17,AG$18,$G141)="#NODATA","",_xll.EVGET($B$1,$B$3,$B$5,$B$6,$B$7,$B$9,AG$16,AG$17,AG$18,$G141)))</f>
        <v>1.3930286471270099E-2</v>
      </c>
      <c r="AI141" s="337">
        <f t="shared" si="16"/>
        <v>3.6070721007567954</v>
      </c>
    </row>
    <row r="142" spans="1:35" x14ac:dyDescent="0.35">
      <c r="A142" s="11"/>
      <c r="B142" s="11"/>
      <c r="C142" s="11"/>
      <c r="D142" s="11"/>
      <c r="E142" s="11"/>
      <c r="F142" s="11"/>
      <c r="G142" s="265" t="str">
        <f t="shared" si="13"/>
        <v>OCC_ASSCN</v>
      </c>
      <c r="H142" s="88" t="s">
        <v>182</v>
      </c>
      <c r="I142" s="89" t="str">
        <f>IF(_epmOfflineCondition_,"T3",_xll.EVPRO($B$1,$H142,"STYLE"))</f>
        <v>T3</v>
      </c>
      <c r="J142" s="89" t="str">
        <f>IF(_epmOfflineCondition_,"Y",_xll.EVPRO($B$1,$H142,"CALC"))</f>
        <v>Y</v>
      </c>
      <c r="K142" s="11"/>
      <c r="L142" s="106" t="str">
        <f>IF(_epmOfflineCondition_,"",_xll.EVPRO($B$1,H142,"JDEID"))</f>
        <v/>
      </c>
      <c r="M142" s="90" t="str">
        <f>IF(_epmOfflineCondition_,"",IF(AND(I142="N",J142="N"),_xll.EVPRO($B$1,H142,"PSFTID"),""))</f>
        <v/>
      </c>
      <c r="N142" s="106" t="str">
        <f>IF(_epmOfflineCondition_,"Association/Convention",IF(_xll.EVDES(H142,$B$1)="#NODATA","",_xll.EVDES(H142,$B$1)))</f>
        <v>Association/Convention</v>
      </c>
      <c r="O142" s="328"/>
      <c r="P142" s="329"/>
      <c r="Q142" s="329"/>
      <c r="R142" s="329">
        <v>349</v>
      </c>
      <c r="S142" s="329">
        <v>181.48387096774201</v>
      </c>
      <c r="T142" s="329"/>
      <c r="U142" s="329"/>
      <c r="V142" s="329"/>
      <c r="W142" s="329">
        <v>199</v>
      </c>
      <c r="X142" s="329"/>
      <c r="Y142" s="329"/>
      <c r="Z142" s="329"/>
      <c r="AA142" s="329">
        <f t="shared" si="14"/>
        <v>251.85454545454544</v>
      </c>
      <c r="AB142" s="330">
        <f>IF(_epmOfflineCondition_,0.00114155251141553,IF(_xll.EVGET($B$1,$B$3,$B$5,$B$6,$B$7,$B$9,AA$16,AA$17,AA$18,$G142)="#NODATA","",_xll.EVGET($B$1,$B$3,$B$5,$B$6,$B$7,$B$9,AA$16,AA$17,AA$18,$G142)))</f>
        <v>1.14155251141553E-3</v>
      </c>
      <c r="AC142" s="140"/>
      <c r="AD142" s="328"/>
      <c r="AE142" s="330">
        <f>IF(_epmOfflineCondition_,0,IF(_xll.EVGET($B$1,$B$3,$B$5,$B$6,$B$7,$B$9,AD$16,AD$17,AD$18,$G142)="#NODATA","",_xll.EVGET($B$1,$B$3,$B$5,$B$6,$B$7,$B$9,AD$16,AD$17,AD$18,$G142)))</f>
        <v>0</v>
      </c>
      <c r="AF142" s="331">
        <f t="shared" si="15"/>
        <v>251.85454545454544</v>
      </c>
      <c r="AG142" s="328">
        <v>972.23067961164998</v>
      </c>
      <c r="AH142" s="330">
        <f>IF(_epmOfflineCondition_,0.00426395098526246,IF(_xll.EVGET($B$1,$B$3,$B$5,$B$6,$B$7,$B$9,AG$16,AG$17,AG$18,$G142)="#NODATA","",_xll.EVGET($B$1,$B$3,$B$5,$B$6,$B$7,$B$9,AG$16,AG$17,AG$18,$G142)))</f>
        <v>4.26395098526246E-3</v>
      </c>
      <c r="AI142" s="332">
        <f t="shared" si="16"/>
        <v>-720.3761341571045</v>
      </c>
    </row>
    <row r="143" spans="1:35" x14ac:dyDescent="0.35">
      <c r="A143" s="11"/>
      <c r="B143" s="11"/>
      <c r="C143" s="11"/>
      <c r="D143" s="11"/>
      <c r="E143" s="11"/>
      <c r="F143" s="11"/>
      <c r="G143" s="267" t="str">
        <f t="shared" si="13"/>
        <v>OCC_ASSC</v>
      </c>
      <c r="H143" s="88" t="s">
        <v>183</v>
      </c>
      <c r="I143" s="104" t="str">
        <f>IF(_epmOfflineCondition_,"N",_xll.EVPRO($B$1,$H143,"STYLE"))</f>
        <v>N</v>
      </c>
      <c r="J143" s="104" t="str">
        <f>IF(_epmOfflineCondition_,"Y",_xll.EVPRO($B$1,$H143,"CALC"))</f>
        <v>Y</v>
      </c>
      <c r="K143" s="11"/>
      <c r="L143" s="104" t="str">
        <f>IF(_epmOfflineCondition_,"",_xll.EVPRO($B$1,H143,"JDEID"))</f>
        <v/>
      </c>
      <c r="M143" s="90" t="str">
        <f>IF(_epmOfflineCondition_,"",IF(AND(I143="N",J143="N"),_xll.EVPRO($B$1,H143,"PSFTID"),""))</f>
        <v/>
      </c>
      <c r="N143" s="104" t="str">
        <f>IF(_epmOfflineCondition_,"Association",IF(_xll.EVDES(H143,$B$1)="#NODATA","",_xll.EVDES(H143,$B$1)))</f>
        <v>Association</v>
      </c>
      <c r="O143" s="333"/>
      <c r="P143" s="334"/>
      <c r="Q143" s="334"/>
      <c r="R143" s="334">
        <v>349</v>
      </c>
      <c r="S143" s="334">
        <v>181.48387096774201</v>
      </c>
      <c r="T143" s="334"/>
      <c r="U143" s="334"/>
      <c r="V143" s="334"/>
      <c r="W143" s="334"/>
      <c r="X143" s="334"/>
      <c r="Y143" s="334"/>
      <c r="Z143" s="334"/>
      <c r="AA143" s="334">
        <f t="shared" si="14"/>
        <v>252.83333333333334</v>
      </c>
      <c r="AB143" s="335">
        <f>IF(_epmOfflineCondition_,0.00112079701120797,IF(_xll.EVGET($B$1,$B$3,$B$5,$B$6,$B$7,$B$9,AA$16,AA$17,AA$18,$G143)="#NODATA","",_xll.EVGET($B$1,$B$3,$B$5,$B$6,$B$7,$B$9,AA$16,AA$17,AA$18,$G143)))</f>
        <v>1.1207970112079701E-3</v>
      </c>
      <c r="AC143" s="140"/>
      <c r="AD143" s="333"/>
      <c r="AE143" s="335">
        <f>IF(_epmOfflineCondition_,0,IF(_xll.EVGET($B$1,$B$3,$B$5,$B$6,$B$7,$B$9,AD$16,AD$17,AD$18,$G143)="#NODATA","",_xll.EVGET($B$1,$B$3,$B$5,$B$6,$B$7,$B$9,AD$16,AD$17,AD$18,$G143)))</f>
        <v>0</v>
      </c>
      <c r="AF143" s="336">
        <f t="shared" si="15"/>
        <v>252.83333333333334</v>
      </c>
      <c r="AG143" s="333">
        <v>227</v>
      </c>
      <c r="AH143" s="335">
        <f>IF(_epmOfflineCondition_,0.000517469779764862,IF(_xll.EVGET($B$1,$B$3,$B$5,$B$6,$B$7,$B$9,AG$16,AG$17,AG$18,$G143)="#NODATA","",_xll.EVGET($B$1,$B$3,$B$5,$B$6,$B$7,$B$9,AG$16,AG$17,AG$18,$G143)))</f>
        <v>5.1746977976486195E-4</v>
      </c>
      <c r="AI143" s="337">
        <f t="shared" si="16"/>
        <v>25.833333333333343</v>
      </c>
    </row>
    <row r="144" spans="1:35" x14ac:dyDescent="0.35">
      <c r="A144" s="11"/>
      <c r="B144" s="11"/>
      <c r="C144" s="11"/>
      <c r="D144" s="11"/>
      <c r="E144" s="11"/>
      <c r="F144" s="11"/>
      <c r="G144" s="267" t="str">
        <f t="shared" si="13"/>
        <v>OCC_CONV</v>
      </c>
      <c r="H144" s="88" t="s">
        <v>184</v>
      </c>
      <c r="I144" s="104" t="str">
        <f>IF(_epmOfflineCondition_,"N",_xll.EVPRO($B$1,$H144,"STYLE"))</f>
        <v>N</v>
      </c>
      <c r="J144" s="104" t="str">
        <f>IF(_epmOfflineCondition_,"Y",_xll.EVPRO($B$1,$H144,"CALC"))</f>
        <v>Y</v>
      </c>
      <c r="K144" s="11"/>
      <c r="L144" s="104" t="str">
        <f>IF(_epmOfflineCondition_,"",_xll.EVPRO($B$1,H144,"JDEID"))</f>
        <v/>
      </c>
      <c r="M144" s="90" t="str">
        <f>IF(_epmOfflineCondition_,"",IF(AND(I144="N",J144="N"),_xll.EVPRO($B$1,H144,"PSFTID"),""))</f>
        <v/>
      </c>
      <c r="N144" s="104" t="str">
        <f>IF(_epmOfflineCondition_,"Convention",IF(_xll.EVDES(H144,$B$1)="#NODATA","",_xll.EVDES(H144,$B$1)))</f>
        <v>Convention</v>
      </c>
      <c r="O144" s="333"/>
      <c r="P144" s="334"/>
      <c r="Q144" s="334"/>
      <c r="R144" s="334"/>
      <c r="S144" s="334"/>
      <c r="T144" s="334"/>
      <c r="U144" s="334"/>
      <c r="V144" s="334"/>
      <c r="W144" s="334">
        <v>199</v>
      </c>
      <c r="X144" s="334"/>
      <c r="Y144" s="334"/>
      <c r="Z144" s="334"/>
      <c r="AA144" s="334">
        <f t="shared" si="14"/>
        <v>199</v>
      </c>
      <c r="AB144" s="335">
        <f>IF(_epmOfflineCondition_,0.000020755500207555,IF(_xll.EVGET($B$1,$B$3,$B$5,$B$6,$B$7,$B$9,AA$16,AA$17,AA$18,$G144)="#NODATA","",_xll.EVGET($B$1,$B$3,$B$5,$B$6,$B$7,$B$9,AA$16,AA$17,AA$18,$G144)))</f>
        <v>2.0755500207555E-5</v>
      </c>
      <c r="AC144" s="140"/>
      <c r="AD144" s="333"/>
      <c r="AE144" s="335">
        <f>IF(_epmOfflineCondition_,0,IF(_xll.EVGET($B$1,$B$3,$B$5,$B$6,$B$7,$B$9,AD$16,AD$17,AD$18,$G144)="#NODATA","",_xll.EVGET($B$1,$B$3,$B$5,$B$6,$B$7,$B$9,AD$16,AD$17,AD$18,$G144)))</f>
        <v>0</v>
      </c>
      <c r="AF144" s="336">
        <f t="shared" si="15"/>
        <v>199</v>
      </c>
      <c r="AG144" s="333">
        <v>1075.16309392265</v>
      </c>
      <c r="AH144" s="335">
        <f>IF(_epmOfflineCondition_,0.0037464812054976,IF(_xll.EVGET($B$1,$B$3,$B$5,$B$6,$B$7,$B$9,AG$16,AG$17,AG$18,$G144)="#NODATA","",_xll.EVGET($B$1,$B$3,$B$5,$B$6,$B$7,$B$9,AG$16,AG$17,AG$18,$G144)))</f>
        <v>3.7464812054976001E-3</v>
      </c>
      <c r="AI144" s="337">
        <f t="shared" si="16"/>
        <v>-876.16309392264998</v>
      </c>
    </row>
    <row r="145" spans="1:35" x14ac:dyDescent="0.35">
      <c r="A145" s="11"/>
      <c r="B145" s="11"/>
      <c r="C145" s="11"/>
      <c r="D145" s="11"/>
      <c r="E145" s="11"/>
      <c r="F145" s="11"/>
      <c r="G145" s="265" t="str">
        <f t="shared" si="13"/>
        <v>OCC_GGOV</v>
      </c>
      <c r="H145" s="88" t="s">
        <v>185</v>
      </c>
      <c r="I145" s="89" t="str">
        <f>IF(_epmOfflineCondition_,"T3",_xll.EVPRO($B$1,$H145,"STYLE"))</f>
        <v>T3</v>
      </c>
      <c r="J145" s="89" t="str">
        <f>IF(_epmOfflineCondition_,"Y",_xll.EVPRO($B$1,$H145,"CALC"))</f>
        <v>Y</v>
      </c>
      <c r="K145" s="11"/>
      <c r="L145" s="106" t="str">
        <f>IF(_epmOfflineCondition_,"",_xll.EVPRO($B$1,H145,"JDEID"))</f>
        <v/>
      </c>
      <c r="M145" s="90" t="str">
        <f>IF(_epmOfflineCondition_,"",IF(AND(I145="N",J145="N"),_xll.EVPRO($B$1,H145,"PSFTID"),""))</f>
        <v/>
      </c>
      <c r="N145" s="106" t="str">
        <f>IF(_epmOfflineCondition_,"Government",IF(_xll.EVDES(H145,$B$1)="#NODATA","",_xll.EVDES(H145,$B$1)))</f>
        <v>Government</v>
      </c>
      <c r="O145" s="328"/>
      <c r="P145" s="329"/>
      <c r="Q145" s="329"/>
      <c r="R145" s="329"/>
      <c r="S145" s="329"/>
      <c r="T145" s="329"/>
      <c r="U145" s="329"/>
      <c r="V145" s="329"/>
      <c r="W145" s="329"/>
      <c r="X145" s="329"/>
      <c r="Y145" s="329"/>
      <c r="Z145" s="329"/>
      <c r="AA145" s="329">
        <f t="shared" si="14"/>
        <v>0</v>
      </c>
      <c r="AB145" s="330">
        <f>IF(_epmOfflineCondition_,0,IF(_xll.EVGET($B$1,$B$3,$B$5,$B$6,$B$7,$B$9,AA$16,AA$17,AA$18,$G145)="#NODATA","",_xll.EVGET($B$1,$B$3,$B$5,$B$6,$B$7,$B$9,AA$16,AA$17,AA$18,$G145)))</f>
        <v>0</v>
      </c>
      <c r="AC145" s="140"/>
      <c r="AD145" s="328">
        <v>130.31034482758599</v>
      </c>
      <c r="AE145" s="330">
        <f>IF(_epmOfflineCondition_,0.00300954753009548,IF(_xll.EVGET($B$1,$B$3,$B$5,$B$6,$B$7,$B$9,AD$16,AD$17,AD$18,$G145)="#NODATA","",_xll.EVGET($B$1,$B$3,$B$5,$B$6,$B$7,$B$9,AD$16,AD$17,AD$18,$G145)))</f>
        <v>3.0095475300954801E-3</v>
      </c>
      <c r="AF145" s="331">
        <f t="shared" si="15"/>
        <v>-130.31034482758599</v>
      </c>
      <c r="AG145" s="328">
        <v>190</v>
      </c>
      <c r="AH145" s="330">
        <f>IF(_epmOfflineCondition_,0.000848650438814373,IF(_xll.EVGET($B$1,$B$3,$B$5,$B$6,$B$7,$B$9,AG$16,AG$17,AG$18,$G145)="#NODATA","",_xll.EVGET($B$1,$B$3,$B$5,$B$6,$B$7,$B$9,AG$16,AG$17,AG$18,$G145)))</f>
        <v>8.4865043881437302E-4</v>
      </c>
      <c r="AI145" s="332">
        <f t="shared" si="16"/>
        <v>-190</v>
      </c>
    </row>
    <row r="146" spans="1:35" x14ac:dyDescent="0.35">
      <c r="A146" s="11"/>
      <c r="B146" s="11"/>
      <c r="C146" s="11"/>
      <c r="D146" s="11"/>
      <c r="E146" s="11"/>
      <c r="F146" s="11"/>
      <c r="G146" s="265" t="str">
        <f t="shared" si="13"/>
        <v>OCC_TOURW</v>
      </c>
      <c r="H146" s="88" t="s">
        <v>186</v>
      </c>
      <c r="I146" s="89" t="str">
        <f>IF(_epmOfflineCondition_,"T3",_xll.EVPRO($B$1,$H146,"STYLE"))</f>
        <v>T3</v>
      </c>
      <c r="J146" s="89" t="str">
        <f>IF(_epmOfflineCondition_,"Y",_xll.EVPRO($B$1,$H146,"CALC"))</f>
        <v>Y</v>
      </c>
      <c r="K146" s="11"/>
      <c r="L146" s="106" t="str">
        <f>IF(_epmOfflineCondition_,"",_xll.EVPRO($B$1,H146,"JDEID"))</f>
        <v/>
      </c>
      <c r="M146" s="90" t="str">
        <f>IF(_epmOfflineCondition_,"",IF(AND(I146="N",J146="N"),_xll.EVPRO($B$1,H146,"PSFTID"),""))</f>
        <v/>
      </c>
      <c r="N146" s="106" t="str">
        <f>IF(_epmOfflineCondition_,"Tour/Wholesalers",IF(_xll.EVDES(H146,$B$1)="#NODATA","",_xll.EVDES(H146,$B$1)))</f>
        <v>Tour/Wholesalers</v>
      </c>
      <c r="O146" s="328"/>
      <c r="P146" s="329"/>
      <c r="Q146" s="329"/>
      <c r="R146" s="329"/>
      <c r="S146" s="329"/>
      <c r="T146" s="329"/>
      <c r="U146" s="329"/>
      <c r="V146" s="329"/>
      <c r="W146" s="329"/>
      <c r="X146" s="329"/>
      <c r="Y146" s="329"/>
      <c r="Z146" s="329"/>
      <c r="AA146" s="329">
        <f t="shared" si="14"/>
        <v>0</v>
      </c>
      <c r="AB146" s="330">
        <f>IF(_epmOfflineCondition_,0,IF(_xll.EVGET($B$1,$B$3,$B$5,$B$6,$B$7,$B$9,AA$16,AA$17,AA$18,$G146)="#NODATA","",_xll.EVGET($B$1,$B$3,$B$5,$B$6,$B$7,$B$9,AA$16,AA$17,AA$18,$G146)))</f>
        <v>0</v>
      </c>
      <c r="AC146" s="140"/>
      <c r="AD146" s="328">
        <v>124.852891566265</v>
      </c>
      <c r="AE146" s="330">
        <f>IF(_epmOfflineCondition_,0.0051681195516812,IF(_xll.EVGET($B$1,$B$3,$B$5,$B$6,$B$7,$B$9,AD$16,AD$17,AD$18,$G146)="#NODATA","",_xll.EVGET($B$1,$B$3,$B$5,$B$6,$B$7,$B$9,AD$16,AD$17,AD$18,$G146)))</f>
        <v>5.1681195516812004E-3</v>
      </c>
      <c r="AF146" s="331">
        <f t="shared" si="15"/>
        <v>-124.852891566265</v>
      </c>
      <c r="AG146" s="328">
        <v>272.245309734513</v>
      </c>
      <c r="AH146" s="330">
        <f>IF(_epmOfflineCondition_,0.00233896340453717,IF(_xll.EVGET($B$1,$B$3,$B$5,$B$6,$B$7,$B$9,AG$16,AG$17,AG$18,$G146)="#NODATA","",_xll.EVGET($B$1,$B$3,$B$5,$B$6,$B$7,$B$9,AG$16,AG$17,AG$18,$G146)))</f>
        <v>2.3389634045371701E-3</v>
      </c>
      <c r="AI146" s="332">
        <f t="shared" si="16"/>
        <v>-272.245309734513</v>
      </c>
    </row>
    <row r="147" spans="1:35" x14ac:dyDescent="0.35">
      <c r="A147" s="11"/>
      <c r="B147" s="11"/>
      <c r="C147" s="11"/>
      <c r="D147" s="11"/>
      <c r="E147" s="11"/>
      <c r="F147" s="11"/>
      <c r="G147" s="267" t="str">
        <f t="shared" si="13"/>
        <v>OCC_WHTT</v>
      </c>
      <c r="H147" s="88" t="s">
        <v>187</v>
      </c>
      <c r="I147" s="104" t="str">
        <f>IF(_epmOfflineCondition_,"N",_xll.EVPRO($B$1,$H147,"STYLE"))</f>
        <v>N</v>
      </c>
      <c r="J147" s="104" t="str">
        <f>IF(_epmOfflineCondition_,"Y",_xll.EVPRO($B$1,$H147,"CALC"))</f>
        <v>Y</v>
      </c>
      <c r="K147" s="11"/>
      <c r="L147" s="104" t="str">
        <f>IF(_epmOfflineCondition_,"",_xll.EVPRO($B$1,H147,"JDEID"))</f>
        <v/>
      </c>
      <c r="M147" s="90" t="str">
        <f>IF(_epmOfflineCondition_,"",IF(AND(I147="N",J147="N"),_xll.EVPRO($B$1,H147,"PSFTID"),""))</f>
        <v/>
      </c>
      <c r="N147" s="104" t="str">
        <f>IF(_epmOfflineCondition_,"Tour/Wholesale",IF(_xll.EVDES(H147,$B$1)="#NODATA","",_xll.EVDES(H147,$B$1)))</f>
        <v>Tour/Wholesale</v>
      </c>
      <c r="O147" s="333"/>
      <c r="P147" s="334"/>
      <c r="Q147" s="334"/>
      <c r="R147" s="334"/>
      <c r="S147" s="334"/>
      <c r="T147" s="334"/>
      <c r="U147" s="334"/>
      <c r="V147" s="334"/>
      <c r="W147" s="334"/>
      <c r="X147" s="334"/>
      <c r="Y147" s="334"/>
      <c r="Z147" s="334"/>
      <c r="AA147" s="334">
        <f t="shared" si="14"/>
        <v>0</v>
      </c>
      <c r="AB147" s="335">
        <f>IF(_epmOfflineCondition_,0,IF(_xll.EVGET($B$1,$B$3,$B$5,$B$6,$B$7,$B$9,AA$16,AA$17,AA$18,$G147)="#NODATA","",_xll.EVGET($B$1,$B$3,$B$5,$B$6,$B$7,$B$9,AA$16,AA$17,AA$18,$G147)))</f>
        <v>0</v>
      </c>
      <c r="AC147" s="140"/>
      <c r="AD147" s="333"/>
      <c r="AE147" s="335">
        <f>IF(_epmOfflineCondition_,0,IF(_xll.EVGET($B$1,$B$3,$B$5,$B$6,$B$7,$B$9,AD$16,AD$17,AD$18,$G147)="#NODATA","",_xll.EVGET($B$1,$B$3,$B$5,$B$6,$B$7,$B$9,AD$16,AD$17,AD$18,$G147)))</f>
        <v>0</v>
      </c>
      <c r="AF147" s="336">
        <f t="shared" si="15"/>
        <v>0</v>
      </c>
      <c r="AG147" s="333">
        <v>122</v>
      </c>
      <c r="AH147" s="335">
        <f>IF(_epmOfflineCondition_,0.000827951647623779,IF(_xll.EVGET($B$1,$B$3,$B$5,$B$6,$B$7,$B$9,AG$16,AG$17,AG$18,$G147)="#NODATA","",_xll.EVGET($B$1,$B$3,$B$5,$B$6,$B$7,$B$9,AG$16,AG$17,AG$18,$G147)))</f>
        <v>8.2795164762377899E-4</v>
      </c>
      <c r="AI147" s="337">
        <f t="shared" si="16"/>
        <v>-122</v>
      </c>
    </row>
    <row r="148" spans="1:35" x14ac:dyDescent="0.35">
      <c r="A148" s="11"/>
      <c r="B148" s="11"/>
      <c r="C148" s="11"/>
      <c r="D148" s="11"/>
      <c r="E148" s="11"/>
      <c r="F148" s="11"/>
      <c r="G148" s="267" t="str">
        <f t="shared" si="13"/>
        <v>OCC_MICE</v>
      </c>
      <c r="H148" s="88" t="s">
        <v>188</v>
      </c>
      <c r="I148" s="104" t="str">
        <f>IF(_epmOfflineCondition_,"N",_xll.EVPRO($B$1,$H148,"STYLE"))</f>
        <v>N</v>
      </c>
      <c r="J148" s="104" t="str">
        <f>IF(_epmOfflineCondition_,"Y",_xll.EVPRO($B$1,$H148,"CALC"))</f>
        <v>Y</v>
      </c>
      <c r="K148" s="11"/>
      <c r="L148" s="104" t="str">
        <f>IF(_epmOfflineCondition_,"",_xll.EVPRO($B$1,H148,"JDEID"))</f>
        <v/>
      </c>
      <c r="M148" s="90" t="str">
        <f>IF(_epmOfflineCondition_,"",IF(AND(I148="N",J148="N"),_xll.EVPRO($B$1,H148,"PSFTID"),""))</f>
        <v/>
      </c>
      <c r="N148" s="104" t="str">
        <f>IF(_epmOfflineCondition_,"MICE",IF(_xll.EVDES(H148,$B$1)="#NODATA","",_xll.EVDES(H148,$B$1)))</f>
        <v>MICE</v>
      </c>
      <c r="O148" s="333"/>
      <c r="P148" s="334"/>
      <c r="Q148" s="334"/>
      <c r="R148" s="334"/>
      <c r="S148" s="334"/>
      <c r="T148" s="334"/>
      <c r="U148" s="334"/>
      <c r="V148" s="334"/>
      <c r="W148" s="334"/>
      <c r="X148" s="334"/>
      <c r="Y148" s="334"/>
      <c r="Z148" s="334"/>
      <c r="AA148" s="334">
        <f t="shared" si="14"/>
        <v>0</v>
      </c>
      <c r="AB148" s="335">
        <f>IF(_epmOfflineCondition_,0,IF(_xll.EVGET($B$1,$B$3,$B$5,$B$6,$B$7,$B$9,AA$16,AA$17,AA$18,$G148)="#NODATA","",_xll.EVGET($B$1,$B$3,$B$5,$B$6,$B$7,$B$9,AA$16,AA$17,AA$18,$G148)))</f>
        <v>0</v>
      </c>
      <c r="AC148" s="140"/>
      <c r="AD148" s="333">
        <v>124.852891566265</v>
      </c>
      <c r="AE148" s="335">
        <f>IF(_epmOfflineCondition_,0.0051681195516812,IF(_xll.EVGET($B$1,$B$3,$B$5,$B$6,$B$7,$B$9,AD$16,AD$17,AD$18,$G148)="#NODATA","",_xll.EVGET($B$1,$B$3,$B$5,$B$6,$B$7,$B$9,AD$16,AD$17,AD$18,$G148)))</f>
        <v>5.1681195516812004E-3</v>
      </c>
      <c r="AF148" s="336">
        <f t="shared" si="15"/>
        <v>-124.852891566265</v>
      </c>
      <c r="AG148" s="333">
        <v>354.57150684931503</v>
      </c>
      <c r="AH148" s="335">
        <f>IF(_epmOfflineCondition_,0.0015110117569134,IF(_xll.EVGET($B$1,$B$3,$B$5,$B$6,$B$7,$B$9,AG$16,AG$17,AG$18,$G148)="#NODATA","",_xll.EVGET($B$1,$B$3,$B$5,$B$6,$B$7,$B$9,AG$16,AG$17,AG$18,$G148)))</f>
        <v>1.5110117569134001E-3</v>
      </c>
      <c r="AI148" s="337">
        <f t="shared" si="16"/>
        <v>-354.57150684931503</v>
      </c>
    </row>
    <row r="149" spans="1:35" x14ac:dyDescent="0.35">
      <c r="A149" s="11"/>
      <c r="B149" s="11"/>
      <c r="C149" s="11"/>
      <c r="D149" s="11"/>
      <c r="E149" s="11"/>
      <c r="F149" s="11"/>
      <c r="G149" s="265" t="str">
        <f t="shared" si="13"/>
        <v>OCC_SMERF</v>
      </c>
      <c r="H149" s="88" t="s">
        <v>189</v>
      </c>
      <c r="I149" s="89" t="str">
        <f>IF(_epmOfflineCondition_,"T3",_xll.EVPRO($B$1,$H149,"STYLE"))</f>
        <v>T3</v>
      </c>
      <c r="J149" s="89" t="str">
        <f>IF(_epmOfflineCondition_,"Y",_xll.EVPRO($B$1,$H149,"CALC"))</f>
        <v>Y</v>
      </c>
      <c r="K149" s="11"/>
      <c r="L149" s="106" t="str">
        <f>IF(_epmOfflineCondition_,"",_xll.EVPRO($B$1,H149,"JDEID"))</f>
        <v/>
      </c>
      <c r="M149" s="90" t="str">
        <f>IF(_epmOfflineCondition_,"",IF(AND(I149="N",J149="N"),_xll.EVPRO($B$1,H149,"PSFTID"),""))</f>
        <v/>
      </c>
      <c r="N149" s="106" t="str">
        <f>IF(_epmOfflineCondition_,"SMERF",IF(_xll.EVDES(H149,$B$1)="#NODATA","",_xll.EVDES(H149,$B$1)))</f>
        <v>SMERF</v>
      </c>
      <c r="O149" s="338"/>
      <c r="P149" s="339"/>
      <c r="Q149" s="339">
        <v>199</v>
      </c>
      <c r="R149" s="339">
        <v>193.808219178082</v>
      </c>
      <c r="S149" s="339">
        <v>177.57142857142901</v>
      </c>
      <c r="T149" s="339">
        <v>247.13953488372101</v>
      </c>
      <c r="U149" s="339">
        <v>302.05454545454501</v>
      </c>
      <c r="V149" s="339"/>
      <c r="W149" s="339">
        <v>289</v>
      </c>
      <c r="X149" s="339">
        <v>299</v>
      </c>
      <c r="Y149" s="339">
        <v>226</v>
      </c>
      <c r="Z149" s="339"/>
      <c r="AA149" s="339">
        <f t="shared" si="14"/>
        <v>241.91752577319588</v>
      </c>
      <c r="AB149" s="340">
        <f>IF(_epmOfflineCondition_,0.00603985056039851,IF(_xll.EVGET($B$1,$B$3,$B$5,$B$6,$B$7,$B$9,AA$16,AA$17,AA$18,$G149)="#NODATA","",_xll.EVGET($B$1,$B$3,$B$5,$B$6,$B$7,$B$9,AA$16,AA$17,AA$18,$G149)))</f>
        <v>6.03985056039851E-3</v>
      </c>
      <c r="AC149" s="140"/>
      <c r="AD149" s="338">
        <v>128.03023255814</v>
      </c>
      <c r="AE149" s="340">
        <f>IF(_epmOfflineCondition_,0.00356994603569946,IF(_xll.EVGET($B$1,$B$3,$B$5,$B$6,$B$7,$B$9,AD$16,AD$17,AD$18,$G149)="#NODATA","",_xll.EVGET($B$1,$B$3,$B$5,$B$6,$B$7,$B$9,AD$16,AD$17,AD$18,$G149)))</f>
        <v>3.5699460356994599E-3</v>
      </c>
      <c r="AF149" s="341">
        <f t="shared" si="15"/>
        <v>113.88729321505588</v>
      </c>
      <c r="AG149" s="338">
        <v>232.142857142857</v>
      </c>
      <c r="AH149" s="340">
        <f>IF(_epmOfflineCondition_,0.00231826461334658,IF(_xll.EVGET($B$1,$B$3,$B$5,$B$6,$B$7,$B$9,AG$16,AG$17,AG$18,$G149)="#NODATA","",_xll.EVGET($B$1,$B$3,$B$5,$B$6,$B$7,$B$9,AG$16,AG$17,AG$18,$G149)))</f>
        <v>2.3182646133465801E-3</v>
      </c>
      <c r="AI149" s="342">
        <f t="shared" si="16"/>
        <v>9.7746686303388799</v>
      </c>
    </row>
    <row r="150" spans="1:35" x14ac:dyDescent="0.35">
      <c r="A150" s="11"/>
      <c r="B150" s="11"/>
      <c r="C150" s="11"/>
      <c r="D150" s="11"/>
      <c r="E150" s="11"/>
      <c r="F150" s="11"/>
      <c r="G150" s="265" t="str">
        <f t="shared" si="13"/>
        <v>OCC_GROP</v>
      </c>
      <c r="H150" s="88" t="s">
        <v>178</v>
      </c>
      <c r="I150" s="89" t="str">
        <f>IF(_epmOfflineCondition_,"T2",_xll.EVPRO($B$1,$H150,"STYLE"))</f>
        <v>T2</v>
      </c>
      <c r="J150" s="89" t="str">
        <f>IF(_epmOfflineCondition_,"Y",_xll.EVPRO($B$1,$H150,"CALC"))</f>
        <v>Y</v>
      </c>
      <c r="K150" s="11"/>
      <c r="L150" s="106" t="str">
        <f>IF(_epmOfflineCondition_,"",_xll.EVPRO($B$1,H150,"JDEID"))</f>
        <v/>
      </c>
      <c r="M150" s="90" t="str">
        <f>IF(_epmOfflineCondition_,"",IF(AND(I150="N",J150="N"),_xll.EVPRO($B$1,H150,"PSFTID"),""))</f>
        <v/>
      </c>
      <c r="N150" s="106" t="str">
        <f>IF(_epmOfflineCondition_,"Total Group ADR",IF(_xll.EVDES(H150,$B$1)="#NODATA","",_xll.EVDES(H150,$B$1)))</f>
        <v>Total Group ADR</v>
      </c>
      <c r="O150" s="343">
        <v>252.03448275862101</v>
      </c>
      <c r="P150" s="344">
        <v>248.26829268292701</v>
      </c>
      <c r="Q150" s="344">
        <v>295.42857142857099</v>
      </c>
      <c r="R150" s="344">
        <v>201.01851851851899</v>
      </c>
      <c r="S150" s="344">
        <v>179.70967741935499</v>
      </c>
      <c r="T150" s="344">
        <v>257.53658536585402</v>
      </c>
      <c r="U150" s="344">
        <v>297.385964912281</v>
      </c>
      <c r="V150" s="344">
        <v>167.92857142857099</v>
      </c>
      <c r="W150" s="344">
        <v>160.49253731343299</v>
      </c>
      <c r="X150" s="344">
        <v>173.34782608695701</v>
      </c>
      <c r="Y150" s="344">
        <v>251.33437499999999</v>
      </c>
      <c r="Z150" s="344">
        <v>353.28687500000001</v>
      </c>
      <c r="AA150" s="344">
        <f t="shared" si="14"/>
        <v>245.9776736111111</v>
      </c>
      <c r="AB150" s="345">
        <f>IF(_epmOfflineCondition_,0.0298879202988792,IF(_xll.EVGET($B$1,$B$3,$B$5,$B$6,$B$7,$B$9,AA$16,AA$17,AA$18,$G150)="#NODATA","",_xll.EVGET($B$1,$B$3,$B$5,$B$6,$B$7,$B$9,AA$16,AA$17,AA$18,$G150)))</f>
        <v>2.9887920298879201E-2</v>
      </c>
      <c r="AC150" s="140"/>
      <c r="AD150" s="343">
        <v>131.1228477306</v>
      </c>
      <c r="AE150" s="345">
        <f>IF(_epmOfflineCondition_,0.0283520132835201,IF(_xll.EVGET($B$1,$B$3,$B$5,$B$6,$B$7,$B$9,AD$16,AD$17,AD$18,$G150)="#NODATA","",_xll.EVGET($B$1,$B$3,$B$5,$B$6,$B$7,$B$9,AD$16,AD$17,AD$18,$G150)))</f>
        <v>2.8352013283520099E-2</v>
      </c>
      <c r="AF150" s="346">
        <f t="shared" si="15"/>
        <v>114.8548258805111</v>
      </c>
      <c r="AG150" s="343">
        <v>357.93026506024103</v>
      </c>
      <c r="AH150" s="345">
        <f>IF(_epmOfflineCondition_,0.0343599933763868,IF(_xll.EVGET($B$1,$B$3,$B$5,$B$6,$B$7,$B$9,AG$16,AG$17,AG$18,$G150)="#NODATA","",_xll.EVGET($B$1,$B$3,$B$5,$B$6,$B$7,$B$9,AG$16,AG$17,AG$18,$G150)))</f>
        <v>3.4359993376386802E-2</v>
      </c>
      <c r="AI150" s="347">
        <f t="shared" si="16"/>
        <v>-111.95259144912993</v>
      </c>
    </row>
    <row r="151" spans="1:35" x14ac:dyDescent="0.35">
      <c r="A151" s="11"/>
      <c r="B151" s="11"/>
      <c r="C151" s="11"/>
      <c r="D151" s="11"/>
      <c r="E151" s="11"/>
      <c r="F151" s="11"/>
      <c r="G151" s="267" t="str">
        <f t="shared" si="13"/>
        <v>OCC_CONT</v>
      </c>
      <c r="H151" s="88" t="s">
        <v>210</v>
      </c>
      <c r="I151" s="104" t="str">
        <f>IF(_epmOfflineCondition_,"N",_xll.EVPRO($B$1,$H151,"STYLE"))</f>
        <v>N</v>
      </c>
      <c r="J151" s="104" t="str">
        <f>IF(_epmOfflineCondition_,"Y",_xll.EVPRO($B$1,$H151,"CALC"))</f>
        <v>Y</v>
      </c>
      <c r="K151" s="11"/>
      <c r="L151" s="104" t="str">
        <f>IF(_epmOfflineCondition_,"",_xll.EVPRO($B$1,H151,"JDEID"))</f>
        <v/>
      </c>
      <c r="M151" s="90" t="str">
        <f>IF(_epmOfflineCondition_,"",IF(AND(I151="N",J151="N"),_xll.EVPRO($B$1,H151,"PSFTID"),""))</f>
        <v/>
      </c>
      <c r="N151" s="104" t="str">
        <f>IF(_epmOfflineCondition_,"Contract",IF(_xll.EVDES(H151,$B$1)="#NODATA","",_xll.EVDES(H151,$B$1)))</f>
        <v>Contract</v>
      </c>
      <c r="O151" s="353"/>
      <c r="P151" s="354"/>
      <c r="Q151" s="354"/>
      <c r="R151" s="354"/>
      <c r="S151" s="354"/>
      <c r="T151" s="354"/>
      <c r="U151" s="354"/>
      <c r="V151" s="354"/>
      <c r="W151" s="354"/>
      <c r="X151" s="354"/>
      <c r="Y151" s="354"/>
      <c r="Z151" s="354"/>
      <c r="AA151" s="354"/>
      <c r="AB151" s="355">
        <f>IF(_epmOfflineCondition_,0,IF(_xll.EVGET($B$1,$B$3,$B$5,$B$6,$B$7,$B$9,AA$16,AA$17,AA$18,$G151)="#NODATA","",_xll.EVGET($B$1,$B$3,$B$5,$B$6,$B$7,$B$9,AA$16,AA$17,AA$18,$G151)))</f>
        <v>0</v>
      </c>
      <c r="AC151" s="140"/>
      <c r="AD151" s="353"/>
      <c r="AE151" s="355">
        <f>IF(_epmOfflineCondition_,0,IF(_xll.EVGET($B$1,$B$3,$B$5,$B$6,$B$7,$B$9,AD$16,AD$17,AD$18,$G151)="#NODATA","",_xll.EVGET($B$1,$B$3,$B$5,$B$6,$B$7,$B$9,AD$16,AD$17,AD$18,$G151)))</f>
        <v>0</v>
      </c>
      <c r="AF151" s="356" t="str">
        <f t="shared" si="15"/>
        <v/>
      </c>
      <c r="AG151" s="353"/>
      <c r="AH151" s="355">
        <f>IF(_epmOfflineCondition_,0,IF(_xll.EVGET($B$1,$B$3,$B$5,$B$6,$B$7,$B$9,AG$16,AG$17,AG$18,$G151)="#NODATA","",_xll.EVGET($B$1,$B$3,$B$5,$B$6,$B$7,$B$9,AG$16,AG$17,AG$18,$G151)))</f>
        <v>0</v>
      </c>
      <c r="AI151" s="357" t="str">
        <f t="shared" si="16"/>
        <v/>
      </c>
    </row>
    <row r="152" spans="1:35" x14ac:dyDescent="0.35">
      <c r="A152" s="11"/>
      <c r="B152" s="11"/>
      <c r="C152" s="11"/>
      <c r="D152" s="11"/>
      <c r="E152" s="11"/>
      <c r="F152" s="11"/>
      <c r="G152" s="265" t="s">
        <v>495</v>
      </c>
      <c r="H152" s="88" t="s">
        <v>208</v>
      </c>
      <c r="I152" s="89" t="str">
        <f>IF(_epmOfflineCondition_,"T2",_xll.EVPRO($B$1,$H152,"STYLE"))</f>
        <v>T2</v>
      </c>
      <c r="J152" s="89" t="str">
        <f>IF(_epmOfflineCondition_,"Y",_xll.EVPRO($B$1,$H152,"CALC"))</f>
        <v>Y</v>
      </c>
      <c r="K152" s="11"/>
      <c r="L152" s="106" t="str">
        <f>IF(_epmOfflineCondition_,"",_xll.EVPRO($B$1,H152,"JDEID"))</f>
        <v/>
      </c>
      <c r="M152" s="90" t="str">
        <f>IF(_epmOfflineCondition_,"",IF(AND(I152="N",J152="N"),_xll.EVPRO($B$1,H152,"PSFTID"),""))</f>
        <v/>
      </c>
      <c r="N152" s="106" t="s">
        <v>496</v>
      </c>
      <c r="O152" s="358">
        <f>IF(_epmOfflineCondition_,167.684632121386,IF(_xll.EVGET($B$1,$B$3,$B$5,$B$6,$B$7,$B$9,O$16,O$17,O$18,$H152)="#NODATA","",_xll.EVGET($B$1,$B$3,$B$5,$B$6,$B$7,$B$9,O$16,O$17,O$18,$H152)))</f>
        <v>167.68463212138599</v>
      </c>
      <c r="P152" s="358">
        <f>IF(_epmOfflineCondition_,203.346643937148,IF(_xll.EVGET($B$1,$B$3,$B$5,$B$6,$B$7,$B$9,P$16,P$17,P$18,$H152)="#NODATA","",_xll.EVGET($B$1,$B$3,$B$5,$B$6,$B$7,$B$9,P$16,P$17,P$18,$H152)))</f>
        <v>203.346643937148</v>
      </c>
      <c r="Q152" s="358">
        <f>IF(_epmOfflineCondition_,236.421503410641,IF(_xll.EVGET($B$1,$B$3,$B$5,$B$6,$B$7,$B$9,Q$16,Q$17,Q$18,$H152)="#NODATA","",_xll.EVGET($B$1,$B$3,$B$5,$B$6,$B$7,$B$9,Q$16,Q$17,Q$18,$H152)))</f>
        <v>236.42150341064101</v>
      </c>
      <c r="R152" s="358">
        <f>IF(_epmOfflineCondition_,240.30959697733,IF(_xll.EVGET($B$1,$B$3,$B$5,$B$6,$B$7,$B$9,R$16,R$17,R$18,$H152)="#NODATA","",_xll.EVGET($B$1,$B$3,$B$5,$B$6,$B$7,$B$9,R$16,R$17,R$18,$H152)))</f>
        <v>240.30959697732999</v>
      </c>
      <c r="S152" s="358">
        <f>IF(_epmOfflineCondition_,270.11880541545,IF(_xll.EVGET($B$1,$B$3,$B$5,$B$6,$B$7,$B$9,S$16,S$17,S$18,$H152)="#NODATA","",_xll.EVGET($B$1,$B$3,$B$5,$B$6,$B$7,$B$9,S$16,S$17,S$18,$H152)))</f>
        <v>270.11880541545003</v>
      </c>
      <c r="T152" s="358">
        <f>IF(_epmOfflineCondition_,230.058962758621,IF(_xll.EVGET($B$1,$B$3,$B$5,$B$6,$B$7,$B$9,T$16,T$17,T$18,$H152)="#NODATA","",_xll.EVGET($B$1,$B$3,$B$5,$B$6,$B$7,$B$9,T$16,T$17,T$18,$H152)))</f>
        <v>230.05896275862099</v>
      </c>
      <c r="U152" s="358">
        <f>IF(_epmOfflineCondition_,267.218035413153,IF(_xll.EVGET($B$1,$B$3,$B$5,$B$6,$B$7,$B$9,U$16,U$17,U$18,$H152)="#NODATA","",_xll.EVGET($B$1,$B$3,$B$5,$B$6,$B$7,$B$9,U$16,U$17,U$18,$H152)))</f>
        <v>267.21803541315302</v>
      </c>
      <c r="V152" s="358">
        <f>IF(_epmOfflineCondition_,206.731720554273,IF(_xll.EVGET($B$1,$B$3,$B$5,$B$6,$B$7,$B$9,V$16,V$17,V$18,$H152)="#NODATA","",_xll.EVGET($B$1,$B$3,$B$5,$B$6,$B$7,$B$9,V$16,V$17,V$18,$H152)))</f>
        <v>206.73172055427301</v>
      </c>
      <c r="W152" s="358">
        <f>IF(_epmOfflineCondition_,182.900909479078,IF(_xll.EVGET($B$1,$B$3,$B$5,$B$6,$B$7,$B$9,W$16,W$17,W$18,$H152)="#NODATA","",_xll.EVGET($B$1,$B$3,$B$5,$B$6,$B$7,$B$9,W$16,W$17,W$18,$H152)))</f>
        <v>182.900909479078</v>
      </c>
      <c r="X152" s="358">
        <f>IF(_epmOfflineCondition_,185.161209193871,IF(_xll.EVGET($B$1,$B$3,$B$5,$B$6,$B$7,$B$9,X$16,X$17,X$18,$H152)="#NODATA","",_xll.EVGET($B$1,$B$3,$B$5,$B$6,$B$7,$B$9,X$16,X$17,X$18,$H152)))</f>
        <v>185.161209193871</v>
      </c>
      <c r="Y152" s="358">
        <f>IF(_epmOfflineCondition_,232.859146961987,IF(_xll.EVGET($B$1,$B$3,$B$5,$B$6,$B$7,$B$9,Y$16,Y$17,Y$18,$H152)="#NODATA","",_xll.EVGET($B$1,$B$3,$B$5,$B$6,$B$7,$B$9,Y$16,Y$17,Y$18,$H152)))</f>
        <v>232.85914696198699</v>
      </c>
      <c r="Z152" s="358">
        <f>IF(_epmOfflineCondition_,336.985405899243,IF(_xll.EVGET($B$1,$B$3,$B$5,$B$6,$B$7,$B$9,Z$16,Z$17,Z$18,$H152)="#NODATA","",_xll.EVGET($B$1,$B$3,$B$5,$B$6,$B$7,$B$9,Z$16,Z$17,Z$18,$H152)))</f>
        <v>336.98540589924301</v>
      </c>
      <c r="AA152" s="358">
        <f>IF(_epmOfflineCondition_,233.749628809002,IF(_xll.EVGET($B$1,$B$3,$B$5,$B$6,$B$7,$B$9,AA$16,AA$17,AA$18,$H152)="#NODATA","",_xll.EVGET($B$1,$B$3,$B$5,$B$6,$B$7,$B$9,AA$16,AA$17,AA$18,$H152)))</f>
        <v>233.74962880900199</v>
      </c>
      <c r="AB152" s="359">
        <f>IF(_epmOfflineCondition_,0.833706932337069,IF(_xll.EVGET($B$1,$B$3,$B$5,$B$6,$B$7,$B$9,AA$16,AA$17,AA$18,$G152)="#NODATA","",_xll.EVGET($B$1,$B$3,$B$5,$B$6,$B$7,$B$9,AA$16,AA$17,AA$18,$G152)))</f>
        <v>0.83370693233706905</v>
      </c>
      <c r="AC152" s="140"/>
      <c r="AD152" s="358">
        <f>IF(_epmOfflineCondition_,158.624143619861,IF(_xll.EVGET($B$1,$B$3,$B$5,$B$6,$B$7,$B$9,AD$16,AD$17,AD$18,$H152)="#NODATA","",_xll.EVGET($B$1,$B$3,$B$5,$B$6,$B$7,$B$9,AD$16,AD$17,AD$18,$H152)))</f>
        <v>158.624143619861</v>
      </c>
      <c r="AE152" s="359">
        <f>IF(_epmOfflineCondition_,0.77750103777501,IF(_xll.EVGET($B$1,$B$3,$B$5,$B$6,$B$7,$B$9,AD$16,AD$17,AD$18,$G152)="#NODATA","",_xll.EVGET($B$1,$B$3,$B$5,$B$6,$B$7,$B$9,AD$16,AD$17,AD$18,$G152)))</f>
        <v>0.77750103777501001</v>
      </c>
      <c r="AF152" s="360">
        <f t="shared" si="15"/>
        <v>75.125485189140988</v>
      </c>
      <c r="AG152" s="358">
        <f>IF(_epmOfflineCondition_,204.824991693098,IF(_xll.EVGET($B$1,$B$3,$B$5,$B$6,$B$7,$B$9,AG$16,AG$17,AG$18,$H152)="#NODATA","",_xll.EVGET($B$1,$B$3,$B$5,$B$6,$B$7,$B$9,AG$16,AG$17,AG$18,$H152)))</f>
        <v>204.82499169309801</v>
      </c>
      <c r="AH152" s="359">
        <f>IF(_epmOfflineCondition_,0.411140089418778,IF(_xll.EVGET($B$1,$B$3,$B$5,$B$6,$B$7,$B$9,AG$16,AG$17,AG$18,$G152)="#NODATA","",_xll.EVGET($B$1,$B$3,$B$5,$B$6,$B$7,$B$9,AG$16,AG$17,AG$18,$G152)))</f>
        <v>0.411140089418778</v>
      </c>
      <c r="AI152" s="360">
        <f t="shared" si="16"/>
        <v>28.924637115903977</v>
      </c>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11"/>
      <c r="J154" s="11"/>
      <c r="K154" s="11"/>
      <c r="L154" s="11"/>
      <c r="M154" s="11"/>
      <c r="N154" s="104" t="str">
        <f>N152&amp;" - Check"</f>
        <v>Total ADR/ OCC% - Check</v>
      </c>
      <c r="O154" s="102">
        <f t="shared" ref="O154:AA154" si="17">IFERROR(O69/O105,0)</f>
        <v>167.68463212138565</v>
      </c>
      <c r="P154" s="102">
        <f t="shared" si="17"/>
        <v>203.34664393714795</v>
      </c>
      <c r="Q154" s="102">
        <f t="shared" si="17"/>
        <v>236.42150341064121</v>
      </c>
      <c r="R154" s="102">
        <f t="shared" si="17"/>
        <v>240.30959697732996</v>
      </c>
      <c r="S154" s="102">
        <f t="shared" si="17"/>
        <v>270.11880541544997</v>
      </c>
      <c r="T154" s="102">
        <f t="shared" si="17"/>
        <v>230.05896275862068</v>
      </c>
      <c r="U154" s="102">
        <f t="shared" si="17"/>
        <v>267.21803541315347</v>
      </c>
      <c r="V154" s="102">
        <f t="shared" si="17"/>
        <v>206.73172055427253</v>
      </c>
      <c r="W154" s="102">
        <f t="shared" si="17"/>
        <v>182.90090947907771</v>
      </c>
      <c r="X154" s="102">
        <f t="shared" si="17"/>
        <v>185.16120919387075</v>
      </c>
      <c r="Y154" s="102">
        <f t="shared" si="17"/>
        <v>232.85914696198745</v>
      </c>
      <c r="Z154" s="102">
        <f t="shared" si="17"/>
        <v>336.98540589924306</v>
      </c>
      <c r="AA154" s="102">
        <f t="shared" si="17"/>
        <v>233.74962880900219</v>
      </c>
      <c r="AB154" s="268">
        <f>IFERROR(AA105/AA109,0)</f>
        <v>0.83370693233706927</v>
      </c>
      <c r="AC154" s="11"/>
      <c r="AD154" s="102">
        <f>IFERROR(AD69/AD105,0)</f>
        <v>158.62414361986117</v>
      </c>
      <c r="AE154" s="268">
        <f>IFERROR(AD105/AD109,0)</f>
        <v>0.77750103777501034</v>
      </c>
      <c r="AF154" s="91"/>
      <c r="AG154" s="102">
        <f>IFERROR(AG69/AG105,0)</f>
        <v>204.82499169309773</v>
      </c>
      <c r="AH154" s="268">
        <f>IFERROR(AG105/AG109,0)</f>
        <v>0.41114008941877794</v>
      </c>
      <c r="AI154" s="91"/>
    </row>
  </sheetData>
  <sheetProtection algorithmName="SHA-512" hashValue="67BO7XBJ11bUdH7gInQ2YihVKZL0evST0l+wI3bY3Z6I5b1qrDTqTxr7Yu9vMn1L5tVsO2SeYNdfI5iw83midQ==" saltValue="PYBF2+v7mYRHqB16ketSQA==" spinCount="100000" sheet="1" scenarios="1"/>
  <mergeCells count="2">
    <mergeCell ref="AD31:AE31"/>
    <mergeCell ref="AG31:AH31"/>
  </mergeCells>
  <conditionalFormatting sqref="AF34:AF69 AI34:AI69 AF72:AF116 AI72:AI116">
    <cfRule type="expression" dxfId="179" priority="12">
      <formula>AF$32="Variance"</formula>
    </cfRule>
  </conditionalFormatting>
  <conditionalFormatting sqref="AF119:AF152">
    <cfRule type="expression" dxfId="178" priority="4">
      <formula>AF$32="Variance"</formula>
    </cfRule>
  </conditionalFormatting>
  <conditionalFormatting sqref="AI119:AI152">
    <cfRule type="expression" dxfId="177" priority="3">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61122"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61122" r:id="rId7"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41.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0" t="str">
        <f>IF(_epmOfflineCondition_,"FCST",_xll.EVPRO($B$1,$B$4,"GROUP"))</f>
        <v>FCST</v>
      </c>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237</v>
      </c>
      <c r="C6" s="11" t="str">
        <f>IF(_epmOfflineCondition_,"Reservations",_xll.EVDES(B6,$B$1))</f>
        <v>Reservations</v>
      </c>
      <c r="D6" s="11"/>
      <c r="E6" s="58" t="str">
        <f>IF(_epmOfflineCondition_,"D1122",_xll.EVPRO($B$1,$B$6,$F$6))</f>
        <v>D1122</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IF(_epmOfflineCondition_,"'Resv'!$B$2:$B$10",_xll.EVRNG($B$2:$B$10))</f>
        <v>'Resv'!$B$2:$B$10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IF(_epmOfflineCondition_,"'Resv'!$O$16:$AN$18",_xll.EVRNG($O$16:$AN$18))</f>
        <v>'Resv'!$O$16:$AN$18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IF(_epmOfflineCondition_,"'Resv'!$H$34:$H$45",_xll.EVRNG(H34:H45))</f>
        <v>'Resv'!$H$34:$H$45</v>
      </c>
      <c r="C19" s="11"/>
      <c r="D19" s="11"/>
      <c r="E19" s="11"/>
      <c r="F19" s="11"/>
      <c r="G19" s="67" t="str">
        <f>$B$6</f>
        <v>D_RESV_CON</v>
      </c>
      <c r="H19" s="67">
        <v>700000</v>
      </c>
      <c r="I19" s="68"/>
      <c r="J19" s="68"/>
      <c r="K19" s="67"/>
      <c r="L19" s="67"/>
      <c r="M19" s="67"/>
      <c r="N19" s="67" t="str">
        <f>IF(_epmOfflineCondition_,"Total Operations Expense",_xll.EVDES(H19))</f>
        <v>Total Operations Expense</v>
      </c>
      <c r="O19" s="69">
        <f>IF(_epmOfflineCondition_,5980.72,_xll.EVGTS($B$1,1,$B$3,$B$5,$B$7,$B$9,O$16,O$17,O$18,$G$19,$H$19))</f>
        <v>5980.72</v>
      </c>
      <c r="P19" s="69">
        <f>IF(_epmOfflineCondition_,6930.96,_xll.EVGTS($B$1,1,$B$3,$B$5,$B$7,$B$9,P$16,P$17,P$18,$G$19,$H$19))</f>
        <v>6930.96</v>
      </c>
      <c r="Q19" s="69">
        <f>IF(_epmOfflineCondition_,8774.91,_xll.EVGTS($B$1,1,$B$3,$B$5,$B$7,$B$9,Q$16,Q$17,Q$18,$G$19,$H$19))</f>
        <v>8774.91</v>
      </c>
      <c r="R19" s="69">
        <f>IF(_epmOfflineCondition_,8789.94,_xll.EVGTS($B$1,1,$B$3,$B$5,$B$7,$B$9,R$16,R$17,R$18,$G$19,$H$19))</f>
        <v>8789.94</v>
      </c>
      <c r="S19" s="69">
        <f>IF(_epmOfflineCondition_,10169.54,_xll.EVGTS($B$1,1,$B$3,$B$5,$B$7,$B$9,S$16,S$17,S$18,$G$19,$H$19))</f>
        <v>10169.540000000001</v>
      </c>
      <c r="T19" s="69">
        <f>IF(_epmOfflineCondition_,8717.43,_xll.EVGTS($B$1,1,$B$3,$B$5,$B$7,$B$9,T$16,T$17,T$18,$G$19,$H$19))</f>
        <v>8717.43</v>
      </c>
      <c r="U19" s="69">
        <f>IF(_epmOfflineCondition_,9708.06,_xll.EVGTS($B$1,1,$B$3,$B$5,$B$7,$B$9,U$16,U$17,U$18,$G$19,$H$19))</f>
        <v>9708.06</v>
      </c>
      <c r="V19" s="69">
        <f>IF(_epmOfflineCondition_,5741.28,_xll.EVGTS($B$1,1,$B$3,$B$5,$B$7,$B$9,V$16,V$17,V$18,$G$19,$H$19))</f>
        <v>5741.28</v>
      </c>
      <c r="W19" s="69">
        <f>IF(_epmOfflineCondition_,4261.91,_xll.EVGTS($B$1,1,$B$3,$B$5,$B$7,$B$9,W$16,W$17,W$18,$G$19,$H$19))</f>
        <v>4261.91</v>
      </c>
      <c r="X19" s="69">
        <f>IF(_epmOfflineCondition_,5656.08,_xll.EVGTS($B$1,1,$B$3,$B$5,$B$7,$B$9,X$16,X$17,X$18,$G$19,$H$19))</f>
        <v>5656.08</v>
      </c>
      <c r="Y19" s="69">
        <f>IF(_epmOfflineCondition_,7424.14,_xll.EVGTS($B$1,1,$B$3,$B$5,$B$7,$B$9,Y$16,Y$17,Y$18,$G$19,$H$19))</f>
        <v>7424.14</v>
      </c>
      <c r="Z19" s="69">
        <f>IF(_epmOfflineCondition_,11440.65,_xll.EVGTS($B$1,1,$B$3,$B$5,$B$7,$B$9,Z$16,Z$17,Z$18,$G$19,$H$19))</f>
        <v>11440.65</v>
      </c>
      <c r="AA19" s="69">
        <f>SUM(O19:Z19)</f>
        <v>93595.62</v>
      </c>
      <c r="AB19" s="67"/>
      <c r="AC19" s="67"/>
      <c r="AD19" s="69">
        <f>IF(_epmOfflineCondition_,65035.305,_xll.EVGTS($B$1,1,$B$3,$B$5,$B$7,$B$9,AD$16,AD$17,AD$18,$G$19,$H$19))</f>
        <v>65035.305</v>
      </c>
      <c r="AE19" s="67"/>
      <c r="AF19" s="67"/>
      <c r="AG19" s="69">
        <f>IF(_epmOfflineCondition_,43345.5,_xll.EVGTS($B$1,1,$B$3,$B$5,$B$7,$B$9,AG$16,AG$17,AG$18,$G$19,$H$19))</f>
        <v>43345.5</v>
      </c>
      <c r="AH19" s="67"/>
      <c r="AI19" s="67"/>
      <c r="AJ19" s="11"/>
      <c r="AK19" s="11"/>
      <c r="AL19" s="11"/>
      <c r="AM19" s="11"/>
      <c r="AN19" s="11"/>
      <c r="AO19" s="11"/>
    </row>
    <row r="20" spans="1:41" hidden="1" outlineLevel="1" x14ac:dyDescent="0.35">
      <c r="A20" s="65" t="s">
        <v>5</v>
      </c>
      <c r="B20" s="66"/>
      <c r="C20" s="11"/>
      <c r="D20" s="11"/>
      <c r="E20" s="11"/>
      <c r="F20" s="11"/>
      <c r="G20" s="67" t="str">
        <f>$B$6</f>
        <v>D_RESV_CON</v>
      </c>
      <c r="H20" s="67" t="s">
        <v>236</v>
      </c>
      <c r="I20" s="68"/>
      <c r="J20" s="68"/>
      <c r="K20" s="67"/>
      <c r="L20" s="67"/>
      <c r="M20" s="67"/>
      <c r="N20" s="67" t="str">
        <f>IF(_epmOfflineCondition_,"Total # of Net Reservation Taken",_xll.EVDES(H20))</f>
        <v>Total # of Net Reservation Taken</v>
      </c>
      <c r="O20" s="69">
        <f>IF(_epmOfflineCondition_,18,_xll.EVGTS($B$1,1,$B$3,$B$5,$B$7,$B$9,O$16,O$17,O$18,$G$20,$H$20))</f>
        <v>18</v>
      </c>
      <c r="P20" s="69">
        <f>IF(_epmOfflineCondition_,10,_xll.EVGTS($B$1,1,$B$3,$B$5,$B$7,$B$9,P$16,P$17,P$18,$G$20,$H$20))</f>
        <v>10</v>
      </c>
      <c r="Q20" s="69">
        <f>IF(_epmOfflineCondition_,16,_xll.EVGTS($B$1,1,$B$3,$B$5,$B$7,$B$9,Q$16,Q$17,Q$18,$G$20,$H$20))</f>
        <v>16</v>
      </c>
      <c r="R20" s="69">
        <f>IF(_epmOfflineCondition_,32,_xll.EVGTS($B$1,1,$B$3,$B$5,$B$7,$B$9,R$16,R$17,R$18,$G$20,$H$20))</f>
        <v>32</v>
      </c>
      <c r="S20" s="69">
        <f>IF(_epmOfflineCondition_,16,_xll.EVGTS($B$1,1,$B$3,$B$5,$B$7,$B$9,S$16,S$17,S$18,$G$20,$H$20))</f>
        <v>16</v>
      </c>
      <c r="T20" s="69">
        <f>IF(_epmOfflineCondition_,8,_xll.EVGTS($B$1,1,$B$3,$B$5,$B$7,$B$9,T$16,T$17,T$18,$G$20,$H$20))</f>
        <v>8</v>
      </c>
      <c r="U20" s="69">
        <f>IF(_epmOfflineCondition_,32,_xll.EVGTS($B$1,1,$B$3,$B$5,$B$7,$B$9,U$16,U$17,U$18,$G$20,$H$20))</f>
        <v>32</v>
      </c>
      <c r="V20" s="69">
        <f>IF(_epmOfflineCondition_,25,_xll.EVGTS($B$1,1,$B$3,$B$5,$B$7,$B$9,V$16,V$17,V$18,$G$20,$H$20))</f>
        <v>25</v>
      </c>
      <c r="W20" s="69">
        <f>IF(_epmOfflineCondition_,29,_xll.EVGTS($B$1,1,$B$3,$B$5,$B$7,$B$9,W$16,W$17,W$18,$G$20,$H$20))</f>
        <v>29</v>
      </c>
      <c r="X20" s="69">
        <f>IF(_epmOfflineCondition_,8,_xll.EVGTS($B$1,1,$B$3,$B$5,$B$7,$B$9,X$16,X$17,X$18,$G$20,$H$20))</f>
        <v>8</v>
      </c>
      <c r="Y20" s="69">
        <f>IF(_epmOfflineCondition_,31,_xll.EVGTS($B$1,1,$B$3,$B$5,$B$7,$B$9,Y$16,Y$17,Y$18,$G$20,$H$20))</f>
        <v>31</v>
      </c>
      <c r="Z20" s="69">
        <f>IF(_epmOfflineCondition_,50,_xll.EVGTS($B$1,1,$B$3,$B$5,$B$7,$B$9,Z$16,Z$17,Z$18,$G$20,$H$20))</f>
        <v>50</v>
      </c>
      <c r="AA20" s="69">
        <f>SUM(O20:Z20)</f>
        <v>275</v>
      </c>
      <c r="AB20" s="67"/>
      <c r="AC20" s="67"/>
      <c r="AD20" s="69">
        <f>IF(_epmOfflineCondition_,846.047,_xll.EVGTS($B$1,1,$B$3,$B$5,$B$7,$B$9,AD$16,AD$17,AD$18,$G$20,$H$20))</f>
        <v>846.04700000000003</v>
      </c>
      <c r="AE20" s="67"/>
      <c r="AF20" s="67"/>
      <c r="AG20" s="69">
        <f>IF(_epmOfflineCondition_,1294,_xll.EVGTS($B$1,1,$B$3,$B$5,$B$7,$B$9,AG$16,AG$17,AG$18,$G$20,$H$20))</f>
        <v>1294</v>
      </c>
      <c r="AH20" s="67"/>
      <c r="AI20" s="67"/>
      <c r="AJ20" s="11"/>
      <c r="AK20" s="11"/>
      <c r="AL20" s="11"/>
      <c r="AM20" s="11"/>
      <c r="AN20" s="11"/>
      <c r="AO20" s="11"/>
    </row>
    <row r="21" spans="1:41" hidden="1" outlineLevel="1" x14ac:dyDescent="0.35">
      <c r="A21" s="65" t="s">
        <v>6</v>
      </c>
      <c r="B21" s="66"/>
      <c r="C21" s="11"/>
      <c r="D21" s="11"/>
      <c r="E21" s="11"/>
      <c r="F21" s="11"/>
      <c r="G21" s="67" t="s">
        <v>254</v>
      </c>
      <c r="H21" s="67">
        <v>990100</v>
      </c>
      <c r="I21" s="361" t="str">
        <f>IF($G$4="ACTUAL","CURRENT",$B$4)</f>
        <v>CURRENT</v>
      </c>
      <c r="J21" s="68"/>
      <c r="K21" s="67"/>
      <c r="L21" s="67"/>
      <c r="M21" s="67"/>
      <c r="N21" s="67" t="str">
        <f>IF(_epmOfflineCondition_,"Number of Rooms on Property",_xll.EVDES(H21))</f>
        <v>Number of Rooms on Property</v>
      </c>
      <c r="O21" s="69">
        <f>IF(_epmOfflineCondition_,132,_xll.EVGTS($B$1,1,$B$3,$B$5,$B$7,$B$9,O$16,$I$21,O$18,$G$21,$H$21))</f>
        <v>132</v>
      </c>
      <c r="P21" s="69">
        <f>IF(_epmOfflineCondition_,132,_xll.EVGTS($B$1,1,$B$3,$B$5,$B$7,$B$9,P$16,$I$21,P$18,$G$21,$H$21))</f>
        <v>132</v>
      </c>
      <c r="Q21" s="69">
        <f>IF(_epmOfflineCondition_,132,_xll.EVGTS($B$1,1,$B$3,$B$5,$B$7,$B$9,Q$16,$I$21,Q$18,$G$21,$H$21))</f>
        <v>132</v>
      </c>
      <c r="R21" s="69">
        <f>IF(_epmOfflineCondition_,132,_xll.EVGTS($B$1,1,$B$3,$B$5,$B$7,$B$9,R$16,$I$21,R$18,$G$21,$H$21))</f>
        <v>132</v>
      </c>
      <c r="S21" s="69">
        <f>IF(_epmOfflineCondition_,132,_xll.EVGTS($B$1,1,$B$3,$B$5,$B$7,$B$9,S$16,$I$21,S$18,$G$21,$H$21))</f>
        <v>132</v>
      </c>
      <c r="T21" s="69">
        <f>IF(_epmOfflineCondition_,132,_xll.EVGTS($B$1,1,$B$3,$B$5,$B$7,$B$9,T$16,$I$21,T$18,$G$21,$H$21))</f>
        <v>132</v>
      </c>
      <c r="U21" s="69">
        <f>IF(_epmOfflineCondition_,132,_xll.EVGTS($B$1,1,$B$3,$B$5,$B$7,$B$9,U$16,$I$21,U$18,$G$21,$H$21))</f>
        <v>132</v>
      </c>
      <c r="V21" s="69">
        <f>IF(_epmOfflineCondition_,132,_xll.EVGTS($B$1,1,$B$3,$B$5,$B$7,$B$9,V$16,$I$21,V$18,$G$21,$H$21))</f>
        <v>132</v>
      </c>
      <c r="W21" s="69">
        <f>IF(_epmOfflineCondition_,132,_xll.EVGTS($B$1,1,$B$3,$B$5,$B$7,$B$9,W$16,$I$21,W$18,$G$21,$H$21))</f>
        <v>132</v>
      </c>
      <c r="X21" s="69">
        <f>IF(_epmOfflineCondition_,132,_xll.EVGTS($B$1,1,$B$3,$B$5,$B$7,$B$9,X$16,$I$21,X$18,$G$21,$H$21))</f>
        <v>132</v>
      </c>
      <c r="Y21" s="69">
        <f>IF(_epmOfflineCondition_,132,_xll.EVGTS($B$1,1,$B$3,$B$5,$B$7,$B$9,Y$16,$I$21,Y$18,$G$21,$H$21))</f>
        <v>132</v>
      </c>
      <c r="Z21" s="69">
        <f>IF(_epmOfflineCondition_,132,_xll.EVGTS($B$1,1,$B$3,$B$5,$B$7,$B$9,Z$16,$I$21,Z$18,$G$21,$H$21))</f>
        <v>132</v>
      </c>
      <c r="AA21" s="69">
        <f>SUM(O21:Z21)</f>
        <v>1584</v>
      </c>
      <c r="AB21" s="67"/>
      <c r="AC21" s="67"/>
      <c r="AD21" s="362">
        <f>IF(_epmOfflineCondition_,1584,_xll.EVGTS($B$1,1,$B$3,$B$5,$B$7,$B$9,AD$16,$AE$21,"PERIODIC",$G$21,$H$21))</f>
        <v>1584</v>
      </c>
      <c r="AE21" s="67" t="s">
        <v>255</v>
      </c>
      <c r="AF21" s="67"/>
      <c r="AG21" s="362">
        <f>IF(_epmOfflineCondition_,1584,_xll.EVGTS($B$1,1,$B$3,$B$5,$B$7,$B$9,AG$16,$AH$21,"PERIODIC",$G$21,$H$21))</f>
        <v>1584</v>
      </c>
      <c r="AH21" s="67" t="s">
        <v>255</v>
      </c>
      <c r="AI21" s="67"/>
      <c r="AJ21" s="11"/>
      <c r="AK21" s="11"/>
      <c r="AL21" s="11"/>
      <c r="AM21" s="11"/>
      <c r="AN21" s="11"/>
      <c r="AO21" s="11"/>
    </row>
    <row r="22" spans="1:41" hidden="1" outlineLevel="1" x14ac:dyDescent="0.35">
      <c r="A22" s="65" t="s">
        <v>7</v>
      </c>
      <c r="B22" s="66" t="str">
        <f>IF(_epmOfflineCondition_,"'Resv'!$A$36:$F$41",_xll.EVRNG(A36:F41))</f>
        <v>'Resv'!$A$36:$F$41</v>
      </c>
      <c r="C22" s="11"/>
      <c r="D22" s="11"/>
      <c r="E22" s="11"/>
      <c r="F22" s="11"/>
      <c r="G22" s="67" t="s">
        <v>749</v>
      </c>
      <c r="H22" s="67">
        <v>900200</v>
      </c>
      <c r="I22" s="68"/>
      <c r="J22" s="68"/>
      <c r="K22" s="67"/>
      <c r="L22" s="68"/>
      <c r="M22" s="68"/>
      <c r="N22" s="67" t="str">
        <f>IF(_epmOfflineCondition_,"Total Rooms Occupied",_xll.EVDES(H22))</f>
        <v>Total Rooms Occupied</v>
      </c>
      <c r="O22" s="69">
        <f>IF(_epmOfflineCondition_,3501,_xll.EVGTS($B$1,1,$B$3,$B$5,$B$7,$B$9,O$16,O$17,O$18,$G$22,$H$22))</f>
        <v>3501</v>
      </c>
      <c r="P22" s="69">
        <f>IF(_epmOfflineCondition_,3377,_xll.EVGTS($B$1,1,$B$3,$B$5,$B$7,$B$9,P$16,P$17,P$18,$G$22,$H$22))</f>
        <v>3377</v>
      </c>
      <c r="Q22" s="69">
        <f>IF(_epmOfflineCondition_,3667,_xll.EVGTS($B$1,1,$B$3,$B$5,$B$7,$B$9,Q$16,Q$17,Q$18,$G$22,$H$22))</f>
        <v>3667</v>
      </c>
      <c r="R22" s="69">
        <f>IF(_epmOfflineCondition_,3581,_xll.EVGTS($B$1,1,$B$3,$B$5,$B$7,$B$9,R$16,R$17,R$18,$G$22,$H$22))</f>
        <v>3581</v>
      </c>
      <c r="S22" s="69">
        <f>IF(_epmOfflineCondition_,3767,_xll.EVGTS($B$1,1,$B$3,$B$5,$B$7,$B$9,S$16,S$17,S$18,$G$22,$H$22))</f>
        <v>3767</v>
      </c>
      <c r="T22" s="69">
        <f>IF(_epmOfflineCondition_,3631,_xll.EVGTS($B$1,1,$B$3,$B$5,$B$7,$B$9,T$16,T$17,T$18,$G$22,$H$22))</f>
        <v>3631</v>
      </c>
      <c r="U22" s="69">
        <f>IF(_epmOfflineCondition_,3561,_xll.EVGTS($B$1,1,$B$3,$B$5,$B$7,$B$9,U$16,U$17,U$18,$G$22,$H$22))</f>
        <v>3561</v>
      </c>
      <c r="V22" s="69">
        <f>IF(_epmOfflineCondition_,2601,_xll.EVGTS($B$1,1,$B$3,$B$5,$B$7,$B$9,V$16,V$17,V$18,$G$22,$H$22))</f>
        <v>2601</v>
      </c>
      <c r="W22" s="69">
        <f>IF(_epmOfflineCondition_,2344,_xll.EVGTS($B$1,1,$B$3,$B$5,$B$7,$B$9,W$16,W$17,W$18,$G$22,$H$22))</f>
        <v>2344</v>
      </c>
      <c r="X22" s="69">
        <f>IF(_epmOfflineCondition_,3006,_xll.EVGTS($B$1,1,$B$3,$B$5,$B$7,$B$9,X$16,X$17,X$18,$G$22,$H$22))</f>
        <v>3006</v>
      </c>
      <c r="Y22" s="69">
        <f>IF(_epmOfflineCondition_,3349,_xll.EVGTS($B$1,1,$B$3,$B$5,$B$7,$B$9,Y$16,Y$17,Y$18,$G$22,$H$22))</f>
        <v>3349</v>
      </c>
      <c r="Z22" s="69">
        <f>IF(_epmOfflineCondition_,3834,_xll.EVGTS($B$1,1,$B$3,$B$5,$B$7,$B$9,Z$16,Z$17,Z$18,$G$22,$H$22))</f>
        <v>3834</v>
      </c>
      <c r="AA22" s="69">
        <f>SUM(O22:Z22)</f>
        <v>40219</v>
      </c>
      <c r="AB22" s="67"/>
      <c r="AC22" s="67"/>
      <c r="AD22" s="69">
        <f>IF(_epmOfflineCondition_,37525,_xll.EVGTS($B$1,1,$B$3,$B$5,$B$7,$B$9,AD$16,AD$17,AD$18,$G$22,$H$22))</f>
        <v>37525</v>
      </c>
      <c r="AE22" s="67"/>
      <c r="AF22" s="67"/>
      <c r="AG22" s="69">
        <f>IF(_epmOfflineCondition_,20050,_xll.EVGTS($B$1,1,$B$3,$B$5,$B$7,$B$9,AG$16,AG$17,AG$18,$G$22,$H$22))</f>
        <v>20050</v>
      </c>
      <c r="AH22" s="67"/>
      <c r="AI22" s="67"/>
      <c r="AJ22" s="11"/>
      <c r="AK22" s="11"/>
      <c r="AL22" s="11"/>
      <c r="AM22" s="11"/>
      <c r="AN22" s="11"/>
      <c r="AO22" s="11"/>
    </row>
    <row r="23" spans="1:41" hidden="1" outlineLevel="1" x14ac:dyDescent="0.35">
      <c r="A23" s="65" t="s">
        <v>47</v>
      </c>
      <c r="B23" s="66" t="str">
        <f>IF(_epmOfflineCondition_,"'Resv'!$A$87:$B$108",_xll.EVRNG($A$87:$B$108))</f>
        <v>'Resv'!$A$87:$B$108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IF(_epmOfflineCondition_,"Reservations Department",IF(_xll.EVDES(B6,$B$1)="#NODATA","",_xll.EVDES(B6,$B$1)&amp;" Department"))</f>
        <v>Reservations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256</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4"/>
      <c r="AM30" s="75"/>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77"/>
      <c r="AM31" s="80" t="str">
        <f>IF(_epmOfflineCondition_,"2020",_xll.EVPRO($B$1,AG$16,"YEAR"))</f>
        <v>2020</v>
      </c>
      <c r="AN31" s="77"/>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
        <v>747</v>
      </c>
      <c r="AM32" s="87" t="str">
        <f>AG32</f>
        <v>Actual</v>
      </c>
      <c r="AN32" s="87" t="s">
        <v>747</v>
      </c>
      <c r="AO32" s="83"/>
    </row>
    <row r="33" spans="1:41" x14ac:dyDescent="0.35">
      <c r="A33" s="65" t="s">
        <v>17</v>
      </c>
      <c r="B33" s="66"/>
      <c r="C33" s="11"/>
      <c r="D33" s="11"/>
      <c r="E33" s="11"/>
      <c r="F33" s="11"/>
      <c r="G33" s="76"/>
      <c r="H33" s="11" t="s">
        <v>239</v>
      </c>
      <c r="I33" s="59" t="str">
        <f>IF(_epmOfflineCondition_,"B1",_xll.EVPRO($B$1,$H33,"STYLE"))</f>
        <v>B1</v>
      </c>
      <c r="J33" s="59" t="str">
        <f>IF(_epmOfflineCondition_,"Y",_xll.EVPRO($B$1,$H33,"CALC"))</f>
        <v>Y</v>
      </c>
      <c r="K33" s="11"/>
      <c r="L33" s="133" t="s">
        <v>364</v>
      </c>
      <c r="M33" s="133" t="s">
        <v>782</v>
      </c>
      <c r="N33" s="105" t="str">
        <f>IF(_epmOfflineCondition_,"Reservations Expenses",IF(_xll.EVDES(H33,$B$1)="#NODATA","",_xll.EVDES(H33,$B$1)))</f>
        <v>Reservations Expenses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76"/>
      <c r="H34" s="88" t="s">
        <v>220</v>
      </c>
      <c r="I34" s="122" t="str">
        <f>IF(_epmOfflineCondition_,"N",_xll.EVPRO($B$1,$H34,"STYLE"))</f>
        <v>N</v>
      </c>
      <c r="J34" s="122" t="str">
        <f>IF(_epmOfflineCondition_,"N",_xll.EVPRO($B$1,$H34,"CALC"))</f>
        <v>N</v>
      </c>
      <c r="K34" s="179" t="str">
        <f t="shared" ref="K34:K45" si="0">IF(AND(I34&gt;="T5"),"&gt;","")</f>
        <v/>
      </c>
      <c r="L34" s="90" t="str">
        <f>IF(_epmOfflineCondition_,"710150",_xll.EVPRO($B$1,H34,"JDEID"))</f>
        <v>710150</v>
      </c>
      <c r="M34" s="90" t="str">
        <f>IF(_epmOfflineCondition_,"590165",IF(AND(I34="N",J34="N"),_xll.EVPRO($B$1,H34,"PSFTID"),""))</f>
        <v>590165</v>
      </c>
      <c r="N34" s="90" t="str">
        <f>IF(_epmOfflineCondition_,"CRS Call Fee",IF(_xll.EVDES(H34,$B$1)="#NODATA","",_xll.EVDES(H34,$B$1)))</f>
        <v>CRS Call Fee</v>
      </c>
      <c r="O34" s="143"/>
      <c r="P34" s="143"/>
      <c r="Q34" s="143"/>
      <c r="R34" s="143"/>
      <c r="S34" s="143"/>
      <c r="T34" s="143"/>
      <c r="U34" s="143"/>
      <c r="V34" s="143"/>
      <c r="W34" s="143"/>
      <c r="X34" s="143"/>
      <c r="Y34" s="143"/>
      <c r="Z34" s="143"/>
      <c r="AA34" s="250">
        <f t="shared" ref="AA34:AA45" si="1">IF($I34="B1","",SUM(O34:Z34))</f>
        <v>0</v>
      </c>
      <c r="AB34" s="144" t="str">
        <f t="shared" ref="AB34:AB45" si="2">IF(AA34=0,"",IFERROR(AA34/AA$19,""))</f>
        <v/>
      </c>
      <c r="AC34" s="140"/>
      <c r="AD34" s="143"/>
      <c r="AE34" s="144" t="str">
        <f t="shared" ref="AE34:AE45" si="3">IF(AD34=0,"",IFERROR(AD34/AD$19,""))</f>
        <v/>
      </c>
      <c r="AF34" s="145">
        <f t="shared" ref="AF34:AF45" si="4">IF(AND($AA34="",AD34=""),"",$AA34-AD34)</f>
        <v>0</v>
      </c>
      <c r="AG34" s="143"/>
      <c r="AH34" s="144" t="str">
        <f t="shared" ref="AH34:AH45" si="5">IF(AG34=0,"",IFERROR(AG34/AG$19,""))</f>
        <v/>
      </c>
      <c r="AI34" s="145">
        <f t="shared" ref="AI34:AI45" si="6">IF(AND($AA34="",AG34=""),"",$AA34-AG34)</f>
        <v>0</v>
      </c>
      <c r="AJ34" s="212">
        <f t="shared" ref="AJ34:AJ45" si="7">IFERROR(AA34/AA$22,0)</f>
        <v>0</v>
      </c>
      <c r="AK34" s="213">
        <f t="shared" ref="AK34:AK45" si="8">IFERROR(AD34/AD$22,0)</f>
        <v>0</v>
      </c>
      <c r="AL34" s="214">
        <f t="shared" ref="AL34:AL45" si="9">AJ34-AK34</f>
        <v>0</v>
      </c>
      <c r="AM34" s="215">
        <f t="shared" ref="AM34:AM45" si="10">IFERROR(AG34/AG$22,0)</f>
        <v>0</v>
      </c>
      <c r="AN34" s="214">
        <f t="shared" ref="AN34:AN45" si="11">AJ34-AM34</f>
        <v>0</v>
      </c>
      <c r="AO34" s="11"/>
    </row>
    <row r="35" spans="1:41" x14ac:dyDescent="0.35">
      <c r="A35" s="97" t="s">
        <v>92</v>
      </c>
      <c r="B35" s="98" t="s">
        <v>93</v>
      </c>
      <c r="C35" s="98" t="s">
        <v>94</v>
      </c>
      <c r="D35" s="98" t="s">
        <v>95</v>
      </c>
      <c r="E35" s="98" t="s">
        <v>96</v>
      </c>
      <c r="F35" s="99" t="s">
        <v>97</v>
      </c>
      <c r="G35" s="76"/>
      <c r="H35" s="88" t="s">
        <v>221</v>
      </c>
      <c r="I35" s="122" t="str">
        <f>IF(_epmOfflineCondition_,"N",_xll.EVPRO($B$1,$H35,"STYLE"))</f>
        <v>N</v>
      </c>
      <c r="J35" s="122" t="str">
        <f>IF(_epmOfflineCondition_,"N",_xll.EVPRO($B$1,$H35,"CALC"))</f>
        <v>N</v>
      </c>
      <c r="K35" s="179" t="str">
        <f t="shared" si="0"/>
        <v/>
      </c>
      <c r="L35" s="90" t="str">
        <f>IF(_epmOfflineCondition_,"710140",_xll.EVPRO($B$1,H35,"JDEID"))</f>
        <v>710140</v>
      </c>
      <c r="M35" s="90" t="str">
        <f>IF(_epmOfflineCondition_,"590171",IF(AND(I35="N",J35="N"),_xll.EVPRO($B$1,H35,"PSFTID"),""))</f>
        <v>590171</v>
      </c>
      <c r="N35" s="90" t="str">
        <f>IF(_epmOfflineCondition_,"Net Booking Fee",IF(_xll.EVDES(H35,$B$1)="#NODATA","",_xll.EVDES(H35,$B$1)))</f>
        <v>Net Booking Fee</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212">
        <f t="shared" si="7"/>
        <v>0</v>
      </c>
      <c r="AK35" s="213">
        <f t="shared" si="8"/>
        <v>0</v>
      </c>
      <c r="AL35" s="214">
        <f t="shared" si="9"/>
        <v>0</v>
      </c>
      <c r="AM35" s="215">
        <f t="shared" si="10"/>
        <v>0</v>
      </c>
      <c r="AN35" s="214">
        <f t="shared" si="11"/>
        <v>0</v>
      </c>
      <c r="AO35" s="11"/>
    </row>
    <row r="36" spans="1:41" x14ac:dyDescent="0.35">
      <c r="A36" s="11"/>
      <c r="B36" s="11"/>
      <c r="C36" s="11"/>
      <c r="D36" s="11"/>
      <c r="E36" s="11"/>
      <c r="F36" s="11"/>
      <c r="G36" s="76"/>
      <c r="H36" s="88" t="s">
        <v>222</v>
      </c>
      <c r="I36" s="122" t="str">
        <f>IF(_epmOfflineCondition_,"N",_xll.EVPRO($B$1,$H36,"STYLE"))</f>
        <v>N</v>
      </c>
      <c r="J36" s="122" t="str">
        <f>IF(_epmOfflineCondition_,"N",_xll.EVPRO($B$1,$H36,"CALC"))</f>
        <v>N</v>
      </c>
      <c r="K36" s="179" t="str">
        <f t="shared" si="0"/>
        <v/>
      </c>
      <c r="L36" s="90" t="str">
        <f>IF(_epmOfflineCondition_,"710145",_xll.EVPRO($B$1,H36,"JDEID"))</f>
        <v>710145</v>
      </c>
      <c r="M36" s="90" t="str">
        <f>IF(_epmOfflineCondition_,"590520",IF(AND(I36="N",J36="N"),_xll.EVPRO($B$1,H36,"PSFTID"),""))</f>
        <v>590520</v>
      </c>
      <c r="N36" s="90" t="str">
        <f>IF(_epmOfflineCondition_,"Net Booking Fee - Rooming List",IF(_xll.EVDES(H36,$B$1)="#NODATA","",_xll.EVDES(H36,$B$1)))</f>
        <v>Net Booking Fee - Rooming List</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212">
        <f t="shared" si="7"/>
        <v>0</v>
      </c>
      <c r="AK36" s="213">
        <f t="shared" si="8"/>
        <v>0</v>
      </c>
      <c r="AL36" s="214">
        <f t="shared" si="9"/>
        <v>0</v>
      </c>
      <c r="AM36" s="215">
        <f t="shared" si="10"/>
        <v>0</v>
      </c>
      <c r="AN36" s="214">
        <f t="shared" si="11"/>
        <v>0</v>
      </c>
      <c r="AO36" s="11"/>
    </row>
    <row r="37" spans="1:41" x14ac:dyDescent="0.35">
      <c r="A37" s="11" t="s">
        <v>105</v>
      </c>
      <c r="B37" s="11"/>
      <c r="C37" s="104" t="s">
        <v>101</v>
      </c>
      <c r="D37" s="11" t="s">
        <v>106</v>
      </c>
      <c r="E37" s="11"/>
      <c r="F37" s="11" t="s">
        <v>98</v>
      </c>
      <c r="G37" s="76"/>
      <c r="H37" s="88" t="s">
        <v>223</v>
      </c>
      <c r="I37" s="122" t="str">
        <f>IF(_epmOfflineCondition_,"N",_xll.EVPRO($B$1,$H37,"STYLE"))</f>
        <v>N</v>
      </c>
      <c r="J37" s="122" t="str">
        <f>IF(_epmOfflineCondition_,"N",_xll.EVPRO($B$1,$H37,"CALC"))</f>
        <v>N</v>
      </c>
      <c r="K37" s="179" t="str">
        <f t="shared" si="0"/>
        <v/>
      </c>
      <c r="L37" s="90" t="str">
        <f>IF(_epmOfflineCondition_,"710160",_xll.EVPRO($B$1,H37,"JDEID"))</f>
        <v>710160</v>
      </c>
      <c r="M37" s="90" t="str">
        <f>IF(_epmOfflineCondition_,"590525",IF(AND(I37="N",J37="N"),_xll.EVPRO($B$1,H37,"PSFTID"),""))</f>
        <v>590525</v>
      </c>
      <c r="N37" s="90" t="str">
        <f>IF(_epmOfflineCondition_,"Res Cost - Kimpton Fees",IF(_xll.EVDES(H37,$B$1)="#NODATA","",_xll.EVDES(H37,$B$1)))</f>
        <v>Res Cost - Kimpton Fees</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212">
        <f t="shared" si="7"/>
        <v>0</v>
      </c>
      <c r="AK37" s="213">
        <f t="shared" si="8"/>
        <v>0</v>
      </c>
      <c r="AL37" s="214">
        <f t="shared" si="9"/>
        <v>0</v>
      </c>
      <c r="AM37" s="215">
        <f t="shared" si="10"/>
        <v>0</v>
      </c>
      <c r="AN37" s="214">
        <f t="shared" si="11"/>
        <v>0</v>
      </c>
      <c r="AO37" s="11"/>
    </row>
    <row r="38" spans="1:41" x14ac:dyDescent="0.35">
      <c r="A38" s="11" t="s">
        <v>104</v>
      </c>
      <c r="B38" s="11"/>
      <c r="C38" s="104" t="s">
        <v>101</v>
      </c>
      <c r="D38" s="11" t="s">
        <v>106</v>
      </c>
      <c r="E38" s="11"/>
      <c r="F38" s="11" t="s">
        <v>98</v>
      </c>
      <c r="G38" s="76"/>
      <c r="H38" s="88" t="s">
        <v>224</v>
      </c>
      <c r="I38" s="122" t="str">
        <f>IF(_epmOfflineCondition_,"N",_xll.EVPRO($B$1,$H38,"STYLE"))</f>
        <v>N</v>
      </c>
      <c r="J38" s="122" t="str">
        <f>IF(_epmOfflineCondition_,"N",_xll.EVPRO($B$1,$H38,"CALC"))</f>
        <v>N</v>
      </c>
      <c r="K38" s="179" t="str">
        <f t="shared" si="0"/>
        <v/>
      </c>
      <c r="L38" s="90" t="str">
        <f>IF(_epmOfflineCondition_,"710170",_xll.EVPRO($B$1,H38,"JDEID"))</f>
        <v>710170</v>
      </c>
      <c r="M38" s="90" t="str">
        <f>IF(_epmOfflineCondition_,"590530",IF(AND(I38="N",J38="N"),_xll.EVPRO($B$1,H38,"PSFTID"),""))</f>
        <v>590530</v>
      </c>
      <c r="N38" s="90" t="str">
        <f>IF(_epmOfflineCondition_,"Res Cost - GDS Fees",IF(_xll.EVDES(H38,$B$1)="#NODATA","",_xll.EVDES(H38,$B$1)))</f>
        <v>Res Cost - GDS Fees</v>
      </c>
      <c r="O38" s="143">
        <v>115.2</v>
      </c>
      <c r="P38" s="143">
        <v>64</v>
      </c>
      <c r="Q38" s="143">
        <v>102.4</v>
      </c>
      <c r="R38" s="143">
        <v>204.8</v>
      </c>
      <c r="S38" s="143">
        <v>-44.8</v>
      </c>
      <c r="T38" s="143">
        <v>425.87</v>
      </c>
      <c r="U38" s="143">
        <v>204.8</v>
      </c>
      <c r="V38" s="143">
        <v>160</v>
      </c>
      <c r="W38" s="143">
        <v>185.6</v>
      </c>
      <c r="X38" s="143">
        <v>51.2</v>
      </c>
      <c r="Y38" s="143">
        <v>197</v>
      </c>
      <c r="Z38" s="143">
        <v>320</v>
      </c>
      <c r="AA38" s="250">
        <f t="shared" si="1"/>
        <v>1986.07</v>
      </c>
      <c r="AB38" s="144">
        <f t="shared" si="2"/>
        <v>2.1219689553848779E-2</v>
      </c>
      <c r="AC38" s="140"/>
      <c r="AD38" s="143">
        <v>5414.7007999999996</v>
      </c>
      <c r="AE38" s="144">
        <f t="shared" si="3"/>
        <v>8.3257867399868415E-2</v>
      </c>
      <c r="AF38" s="145">
        <f t="shared" si="4"/>
        <v>-3428.6307999999999</v>
      </c>
      <c r="AG38" s="143">
        <v>2218</v>
      </c>
      <c r="AH38" s="144">
        <f t="shared" si="5"/>
        <v>5.1170248353346943E-2</v>
      </c>
      <c r="AI38" s="145">
        <f t="shared" si="6"/>
        <v>-231.93000000000006</v>
      </c>
      <c r="AJ38" s="212">
        <f t="shared" si="7"/>
        <v>4.9381386906685892E-2</v>
      </c>
      <c r="AK38" s="213">
        <f t="shared" si="8"/>
        <v>0.14429582411725514</v>
      </c>
      <c r="AL38" s="214">
        <f t="shared" si="9"/>
        <v>-9.4914437210569247E-2</v>
      </c>
      <c r="AM38" s="215">
        <f t="shared" si="10"/>
        <v>0.11062344139650873</v>
      </c>
      <c r="AN38" s="214">
        <f t="shared" si="11"/>
        <v>-6.1242054489822839E-2</v>
      </c>
      <c r="AO38" s="11"/>
    </row>
    <row r="39" spans="1:41" x14ac:dyDescent="0.35">
      <c r="A39" s="11" t="s">
        <v>102</v>
      </c>
      <c r="B39" s="11"/>
      <c r="C39" s="106" t="s">
        <v>101</v>
      </c>
      <c r="D39" s="11" t="s">
        <v>106</v>
      </c>
      <c r="E39" s="11"/>
      <c r="F39" s="11" t="s">
        <v>98</v>
      </c>
      <c r="G39" s="76"/>
      <c r="H39" s="88" t="s">
        <v>225</v>
      </c>
      <c r="I39" s="122" t="str">
        <f>IF(_epmOfflineCondition_,"N",_xll.EVPRO($B$1,$H39,"STYLE"))</f>
        <v>N</v>
      </c>
      <c r="J39" s="122" t="str">
        <f>IF(_epmOfflineCondition_,"N",_xll.EVPRO($B$1,$H39,"CALC"))</f>
        <v>N</v>
      </c>
      <c r="K39" s="179" t="str">
        <f t="shared" si="0"/>
        <v/>
      </c>
      <c r="L39" s="90" t="str">
        <f>IF(_epmOfflineCondition_,"710180",_xll.EVPRO($B$1,H39,"JDEID"))</f>
        <v>710180</v>
      </c>
      <c r="M39" s="90" t="str">
        <f>IF(_epmOfflineCondition_,"590535",IF(AND(I39="N",J39="N"),_xll.EVPRO($B$1,H39,"PSFTID"),""))</f>
        <v>590535</v>
      </c>
      <c r="N39" s="90" t="str">
        <f>IF(_epmOfflineCondition_,"Res Cost - Hotel Website",IF(_xll.EVDES(H39,$B$1)="#NODATA","",_xll.EVDES(H39,$B$1)))</f>
        <v>Res Cost - Hotel Website</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212">
        <f t="shared" si="7"/>
        <v>0</v>
      </c>
      <c r="AK39" s="213">
        <f t="shared" si="8"/>
        <v>0</v>
      </c>
      <c r="AL39" s="214">
        <f t="shared" si="9"/>
        <v>0</v>
      </c>
      <c r="AM39" s="215">
        <f t="shared" si="10"/>
        <v>0</v>
      </c>
      <c r="AN39" s="214">
        <f t="shared" si="11"/>
        <v>0</v>
      </c>
      <c r="AO39" s="11"/>
    </row>
    <row r="40" spans="1:41" x14ac:dyDescent="0.35">
      <c r="A40" s="11" t="s">
        <v>102</v>
      </c>
      <c r="B40" s="11"/>
      <c r="C40" s="109" t="s">
        <v>101</v>
      </c>
      <c r="D40" s="11" t="s">
        <v>107</v>
      </c>
      <c r="E40" s="11"/>
      <c r="F40" s="11" t="s">
        <v>99</v>
      </c>
      <c r="G40" s="76"/>
      <c r="H40" s="88" t="s">
        <v>226</v>
      </c>
      <c r="I40" s="122" t="str">
        <f>IF(_epmOfflineCondition_,"T5",_xll.EVPRO($B$1,$H40,"STYLE"))</f>
        <v>T5</v>
      </c>
      <c r="J40" s="122" t="str">
        <f>IF(_epmOfflineCondition_,"Y",_xll.EVPRO($B$1,$H40,"CALC"))</f>
        <v>Y</v>
      </c>
      <c r="K40" s="179" t="str">
        <f t="shared" si="0"/>
        <v>&gt;</v>
      </c>
      <c r="L40" s="90" t="str">
        <f>IF(_epmOfflineCondition_,"710190",_xll.EVPRO($B$1,H40,"JDEID"))</f>
        <v>710190</v>
      </c>
      <c r="M40" s="90" t="str">
        <f>IF(_epmOfflineCondition_,"",IF(AND(I40="N",J40="N"),_xll.EVPRO($B$1,H40,"PSFTID"),""))</f>
        <v/>
      </c>
      <c r="N40" s="90" t="str">
        <f>IF(_epmOfflineCondition_,"E-Channel Fees",IF(_xll.EVDES(H40,$B$1)="#NODATA","",_xll.EVDES(H40,$B$1)))</f>
        <v>E-Channel Fees</v>
      </c>
      <c r="O40" s="217"/>
      <c r="P40" s="217"/>
      <c r="Q40" s="217"/>
      <c r="R40" s="217"/>
      <c r="S40" s="217"/>
      <c r="T40" s="217"/>
      <c r="U40" s="217"/>
      <c r="V40" s="217"/>
      <c r="W40" s="217"/>
      <c r="X40" s="217"/>
      <c r="Y40" s="217"/>
      <c r="Z40" s="217"/>
      <c r="AA40" s="251">
        <f t="shared" si="1"/>
        <v>0</v>
      </c>
      <c r="AB40" s="219" t="str">
        <f t="shared" si="2"/>
        <v/>
      </c>
      <c r="AC40" s="140"/>
      <c r="AD40" s="217"/>
      <c r="AE40" s="219" t="str">
        <f t="shared" si="3"/>
        <v/>
      </c>
      <c r="AF40" s="220">
        <f t="shared" si="4"/>
        <v>0</v>
      </c>
      <c r="AG40" s="217"/>
      <c r="AH40" s="219" t="str">
        <f t="shared" si="5"/>
        <v/>
      </c>
      <c r="AI40" s="220">
        <f t="shared" si="6"/>
        <v>0</v>
      </c>
      <c r="AJ40" s="221">
        <f t="shared" si="7"/>
        <v>0</v>
      </c>
      <c r="AK40" s="222">
        <f t="shared" si="8"/>
        <v>0</v>
      </c>
      <c r="AL40" s="223">
        <f t="shared" si="9"/>
        <v>0</v>
      </c>
      <c r="AM40" s="224">
        <f t="shared" si="10"/>
        <v>0</v>
      </c>
      <c r="AN40" s="223">
        <f t="shared" si="11"/>
        <v>0</v>
      </c>
      <c r="AO40" s="11"/>
    </row>
    <row r="41" spans="1:41" x14ac:dyDescent="0.35">
      <c r="A41" s="11" t="s">
        <v>244</v>
      </c>
      <c r="B41" s="11"/>
      <c r="C41" s="109" t="s">
        <v>101</v>
      </c>
      <c r="D41" s="11" t="s">
        <v>107</v>
      </c>
      <c r="E41" s="11"/>
      <c r="F41" s="11" t="s">
        <v>99</v>
      </c>
      <c r="G41" s="76"/>
      <c r="H41" s="88" t="s">
        <v>227</v>
      </c>
      <c r="I41" s="188" t="str">
        <f>IF(_epmOfflineCondition_,"T4",_xll.EVPRO($B$1,$H41,"STYLE"))</f>
        <v>T4</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IF(_epmOfflineCondition_,"Total Reservations Fees",IF(_xll.EVDES(H41,$B$1)="#NODATA","",_xll.EVDES(H41,$B$1)))</f>
        <v>Total Reservations Fees</v>
      </c>
      <c r="O41" s="225">
        <v>115.2</v>
      </c>
      <c r="P41" s="225">
        <v>64</v>
      </c>
      <c r="Q41" s="225">
        <v>102.4</v>
      </c>
      <c r="R41" s="225">
        <v>204.8</v>
      </c>
      <c r="S41" s="225">
        <v>-44.8</v>
      </c>
      <c r="T41" s="225">
        <v>425.87</v>
      </c>
      <c r="U41" s="225">
        <v>204.8</v>
      </c>
      <c r="V41" s="225">
        <v>160</v>
      </c>
      <c r="W41" s="225">
        <v>185.6</v>
      </c>
      <c r="X41" s="225">
        <v>51.2</v>
      </c>
      <c r="Y41" s="225">
        <v>197</v>
      </c>
      <c r="Z41" s="225">
        <v>320</v>
      </c>
      <c r="AA41" s="225">
        <f t="shared" si="1"/>
        <v>1986.07</v>
      </c>
      <c r="AB41" s="226">
        <f t="shared" si="2"/>
        <v>2.1219689553848779E-2</v>
      </c>
      <c r="AC41" s="227"/>
      <c r="AD41" s="225">
        <v>5414.7007999999996</v>
      </c>
      <c r="AE41" s="226">
        <f t="shared" si="3"/>
        <v>8.3257867399868415E-2</v>
      </c>
      <c r="AF41" s="228">
        <f t="shared" si="4"/>
        <v>-3428.6307999999999</v>
      </c>
      <c r="AG41" s="225">
        <v>2218</v>
      </c>
      <c r="AH41" s="226">
        <f t="shared" si="5"/>
        <v>5.1170248353346943E-2</v>
      </c>
      <c r="AI41" s="228">
        <f t="shared" si="6"/>
        <v>-231.93000000000006</v>
      </c>
      <c r="AJ41" s="229">
        <f t="shared" si="7"/>
        <v>4.9381386906685892E-2</v>
      </c>
      <c r="AK41" s="230">
        <f t="shared" si="8"/>
        <v>0.14429582411725514</v>
      </c>
      <c r="AL41" s="231">
        <f t="shared" si="9"/>
        <v>-9.4914437210569247E-2</v>
      </c>
      <c r="AM41" s="232">
        <f t="shared" si="10"/>
        <v>0.11062344139650873</v>
      </c>
      <c r="AN41" s="231">
        <f t="shared" si="11"/>
        <v>-6.1242054489822839E-2</v>
      </c>
      <c r="AO41" s="11"/>
    </row>
    <row r="42" spans="1:41" x14ac:dyDescent="0.35">
      <c r="A42" s="11"/>
      <c r="B42" s="11"/>
      <c r="C42" s="11"/>
      <c r="D42" s="11"/>
      <c r="E42" s="11"/>
      <c r="F42" s="11"/>
      <c r="G42" s="76"/>
      <c r="H42" s="185" t="s">
        <v>228</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IF(_epmOfflineCondition_,"Total Telephone Cost    ",IF(_xll.EVDES(H42,$B$1)="#NODATA","",_xll.EVDES(H42,$B$1)))</f>
        <v xml:space="preserve">Total Telephone Cost    </v>
      </c>
      <c r="O42" s="210"/>
      <c r="P42" s="210"/>
      <c r="Q42" s="210"/>
      <c r="R42" s="210"/>
      <c r="S42" s="210"/>
      <c r="T42" s="210"/>
      <c r="U42" s="210"/>
      <c r="V42" s="210"/>
      <c r="W42" s="210"/>
      <c r="X42" s="210"/>
      <c r="Y42" s="210"/>
      <c r="Z42" s="210"/>
      <c r="AA42" s="252">
        <f t="shared" si="1"/>
        <v>0</v>
      </c>
      <c r="AB42" s="211" t="str">
        <f t="shared" si="2"/>
        <v/>
      </c>
      <c r="AC42" s="140"/>
      <c r="AD42" s="210"/>
      <c r="AE42" s="211" t="str">
        <f t="shared" si="3"/>
        <v/>
      </c>
      <c r="AF42" s="253">
        <f t="shared" si="4"/>
        <v>0</v>
      </c>
      <c r="AG42" s="210"/>
      <c r="AH42" s="211" t="str">
        <f t="shared" si="5"/>
        <v/>
      </c>
      <c r="AI42" s="253">
        <f t="shared" si="6"/>
        <v>0</v>
      </c>
      <c r="AJ42" s="234">
        <f t="shared" si="7"/>
        <v>0</v>
      </c>
      <c r="AK42" s="235">
        <f t="shared" si="8"/>
        <v>0</v>
      </c>
      <c r="AL42" s="236">
        <f t="shared" si="9"/>
        <v>0</v>
      </c>
      <c r="AM42" s="237">
        <f t="shared" si="10"/>
        <v>0</v>
      </c>
      <c r="AN42" s="236">
        <f t="shared" si="11"/>
        <v>0</v>
      </c>
      <c r="AO42" s="11"/>
    </row>
    <row r="43" spans="1:41" x14ac:dyDescent="0.35">
      <c r="A43" s="11"/>
      <c r="B43" s="11"/>
      <c r="C43" s="11"/>
      <c r="D43" s="11"/>
      <c r="E43" s="11"/>
      <c r="F43" s="11"/>
      <c r="G43" s="76"/>
      <c r="H43" s="185" t="s">
        <v>241</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IF(_epmOfflineCondition_,"Other Reservations Expenses",IF(_xll.EVDES(H43,$B$1)="#NODATA","",_xll.EVDES(H43,$B$1)))</f>
        <v>Other Reservations Expenses</v>
      </c>
      <c r="O43" s="217"/>
      <c r="P43" s="217"/>
      <c r="Q43" s="217"/>
      <c r="R43" s="217"/>
      <c r="S43" s="217"/>
      <c r="T43" s="217"/>
      <c r="U43" s="217"/>
      <c r="V43" s="217"/>
      <c r="W43" s="217"/>
      <c r="X43" s="217"/>
      <c r="Y43" s="217"/>
      <c r="Z43" s="217"/>
      <c r="AA43" s="251">
        <f t="shared" si="1"/>
        <v>0</v>
      </c>
      <c r="AB43" s="219" t="str">
        <f t="shared" si="2"/>
        <v/>
      </c>
      <c r="AC43" s="140"/>
      <c r="AD43" s="217"/>
      <c r="AE43" s="219" t="str">
        <f t="shared" si="3"/>
        <v/>
      </c>
      <c r="AF43" s="220">
        <f t="shared" si="4"/>
        <v>0</v>
      </c>
      <c r="AG43" s="217">
        <v>180</v>
      </c>
      <c r="AH43" s="219">
        <f t="shared" si="5"/>
        <v>4.1526802090182374E-3</v>
      </c>
      <c r="AI43" s="220">
        <f t="shared" si="6"/>
        <v>-180</v>
      </c>
      <c r="AJ43" s="221">
        <f t="shared" si="7"/>
        <v>0</v>
      </c>
      <c r="AK43" s="222">
        <f t="shared" si="8"/>
        <v>0</v>
      </c>
      <c r="AL43" s="223">
        <f t="shared" si="9"/>
        <v>0</v>
      </c>
      <c r="AM43" s="224">
        <f t="shared" si="10"/>
        <v>8.9775561097256863E-3</v>
      </c>
      <c r="AN43" s="223">
        <f t="shared" si="11"/>
        <v>-8.9775561097256863E-3</v>
      </c>
      <c r="AO43" s="11"/>
    </row>
    <row r="44" spans="1:41" x14ac:dyDescent="0.35">
      <c r="A44" s="61" t="str">
        <f>IF(_epmOfflineCondition_,"Evdre:Ok",_xll.EVDRE($B$1,A47:B54))</f>
        <v>Evdre:Ok</v>
      </c>
      <c r="B44" s="11"/>
      <c r="C44" s="11"/>
      <c r="D44" s="11"/>
      <c r="E44" s="11"/>
      <c r="F44" s="11"/>
      <c r="G44" s="76"/>
      <c r="H44" s="185" t="s">
        <v>229</v>
      </c>
      <c r="I44" s="188" t="str">
        <f>IF(_epmOfflineCondition_,"T4",_xll.EVPRO($B$1,$H44,"STYLE"))</f>
        <v>T4</v>
      </c>
      <c r="J44" s="188" t="str">
        <f>IF(_epmOfflineCondition_,"Y",_xll.EVPRO($B$1,$H44,"CALC"))</f>
        <v>Y</v>
      </c>
      <c r="K44" s="189" t="str">
        <f t="shared" si="0"/>
        <v/>
      </c>
      <c r="L44" s="190" t="str">
        <f>IF(_epmOfflineCondition_,"",_xll.EVPRO($B$1,H44,"JDEID"))</f>
        <v/>
      </c>
      <c r="M44" s="190" t="str">
        <f>IF(_epmOfflineCondition_,"",IF(AND(I44="N",J44="N"),_xll.EVPRO($B$1,H44,"PSFTID"),""))</f>
        <v/>
      </c>
      <c r="N44" s="190" t="str">
        <f>IF(_epmOfflineCondition_,"Total Other Reservation Expenses",IF(_xll.EVDES(H44,$B$1)="#NODATA","",_xll.EVDES(H44,$B$1)))</f>
        <v>Total Other Reservation Expenses</v>
      </c>
      <c r="O44" s="238"/>
      <c r="P44" s="238"/>
      <c r="Q44" s="238"/>
      <c r="R44" s="238"/>
      <c r="S44" s="238"/>
      <c r="T44" s="238"/>
      <c r="U44" s="238"/>
      <c r="V44" s="238"/>
      <c r="W44" s="238"/>
      <c r="X44" s="238"/>
      <c r="Y44" s="238"/>
      <c r="Z44" s="238"/>
      <c r="AA44" s="238">
        <f t="shared" si="1"/>
        <v>0</v>
      </c>
      <c r="AB44" s="239" t="str">
        <f t="shared" si="2"/>
        <v/>
      </c>
      <c r="AC44" s="240"/>
      <c r="AD44" s="238"/>
      <c r="AE44" s="239" t="str">
        <f t="shared" si="3"/>
        <v/>
      </c>
      <c r="AF44" s="241">
        <f t="shared" si="4"/>
        <v>0</v>
      </c>
      <c r="AG44" s="238">
        <v>180</v>
      </c>
      <c r="AH44" s="239">
        <f t="shared" si="5"/>
        <v>4.1526802090182374E-3</v>
      </c>
      <c r="AI44" s="241">
        <f t="shared" si="6"/>
        <v>-180</v>
      </c>
      <c r="AJ44" s="242">
        <f t="shared" si="7"/>
        <v>0</v>
      </c>
      <c r="AK44" s="243">
        <f t="shared" si="8"/>
        <v>0</v>
      </c>
      <c r="AL44" s="244">
        <f t="shared" si="9"/>
        <v>0</v>
      </c>
      <c r="AM44" s="245">
        <f t="shared" si="10"/>
        <v>8.9775561097256863E-3</v>
      </c>
      <c r="AN44" s="244">
        <f t="shared" si="11"/>
        <v>-8.9775561097256863E-3</v>
      </c>
      <c r="AO44" s="11"/>
    </row>
    <row r="45" spans="1:41" x14ac:dyDescent="0.35">
      <c r="A45" s="11"/>
      <c r="B45" s="11"/>
      <c r="C45" s="11"/>
      <c r="D45" s="11"/>
      <c r="E45" s="11"/>
      <c r="F45" s="11"/>
      <c r="G45" s="76"/>
      <c r="H45" s="185" t="s">
        <v>77</v>
      </c>
      <c r="I45" s="188" t="str">
        <f>IF(_epmOfflineCondition_,"T4",_xll.EVPRO($B$1,$H45,"STYLE"))</f>
        <v>T4</v>
      </c>
      <c r="J45" s="188" t="str">
        <f>IF(_epmOfflineCondition_,"Y",_xll.EVPRO($B$1,$H45,"CALC"))</f>
        <v>Y</v>
      </c>
      <c r="K45" s="189" t="str">
        <f t="shared" si="0"/>
        <v/>
      </c>
      <c r="L45" s="190" t="str">
        <f>IF(_epmOfflineCondition_,"710000",_xll.EVPRO($B$1,H45,"JDEID"))</f>
        <v>710000</v>
      </c>
      <c r="M45" s="190" t="str">
        <f>IF(_epmOfflineCondition_,"",IF(AND(I45="N",J45="N"),_xll.EVPRO($B$1,H45,"PSFTID"),""))</f>
        <v/>
      </c>
      <c r="N45" s="190" t="str">
        <f>IF(_epmOfflineCondition_,"Total Reservations Fees &amp; Other Exp",IF(_xll.EVDES(H45,$B$1)="#NODATA","",_xll.EVDES(H45,$B$1)))</f>
        <v>Total Reservations Fees &amp; Other Exp</v>
      </c>
      <c r="O45" s="225">
        <v>115.2</v>
      </c>
      <c r="P45" s="225">
        <v>64</v>
      </c>
      <c r="Q45" s="225">
        <v>102.4</v>
      </c>
      <c r="R45" s="225">
        <v>204.8</v>
      </c>
      <c r="S45" s="225">
        <v>-44.8</v>
      </c>
      <c r="T45" s="225">
        <v>425.87</v>
      </c>
      <c r="U45" s="225">
        <v>204.8</v>
      </c>
      <c r="V45" s="225">
        <v>160</v>
      </c>
      <c r="W45" s="225">
        <v>185.6</v>
      </c>
      <c r="X45" s="225">
        <v>51.2</v>
      </c>
      <c r="Y45" s="225">
        <v>197</v>
      </c>
      <c r="Z45" s="225">
        <v>320</v>
      </c>
      <c r="AA45" s="225">
        <f t="shared" si="1"/>
        <v>1986.07</v>
      </c>
      <c r="AB45" s="226">
        <f t="shared" si="2"/>
        <v>2.1219689553848779E-2</v>
      </c>
      <c r="AC45" s="227"/>
      <c r="AD45" s="225">
        <v>5414.7007999999996</v>
      </c>
      <c r="AE45" s="226">
        <f t="shared" si="3"/>
        <v>8.3257867399868415E-2</v>
      </c>
      <c r="AF45" s="228">
        <f t="shared" si="4"/>
        <v>-3428.6307999999999</v>
      </c>
      <c r="AG45" s="225">
        <v>2398</v>
      </c>
      <c r="AH45" s="226">
        <f t="shared" si="5"/>
        <v>5.5322928562365183E-2</v>
      </c>
      <c r="AI45" s="228">
        <f t="shared" si="6"/>
        <v>-411.93000000000006</v>
      </c>
      <c r="AJ45" s="229">
        <f t="shared" si="7"/>
        <v>4.9381386906685892E-2</v>
      </c>
      <c r="AK45" s="230">
        <f t="shared" si="8"/>
        <v>0.14429582411725514</v>
      </c>
      <c r="AL45" s="231">
        <f t="shared" si="9"/>
        <v>-9.4914437210569247E-2</v>
      </c>
      <c r="AM45" s="232">
        <f t="shared" si="10"/>
        <v>0.11960099750623442</v>
      </c>
      <c r="AN45" s="231">
        <f t="shared" si="11"/>
        <v>-7.0219610599548524E-2</v>
      </c>
      <c r="AO45" s="11"/>
    </row>
    <row r="46" spans="1:41" x14ac:dyDescent="0.35">
      <c r="A46" s="62" t="s">
        <v>0</v>
      </c>
      <c r="B46" s="63" t="s">
        <v>1</v>
      </c>
      <c r="C46" s="11"/>
      <c r="D46" s="11"/>
      <c r="E46" s="11"/>
      <c r="F46" s="11"/>
      <c r="G46" s="76"/>
      <c r="H46" s="88"/>
      <c r="I46" s="89"/>
      <c r="J46" s="89"/>
      <c r="K46" s="265"/>
      <c r="L46" s="265"/>
      <c r="M46" s="265"/>
      <c r="N46" s="106"/>
      <c r="O46" s="364"/>
      <c r="P46" s="364"/>
      <c r="Q46" s="364"/>
      <c r="R46" s="364"/>
      <c r="S46" s="364"/>
      <c r="T46" s="364"/>
      <c r="U46" s="364"/>
      <c r="V46" s="364"/>
      <c r="W46" s="364"/>
      <c r="X46" s="364"/>
      <c r="Y46" s="364"/>
      <c r="Z46" s="364"/>
      <c r="AA46" s="364"/>
      <c r="AB46" s="365"/>
      <c r="AC46" s="11"/>
      <c r="AD46" s="364"/>
      <c r="AE46" s="365"/>
      <c r="AF46" s="366"/>
      <c r="AG46" s="364"/>
      <c r="AH46" s="365"/>
      <c r="AI46" s="366"/>
      <c r="AJ46" s="11"/>
      <c r="AK46" s="11"/>
      <c r="AL46" s="11"/>
      <c r="AM46" s="11"/>
      <c r="AN46" s="11"/>
      <c r="AO46" s="11"/>
    </row>
    <row r="47" spans="1:41" x14ac:dyDescent="0.35">
      <c r="A47" s="65" t="s">
        <v>2</v>
      </c>
      <c r="B47" s="66" t="str">
        <f>IF(_epmOfflineCondition_,"'Resv'!$B$2:$B$10",_xll.EVRNG($B$2:$B$10))</f>
        <v>'Resv'!$B$2:$B$10</v>
      </c>
      <c r="C47" s="11"/>
      <c r="D47" s="11"/>
      <c r="E47" s="11"/>
      <c r="F47" s="11"/>
      <c r="G47" s="76"/>
      <c r="H47" s="88"/>
      <c r="I47" s="136"/>
      <c r="J47" s="136"/>
      <c r="K47" s="11"/>
      <c r="L47" s="11"/>
      <c r="M47" s="11"/>
      <c r="N47" s="104" t="s">
        <v>242</v>
      </c>
      <c r="O47" s="217">
        <f t="shared" ref="O47:Z47" si="12">SUMIF($H$34:$H$48,"700000",O34:O48)-SUMIF($H$34:$H$48,"710000",O34:O48)</f>
        <v>5865.52</v>
      </c>
      <c r="P47" s="217">
        <f t="shared" si="12"/>
        <v>6866.96</v>
      </c>
      <c r="Q47" s="217">
        <f t="shared" si="12"/>
        <v>8672.51</v>
      </c>
      <c r="R47" s="217">
        <f t="shared" si="12"/>
        <v>8585.1400000000012</v>
      </c>
      <c r="S47" s="217">
        <f t="shared" si="12"/>
        <v>10214.34</v>
      </c>
      <c r="T47" s="217">
        <f t="shared" si="12"/>
        <v>8291.56</v>
      </c>
      <c r="U47" s="217">
        <f t="shared" si="12"/>
        <v>9503.26</v>
      </c>
      <c r="V47" s="217">
        <f t="shared" si="12"/>
        <v>5581.28</v>
      </c>
      <c r="W47" s="217">
        <f t="shared" si="12"/>
        <v>4076.31</v>
      </c>
      <c r="X47" s="217">
        <f t="shared" si="12"/>
        <v>5604.88</v>
      </c>
      <c r="Y47" s="217">
        <f t="shared" si="12"/>
        <v>7227.14</v>
      </c>
      <c r="Z47" s="217">
        <f t="shared" si="12"/>
        <v>11120.65</v>
      </c>
      <c r="AA47" s="217">
        <f>IF($I47="B1","",SUM(O47:Z47))</f>
        <v>91609.55</v>
      </c>
      <c r="AB47" s="219">
        <f>IF(AA47=0,"",IFERROR(AA47/AA$19,""))</f>
        <v>0.97878031044615132</v>
      </c>
      <c r="AC47" s="140"/>
      <c r="AD47" s="217">
        <f>SUMIF($H$34:$H$48,"700000",AD34:AD48)-SUMIF($H$34:$H$48,"710000",AD34:AD48)</f>
        <v>59620.604200000002</v>
      </c>
      <c r="AE47" s="219">
        <f>IF(AD47=0,"",IFERROR(AD47/AD$19,""))</f>
        <v>0.9167421326001316</v>
      </c>
      <c r="AF47" s="220">
        <f>IF(AND($AA47="",AD47=""),"",$AA47-AD47)</f>
        <v>31988.945800000001</v>
      </c>
      <c r="AG47" s="217">
        <f>SUMIF($H$34:$H$48,"700000",AG34:AG48)-SUMIF($H$34:$H$48,"710000",AG34:AG48)</f>
        <v>40947.5</v>
      </c>
      <c r="AH47" s="219">
        <f>IF(AG47=0,"",IFERROR(AG47/AG$19,""))</f>
        <v>0.9446770714376348</v>
      </c>
      <c r="AI47" s="220">
        <f>IF(AND($AA47="",AG47=""),"",$AA47-AG47)</f>
        <v>50662.05</v>
      </c>
      <c r="AJ47" s="373">
        <f>IFERROR(AA47/AA$22,0)</f>
        <v>2.2777679703622669</v>
      </c>
      <c r="AK47" s="374">
        <f>IFERROR(AD47/AD$22,0)</f>
        <v>1.5888235629580281</v>
      </c>
      <c r="AL47" s="375">
        <f>AJ47-AK47</f>
        <v>0.68894440740423879</v>
      </c>
      <c r="AM47" s="376">
        <f>IFERROR(AG47/AG$22,0)</f>
        <v>2.0422693266832916</v>
      </c>
      <c r="AN47" s="375">
        <f>AJ47-AM47</f>
        <v>0.23549864367897522</v>
      </c>
      <c r="AO47" s="11"/>
    </row>
    <row r="48" spans="1:41" x14ac:dyDescent="0.35">
      <c r="A48" s="65" t="s">
        <v>3</v>
      </c>
      <c r="B48" s="66" t="str">
        <f>IF(_epmOfflineCondition_,"'Resv'!$O$16:$AN$18",_xll.EVRNG($O$16:$AN$18))</f>
        <v>'Resv'!$O$16:$AN$18</v>
      </c>
      <c r="C48" s="11"/>
      <c r="D48" s="11"/>
      <c r="E48" s="11"/>
      <c r="F48" s="11"/>
      <c r="G48" s="367"/>
      <c r="H48" s="88" t="s">
        <v>79</v>
      </c>
      <c r="I48" s="136" t="str">
        <f>IF(_epmOfflineCondition_,"T3",_xll.EVPRO($B$1,$H48,"STYLE"))</f>
        <v>T3</v>
      </c>
      <c r="J48" s="136" t="str">
        <f>IF(_epmOfflineCondition_,"Y",_xll.EVPRO($B$1,$H48,"CALC"))</f>
        <v>Y</v>
      </c>
      <c r="K48" s="11"/>
      <c r="L48" s="11"/>
      <c r="M48" s="11"/>
      <c r="N48" s="107" t="s">
        <v>243</v>
      </c>
      <c r="O48" s="377">
        <v>5980.72</v>
      </c>
      <c r="P48" s="377">
        <v>6930.96</v>
      </c>
      <c r="Q48" s="377">
        <v>8774.91</v>
      </c>
      <c r="R48" s="377">
        <v>8789.94</v>
      </c>
      <c r="S48" s="377">
        <v>10169.540000000001</v>
      </c>
      <c r="T48" s="377">
        <v>8717.43</v>
      </c>
      <c r="U48" s="377">
        <v>9708.06</v>
      </c>
      <c r="V48" s="377">
        <v>5741.28</v>
      </c>
      <c r="W48" s="377">
        <v>4261.91</v>
      </c>
      <c r="X48" s="377">
        <v>5656.08</v>
      </c>
      <c r="Y48" s="377">
        <v>7424.14</v>
      </c>
      <c r="Z48" s="377">
        <v>11440.65</v>
      </c>
      <c r="AA48" s="377">
        <f>IF($I48="B1","",SUM(O48:Z48))</f>
        <v>93595.62</v>
      </c>
      <c r="AB48" s="378">
        <f>IF(AA48=0,"",IFERROR(AA48/AA$19,""))</f>
        <v>1</v>
      </c>
      <c r="AC48" s="140"/>
      <c r="AD48" s="377">
        <v>65035.305</v>
      </c>
      <c r="AE48" s="378">
        <f>IF(AD48=0,"",IFERROR(AD48/AD$19,""))</f>
        <v>1</v>
      </c>
      <c r="AF48" s="379">
        <f>IF(AND($AA48="",AD48=""),"",$AA48-AD48)</f>
        <v>28560.314999999995</v>
      </c>
      <c r="AG48" s="377">
        <v>43345.5</v>
      </c>
      <c r="AH48" s="378">
        <f>IF(AG48=0,"",IFERROR(AG48/AG$19,""))</f>
        <v>1</v>
      </c>
      <c r="AI48" s="379">
        <f>IF(AND($AA48="",AG48=""),"",$AA48-AG48)</f>
        <v>50250.119999999995</v>
      </c>
      <c r="AJ48" s="234">
        <f>IFERROR(AA48/AA$22,0)</f>
        <v>2.3271493572689526</v>
      </c>
      <c r="AK48" s="235">
        <f>IFERROR(AD48/AD$22,0)</f>
        <v>1.7331193870752832</v>
      </c>
      <c r="AL48" s="236">
        <f>AJ48-AK48</f>
        <v>0.59402997019366932</v>
      </c>
      <c r="AM48" s="237">
        <f>IFERROR(AG48/AG$22,0)</f>
        <v>2.1618703241895263</v>
      </c>
      <c r="AN48" s="236">
        <f>AJ48-AM48</f>
        <v>0.16527903307942626</v>
      </c>
      <c r="AO48" s="11"/>
    </row>
    <row r="49" spans="1:41" x14ac:dyDescent="0.35">
      <c r="A49" s="65" t="s">
        <v>4</v>
      </c>
      <c r="B49" s="66" t="str">
        <f>IF(_epmOfflineCondition_,"'Resv'!$H$47:$H$51",_xll.EVRNG(H47:H51))</f>
        <v>'Resv'!$H$47:$H$51</v>
      </c>
      <c r="C49" s="11"/>
      <c r="D49" s="11"/>
      <c r="E49" s="11"/>
      <c r="F49" s="11"/>
      <c r="G49" s="76"/>
      <c r="H49" s="88"/>
      <c r="I49" s="136"/>
      <c r="J49" s="136"/>
      <c r="K49" s="11"/>
      <c r="L49" s="11"/>
      <c r="M49" s="11"/>
      <c r="N49" s="368"/>
      <c r="O49" s="143"/>
      <c r="P49" s="143"/>
      <c r="Q49" s="143"/>
      <c r="R49" s="143"/>
      <c r="S49" s="143"/>
      <c r="T49" s="143"/>
      <c r="U49" s="143"/>
      <c r="V49" s="143"/>
      <c r="W49" s="143"/>
      <c r="X49" s="143"/>
      <c r="Y49" s="143"/>
      <c r="Z49" s="143"/>
      <c r="AA49" s="143"/>
      <c r="AB49" s="144"/>
      <c r="AC49" s="140"/>
      <c r="AD49" s="143"/>
      <c r="AE49" s="144"/>
      <c r="AF49" s="145"/>
      <c r="AG49" s="143"/>
      <c r="AH49" s="144"/>
      <c r="AI49" s="145"/>
      <c r="AJ49" s="140"/>
      <c r="AK49" s="140"/>
      <c r="AL49" s="140"/>
      <c r="AM49" s="140"/>
      <c r="AN49" s="140"/>
      <c r="AO49" s="11"/>
    </row>
    <row r="50" spans="1:41" x14ac:dyDescent="0.35">
      <c r="A50" s="65" t="s">
        <v>5</v>
      </c>
      <c r="B50" s="66"/>
      <c r="C50" s="11"/>
      <c r="D50" s="11"/>
      <c r="E50" s="11"/>
      <c r="F50" s="11"/>
      <c r="G50" s="76"/>
      <c r="H50" s="88" t="s">
        <v>76</v>
      </c>
      <c r="I50" s="136" t="str">
        <f>IF(_epmOfflineCondition_,"T1",_xll.EVPRO($B$1,$H50,"STYLE"))</f>
        <v>T1</v>
      </c>
      <c r="J50" s="136" t="str">
        <f>IF(_epmOfflineCondition_,"Y",_xll.EVPRO($B$1,$H50,"CALC"))</f>
        <v>Y</v>
      </c>
      <c r="K50" s="11"/>
      <c r="L50" s="11"/>
      <c r="M50" s="11"/>
      <c r="N50" s="368" t="str">
        <f>IF(_epmOfflineCondition_,"Total Labor &amp; Related Exp",IF(_xll.EVDES(H50,$B$1)="#NODATA","",_xll.EVDES(H50,$B$1)))</f>
        <v>Total Labor &amp; Related Exp</v>
      </c>
      <c r="O50" s="217"/>
      <c r="P50" s="217"/>
      <c r="Q50" s="217"/>
      <c r="R50" s="217"/>
      <c r="S50" s="217"/>
      <c r="T50" s="217"/>
      <c r="U50" s="217"/>
      <c r="V50" s="217"/>
      <c r="W50" s="217"/>
      <c r="X50" s="217"/>
      <c r="Y50" s="217"/>
      <c r="Z50" s="217"/>
      <c r="AA50" s="217">
        <f>IF($I50="B1","",SUM(O50:Z50))</f>
        <v>0</v>
      </c>
      <c r="AB50" s="219"/>
      <c r="AC50" s="140"/>
      <c r="AD50" s="217">
        <v>20102.669999999998</v>
      </c>
      <c r="AE50" s="219"/>
      <c r="AF50" s="220">
        <f>IF(AND($AA50="",AD50=""),"",$AA50-AD50)</f>
        <v>-20102.669999999998</v>
      </c>
      <c r="AG50" s="217">
        <v>11004.57</v>
      </c>
      <c r="AH50" s="219"/>
      <c r="AI50" s="220">
        <f>IF(AND($AA50="",AG50=""),"",$AA50-AG50)</f>
        <v>-11004.57</v>
      </c>
      <c r="AJ50" s="221">
        <f>IFERROR(AA50/AA$22,0)</f>
        <v>0</v>
      </c>
      <c r="AK50" s="222">
        <f>IFERROR(AD50/AD$22,0)</f>
        <v>0.53571405729513655</v>
      </c>
      <c r="AL50" s="223">
        <f>AJ50-AK50</f>
        <v>-0.53571405729513655</v>
      </c>
      <c r="AM50" s="224">
        <f>IFERROR(AG50/AG$22,0)</f>
        <v>0.5488563591022444</v>
      </c>
      <c r="AN50" s="223">
        <f>AJ50-AM50</f>
        <v>-0.5488563591022444</v>
      </c>
      <c r="AO50" s="11"/>
    </row>
    <row r="51" spans="1:41" ht="15" thickBot="1" x14ac:dyDescent="0.4">
      <c r="A51" s="65" t="s">
        <v>6</v>
      </c>
      <c r="B51" s="66"/>
      <c r="C51" s="11"/>
      <c r="D51" s="11"/>
      <c r="E51" s="11"/>
      <c r="F51" s="11"/>
      <c r="G51" s="76"/>
      <c r="H51" s="88" t="s">
        <v>80</v>
      </c>
      <c r="I51" s="136" t="str">
        <f>IF(_epmOfflineCondition_,"T3",_xll.EVPRO($B$1,$H51,"STYLE"))</f>
        <v>T3</v>
      </c>
      <c r="J51" s="136" t="str">
        <f>IF(_epmOfflineCondition_,"Y",_xll.EVPRO($B$1,$H51,"CALC"))</f>
        <v>Y</v>
      </c>
      <c r="K51" s="11"/>
      <c r="L51" s="11"/>
      <c r="M51" s="11"/>
      <c r="N51" s="107" t="str">
        <f>IF(_epmOfflineCondition_,"Total Expenses",IF(_xll.EVDES(H51,$B$1)="#NODATA","",_xll.EVDES(H51,$B$1)))</f>
        <v>Total Expenses</v>
      </c>
      <c r="O51" s="169">
        <v>5980.72</v>
      </c>
      <c r="P51" s="169">
        <v>6930.96</v>
      </c>
      <c r="Q51" s="169">
        <v>8774.91</v>
      </c>
      <c r="R51" s="169">
        <v>8789.94</v>
      </c>
      <c r="S51" s="169">
        <v>10169.540000000001</v>
      </c>
      <c r="T51" s="169">
        <v>8717.43</v>
      </c>
      <c r="U51" s="169">
        <v>9708.06</v>
      </c>
      <c r="V51" s="169">
        <v>5741.28</v>
      </c>
      <c r="W51" s="169">
        <v>4261.91</v>
      </c>
      <c r="X51" s="169">
        <v>5656.08</v>
      </c>
      <c r="Y51" s="169">
        <v>7424.14</v>
      </c>
      <c r="Z51" s="169">
        <v>11440.65</v>
      </c>
      <c r="AA51" s="169">
        <f>IF($I51="B1","",SUM(O51:Z51))</f>
        <v>93595.62</v>
      </c>
      <c r="AB51" s="170"/>
      <c r="AC51" s="140"/>
      <c r="AD51" s="169">
        <v>85137.975000000006</v>
      </c>
      <c r="AE51" s="170"/>
      <c r="AF51" s="171">
        <f>IF(AND($AA51="",AD51=""),"",$AA51-AD51)</f>
        <v>8457.6449999999895</v>
      </c>
      <c r="AG51" s="169">
        <v>54350.07</v>
      </c>
      <c r="AH51" s="170"/>
      <c r="AI51" s="171">
        <f>IF(AND($AA51="",AG51=""),"",$AA51-AG51)</f>
        <v>39245.549999999996</v>
      </c>
      <c r="AJ51" s="380">
        <f>IFERROR(AA51/AA$22,0)</f>
        <v>2.3271493572689526</v>
      </c>
      <c r="AK51" s="381">
        <f>IFERROR(AD51/AD$22,0)</f>
        <v>2.2688334443704199</v>
      </c>
      <c r="AL51" s="382">
        <f>AJ51-AK51</f>
        <v>5.8315912898532662E-2</v>
      </c>
      <c r="AM51" s="383">
        <f>IFERROR(AG51/AG$22,0)</f>
        <v>2.7107266832917705</v>
      </c>
      <c r="AN51" s="382">
        <f>AJ51-AM51</f>
        <v>-0.38357732602281791</v>
      </c>
      <c r="AO51" s="11"/>
    </row>
    <row r="52" spans="1:41" ht="15" thickTop="1" x14ac:dyDescent="0.35">
      <c r="A52" s="65" t="s">
        <v>7</v>
      </c>
      <c r="B52" s="66"/>
      <c r="C52" s="11"/>
      <c r="D52" s="11"/>
      <c r="E52" s="11"/>
      <c r="F52" s="11"/>
      <c r="G52" s="76"/>
      <c r="H52" s="76"/>
      <c r="I52" s="76"/>
      <c r="J52" s="76"/>
      <c r="K52" s="11"/>
      <c r="L52" s="11"/>
      <c r="M52" s="11"/>
      <c r="N52" s="104"/>
      <c r="O52" s="203"/>
      <c r="P52" s="204"/>
      <c r="Q52" s="204"/>
      <c r="R52" s="204"/>
      <c r="S52" s="204"/>
      <c r="T52" s="204"/>
      <c r="U52" s="204"/>
      <c r="V52" s="204"/>
      <c r="W52" s="204"/>
      <c r="X52" s="204"/>
      <c r="Y52" s="204"/>
      <c r="Z52" s="204"/>
      <c r="AA52" s="204"/>
      <c r="AB52" s="118"/>
      <c r="AC52" s="11"/>
      <c r="AD52" s="203"/>
      <c r="AE52" s="204"/>
      <c r="AF52" s="118"/>
      <c r="AG52" s="203"/>
      <c r="AH52" s="204"/>
      <c r="AI52" s="118"/>
      <c r="AJ52" s="11"/>
      <c r="AK52" s="11"/>
      <c r="AL52" s="11"/>
      <c r="AM52" s="11"/>
      <c r="AN52" s="11"/>
      <c r="AO52" s="11"/>
    </row>
    <row r="53" spans="1:41" x14ac:dyDescent="0.35">
      <c r="A53" s="65" t="s">
        <v>47</v>
      </c>
      <c r="B53" s="66" t="str">
        <f>IF(_epmOfflineCondition_,"'Resv'!$A$87:$B$108",_xll.EVRNG($A$87:$B$108))</f>
        <v>'Resv'!$A$87:$B$108</v>
      </c>
      <c r="C53" s="11"/>
      <c r="D53" s="11"/>
      <c r="E53" s="11"/>
      <c r="F53" s="11"/>
      <c r="G53" s="76"/>
      <c r="H53" s="11" t="s">
        <v>240</v>
      </c>
      <c r="I53" s="59" t="str">
        <f>IF(_epmOfflineCondition_,"B1",_xll.EVPRO($B$1,$H53,"STYLE"))</f>
        <v>B1</v>
      </c>
      <c r="J53" s="59" t="str">
        <f>IF(_epmOfflineCondition_,"Y",_xll.EVPRO($B$1,$H53,"CALC"))</f>
        <v>Y</v>
      </c>
      <c r="K53" s="11"/>
      <c r="L53" s="11"/>
      <c r="M53" s="11"/>
      <c r="N53" s="105" t="str">
        <f>IF(_epmOfflineCondition_,"Reservations Statistics",IF(_xll.EVDES(H53,$B$1)="#NODATA","",_xll.EVDES(H53,$B$1)))</f>
        <v>Reservations Statistics</v>
      </c>
      <c r="O53" s="203"/>
      <c r="P53" s="204"/>
      <c r="Q53" s="204"/>
      <c r="R53" s="204"/>
      <c r="S53" s="204"/>
      <c r="T53" s="204"/>
      <c r="U53" s="204"/>
      <c r="V53" s="204"/>
      <c r="W53" s="204"/>
      <c r="X53" s="204"/>
      <c r="Y53" s="204"/>
      <c r="Z53" s="204"/>
      <c r="AA53" s="204"/>
      <c r="AB53" s="118"/>
      <c r="AC53" s="11"/>
      <c r="AD53" s="203"/>
      <c r="AE53" s="204"/>
      <c r="AF53" s="118"/>
      <c r="AG53" s="203"/>
      <c r="AH53" s="204"/>
      <c r="AI53" s="118"/>
      <c r="AJ53" s="11"/>
      <c r="AK53" s="11"/>
      <c r="AL53" s="11"/>
      <c r="AM53" s="11"/>
      <c r="AN53" s="11"/>
      <c r="AO53" s="11"/>
    </row>
    <row r="54" spans="1:41" x14ac:dyDescent="0.35">
      <c r="A54" s="65" t="s">
        <v>8</v>
      </c>
      <c r="B54" s="66"/>
      <c r="C54" s="11"/>
      <c r="D54" s="11"/>
      <c r="E54" s="11"/>
      <c r="F54" s="11"/>
      <c r="G54" s="76"/>
      <c r="H54" s="88" t="s">
        <v>230</v>
      </c>
      <c r="I54" s="136" t="str">
        <f>IF(_epmOfflineCondition_,"N",_xll.EVPRO($B$1,$H54,"STYLE"))</f>
        <v>N</v>
      </c>
      <c r="J54" s="136" t="str">
        <f>IF(_epmOfflineCondition_,"N",_xll.EVPRO($B$1,$H54,"CALC"))</f>
        <v>N</v>
      </c>
      <c r="K54" s="179" t="str">
        <f t="shared" ref="K54:K61" si="13">IF(AND(I54&gt;="T3"),"&gt;","")</f>
        <v/>
      </c>
      <c r="L54" s="369" t="str">
        <f>IF(_epmOfflineCondition_,"910200",_xll.EVPRO($B$1,H54,"JDEID"))</f>
        <v>910200</v>
      </c>
      <c r="M54" s="90" t="str">
        <f>IF(_epmOfflineCondition_,"994300",IF(AND(I54="N",J54="N"),_xll.EVPRO($B$1,H54,"PSFTID"),""))</f>
        <v>994300</v>
      </c>
      <c r="N54" s="104" t="str">
        <f>IF(_epmOfflineCondition_,"# of CRS Calls Answered",IF(_xll.EVDES(H54,$B$1)="#NODATA","",_xll.EVDES(H54,$B$1)))</f>
        <v># of CRS Calls Answered</v>
      </c>
      <c r="O54" s="143"/>
      <c r="P54" s="143"/>
      <c r="Q54" s="143"/>
      <c r="R54" s="143"/>
      <c r="S54" s="143"/>
      <c r="T54" s="143"/>
      <c r="U54" s="143"/>
      <c r="V54" s="143"/>
      <c r="W54" s="143"/>
      <c r="X54" s="143"/>
      <c r="Y54" s="143"/>
      <c r="Z54" s="143"/>
      <c r="AA54" s="143">
        <f t="shared" ref="AA54:AA61" si="14">IF($I54="B1","",SUM(O54:Z54))</f>
        <v>0</v>
      </c>
      <c r="AB54" s="144" t="str">
        <f t="shared" ref="AB54:AB61" si="15">IF(AA54=0,"",IFERROR(AA54/AA$20,""))</f>
        <v/>
      </c>
      <c r="AC54" s="140"/>
      <c r="AD54" s="143"/>
      <c r="AE54" s="144" t="str">
        <f t="shared" ref="AE54:AE61" si="16">IF(AD54=0,"",IFERROR(AD54/AD$20,""))</f>
        <v/>
      </c>
      <c r="AF54" s="145">
        <f t="shared" ref="AF54:AF61" si="17">IF(AND($AA54="",AD54=""),"",$AA54-AD54)</f>
        <v>0</v>
      </c>
      <c r="AG54" s="143"/>
      <c r="AH54" s="144" t="str">
        <f t="shared" ref="AH54:AH61" si="18">IF(AG54=0,"",IFERROR(AG54/AG$20,""))</f>
        <v/>
      </c>
      <c r="AI54" s="145">
        <f t="shared" ref="AI54:AI61" si="19">IF(AND($AA54="",AG54=""),"",$AA54-AG54)</f>
        <v>0</v>
      </c>
      <c r="AJ54" s="11"/>
      <c r="AK54" s="11"/>
      <c r="AL54" s="11"/>
      <c r="AM54" s="11"/>
      <c r="AN54" s="11"/>
      <c r="AO54" s="11"/>
    </row>
    <row r="55" spans="1:41" x14ac:dyDescent="0.35">
      <c r="A55" s="11"/>
      <c r="B55" s="11"/>
      <c r="C55" s="11"/>
      <c r="D55" s="11"/>
      <c r="E55" s="11"/>
      <c r="F55" s="11"/>
      <c r="G55" s="76"/>
      <c r="H55" s="88" t="s">
        <v>175</v>
      </c>
      <c r="I55" s="188" t="str">
        <f>IF(_epmOfflineCondition_,"B1",_xll.EVPRO($B$1,$H55,"STYLE"))</f>
        <v>B1</v>
      </c>
      <c r="J55" s="188" t="str">
        <f>IF(_epmOfflineCondition_,"Y",_xll.EVPRO($B$1,$H55,"CALC"))</f>
        <v>Y</v>
      </c>
      <c r="K55" s="189" t="str">
        <f t="shared" si="13"/>
        <v/>
      </c>
      <c r="L55" s="106" t="str">
        <f>IF(_epmOfflineCondition_,"",_xll.EVPRO($B$1,H55,"JDEID"))</f>
        <v/>
      </c>
      <c r="M55" s="190" t="str">
        <f>IF(_epmOfflineCondition_,"",IF(AND(I55="N",J55="N"),_xll.EVPRO($B$1,H55,"PSFTID"),""))</f>
        <v/>
      </c>
      <c r="N55" s="190" t="str">
        <f>IF(_epmOfflineCondition_,"BLANKROW",IF(_xll.EVDES(H55,$B$1)="#NODATA","",_xll.EVDES(H55,$B$1)))</f>
        <v>BLANKROW</v>
      </c>
      <c r="O55" s="143"/>
      <c r="P55" s="143"/>
      <c r="Q55" s="143"/>
      <c r="R55" s="143"/>
      <c r="S55" s="143"/>
      <c r="T55" s="143"/>
      <c r="U55" s="143"/>
      <c r="V55" s="143"/>
      <c r="W55" s="143"/>
      <c r="X55" s="143"/>
      <c r="Y55" s="143"/>
      <c r="Z55" s="143"/>
      <c r="AA55" s="143" t="str">
        <f t="shared" si="14"/>
        <v/>
      </c>
      <c r="AB55" s="144" t="str">
        <f t="shared" si="15"/>
        <v/>
      </c>
      <c r="AC55" s="140"/>
      <c r="AD55" s="143"/>
      <c r="AE55" s="144" t="str">
        <f t="shared" si="16"/>
        <v/>
      </c>
      <c r="AF55" s="145" t="str">
        <f t="shared" si="17"/>
        <v/>
      </c>
      <c r="AG55" s="143"/>
      <c r="AH55" s="144" t="str">
        <f t="shared" si="18"/>
        <v/>
      </c>
      <c r="AI55" s="145" t="str">
        <f t="shared" si="19"/>
        <v/>
      </c>
      <c r="AJ55" s="11"/>
      <c r="AK55" s="11"/>
      <c r="AL55" s="11"/>
      <c r="AM55" s="11"/>
      <c r="AN55" s="11"/>
      <c r="AO55" s="11"/>
    </row>
    <row r="56" spans="1:41" x14ac:dyDescent="0.35">
      <c r="A56" s="11"/>
      <c r="B56" s="11"/>
      <c r="C56" s="11"/>
      <c r="D56" s="11"/>
      <c r="E56" s="11"/>
      <c r="F56" s="11"/>
      <c r="G56" s="76"/>
      <c r="H56" s="88" t="s">
        <v>231</v>
      </c>
      <c r="I56" s="122" t="str">
        <f>IF(_epmOfflineCondition_,"T3",_xll.EVPRO($B$1,$H56,"STYLE"))</f>
        <v>T3</v>
      </c>
      <c r="J56" s="122" t="str">
        <f>IF(_epmOfflineCondition_,"Y",_xll.EVPRO($B$1,$H56,"CALC"))</f>
        <v>Y</v>
      </c>
      <c r="K56" s="179" t="str">
        <f t="shared" si="13"/>
        <v>&gt;</v>
      </c>
      <c r="L56" s="369" t="str">
        <f>IF(_epmOfflineCondition_,"",_xll.EVPRO($B$1,H56,"JDEID"))</f>
        <v/>
      </c>
      <c r="M56" s="90" t="str">
        <f>IF(_epmOfflineCondition_,"",IF(AND(I56="N",J56="N"),_xll.EVPRO($B$1,H56,"PSFTID"),""))</f>
        <v/>
      </c>
      <c r="N56" s="90" t="str">
        <f>IF(_epmOfflineCondition_,"Total # of Resv. Taken at Hotel",IF(_xll.EVDES(H56,$B$1)="#NODATA","",_xll.EVDES(H56,$B$1)))</f>
        <v>Total # of Resv. Taken at Hotel</v>
      </c>
      <c r="O56" s="143"/>
      <c r="P56" s="143"/>
      <c r="Q56" s="143"/>
      <c r="R56" s="143"/>
      <c r="S56" s="143"/>
      <c r="T56" s="143"/>
      <c r="U56" s="143"/>
      <c r="V56" s="143"/>
      <c r="W56" s="143"/>
      <c r="X56" s="143"/>
      <c r="Y56" s="143"/>
      <c r="Z56" s="143"/>
      <c r="AA56" s="143">
        <f t="shared" si="14"/>
        <v>0</v>
      </c>
      <c r="AB56" s="144" t="str">
        <f t="shared" si="15"/>
        <v/>
      </c>
      <c r="AC56" s="140"/>
      <c r="AD56" s="143"/>
      <c r="AE56" s="144" t="str">
        <f t="shared" si="16"/>
        <v/>
      </c>
      <c r="AF56" s="145">
        <f t="shared" si="17"/>
        <v>0</v>
      </c>
      <c r="AG56" s="143"/>
      <c r="AH56" s="144" t="str">
        <f t="shared" si="18"/>
        <v/>
      </c>
      <c r="AI56" s="145">
        <f t="shared" si="19"/>
        <v>0</v>
      </c>
      <c r="AJ56" s="11"/>
      <c r="AK56" s="11"/>
      <c r="AL56" s="11"/>
      <c r="AM56" s="11"/>
      <c r="AN56" s="11"/>
      <c r="AO56" s="11"/>
    </row>
    <row r="57" spans="1:41" x14ac:dyDescent="0.35">
      <c r="A57" s="61" t="str">
        <f>IF(_epmOfflineCondition_,"Evdre:Ok",_xll.EVDRE($B$1,A60:B67,A70:B76))</f>
        <v>Evdre:Ok</v>
      </c>
      <c r="B57" s="11"/>
      <c r="C57" s="11"/>
      <c r="D57" s="11"/>
      <c r="E57" s="11"/>
      <c r="F57" s="11"/>
      <c r="G57" s="76"/>
      <c r="H57" s="185" t="s">
        <v>232</v>
      </c>
      <c r="I57" s="136" t="str">
        <f>IF(_epmOfflineCondition_,"N",_xll.EVPRO($B$1,$H57,"STYLE"))</f>
        <v>N</v>
      </c>
      <c r="J57" s="136" t="str">
        <f>IF(_epmOfflineCondition_,"N",_xll.EVPRO($B$1,$H57,"CALC"))</f>
        <v>N</v>
      </c>
      <c r="K57" s="179" t="str">
        <f t="shared" si="13"/>
        <v/>
      </c>
      <c r="L57" s="369" t="str">
        <f>IF(_epmOfflineCondition_,"910220",_xll.EVPRO($B$1,H57,"JDEID"))</f>
        <v>910220</v>
      </c>
      <c r="M57" s="90" t="str">
        <f>IF(_epmOfflineCondition_,"994330",IF(AND(I57="N",J57="N"),_xll.EVPRO($B$1,H57,"PSFTID"),""))</f>
        <v>994330</v>
      </c>
      <c r="N57" s="104" t="str">
        <f>IF(_epmOfflineCondition_,"# of Resv. Taken at CRO",IF(_xll.EVDES(H57,$B$1)="#NODATA","",_xll.EVDES(H57,$B$1)))</f>
        <v># of Resv. Taken at CRO</v>
      </c>
      <c r="O57" s="143"/>
      <c r="P57" s="143"/>
      <c r="Q57" s="143"/>
      <c r="R57" s="143"/>
      <c r="S57" s="143"/>
      <c r="T57" s="143"/>
      <c r="U57" s="143"/>
      <c r="V57" s="143"/>
      <c r="W57" s="143"/>
      <c r="X57" s="143"/>
      <c r="Y57" s="143"/>
      <c r="Z57" s="143"/>
      <c r="AA57" s="143">
        <f t="shared" si="14"/>
        <v>0</v>
      </c>
      <c r="AB57" s="144" t="str">
        <f t="shared" si="15"/>
        <v/>
      </c>
      <c r="AC57" s="140"/>
      <c r="AD57" s="143"/>
      <c r="AE57" s="144" t="str">
        <f t="shared" si="16"/>
        <v/>
      </c>
      <c r="AF57" s="145">
        <f t="shared" si="17"/>
        <v>0</v>
      </c>
      <c r="AG57" s="143"/>
      <c r="AH57" s="144" t="str">
        <f t="shared" si="18"/>
        <v/>
      </c>
      <c r="AI57" s="145">
        <f t="shared" si="19"/>
        <v>0</v>
      </c>
      <c r="AJ57" s="11"/>
      <c r="AK57" s="11"/>
      <c r="AL57" s="11"/>
      <c r="AM57" s="11"/>
      <c r="AN57" s="11"/>
      <c r="AO57" s="11"/>
    </row>
    <row r="58" spans="1:41" x14ac:dyDescent="0.35">
      <c r="A58" s="11"/>
      <c r="B58" s="11"/>
      <c r="C58" s="11"/>
      <c r="D58" s="11"/>
      <c r="E58" s="11"/>
      <c r="F58" s="11"/>
      <c r="G58" s="76"/>
      <c r="H58" s="185" t="s">
        <v>233</v>
      </c>
      <c r="I58" s="136" t="str">
        <f>IF(_epmOfflineCondition_,"N",_xll.EVPRO($B$1,$H58,"STYLE"))</f>
        <v>N</v>
      </c>
      <c r="J58" s="136" t="str">
        <f>IF(_epmOfflineCondition_,"N",_xll.EVPRO($B$1,$H58,"CALC"))</f>
        <v>N</v>
      </c>
      <c r="K58" s="179" t="str">
        <f t="shared" si="13"/>
        <v/>
      </c>
      <c r="L58" s="369" t="str">
        <f>IF(_epmOfflineCondition_,"910230",_xll.EVPRO($B$1,H58,"JDEID"))</f>
        <v>910230</v>
      </c>
      <c r="M58" s="90" t="str">
        <f>IF(_epmOfflineCondition_,"994340",IF(AND(I58="N",J58="N"),_xll.EVPRO($B$1,H58,"PSFTID"),""))</f>
        <v>994340</v>
      </c>
      <c r="N58" s="104" t="str">
        <f>IF(_epmOfflineCondition_,"# of GDS Reservations",IF(_xll.EVDES(H58,$B$1)="#NODATA","",_xll.EVDES(H58,$B$1)))</f>
        <v># of GDS Reservations</v>
      </c>
      <c r="O58" s="143">
        <v>18</v>
      </c>
      <c r="P58" s="143">
        <v>10</v>
      </c>
      <c r="Q58" s="143">
        <v>16</v>
      </c>
      <c r="R58" s="143">
        <v>32</v>
      </c>
      <c r="S58" s="143">
        <v>16</v>
      </c>
      <c r="T58" s="143">
        <v>8</v>
      </c>
      <c r="U58" s="143">
        <v>32</v>
      </c>
      <c r="V58" s="143">
        <v>25</v>
      </c>
      <c r="W58" s="143">
        <v>29</v>
      </c>
      <c r="X58" s="143">
        <v>8</v>
      </c>
      <c r="Y58" s="143">
        <v>31</v>
      </c>
      <c r="Z58" s="143">
        <v>50</v>
      </c>
      <c r="AA58" s="143">
        <f t="shared" si="14"/>
        <v>275</v>
      </c>
      <c r="AB58" s="144">
        <f t="shared" si="15"/>
        <v>1</v>
      </c>
      <c r="AC58" s="140"/>
      <c r="AD58" s="143">
        <v>846.04700000000003</v>
      </c>
      <c r="AE58" s="144">
        <f t="shared" si="16"/>
        <v>1</v>
      </c>
      <c r="AF58" s="145">
        <f t="shared" si="17"/>
        <v>-571.04700000000003</v>
      </c>
      <c r="AG58" s="143">
        <v>1294</v>
      </c>
      <c r="AH58" s="144">
        <f t="shared" si="18"/>
        <v>1</v>
      </c>
      <c r="AI58" s="145">
        <f t="shared" si="19"/>
        <v>-1019</v>
      </c>
      <c r="AJ58" s="11"/>
      <c r="AK58" s="11"/>
      <c r="AL58" s="11"/>
      <c r="AM58" s="11"/>
      <c r="AN58" s="11"/>
      <c r="AO58" s="11"/>
    </row>
    <row r="59" spans="1:41" x14ac:dyDescent="0.35">
      <c r="A59" s="62" t="s">
        <v>0</v>
      </c>
      <c r="B59" s="63" t="s">
        <v>1</v>
      </c>
      <c r="C59" s="11"/>
      <c r="D59" s="11"/>
      <c r="E59" s="11"/>
      <c r="F59" s="11"/>
      <c r="G59" s="76"/>
      <c r="H59" s="185" t="s">
        <v>234</v>
      </c>
      <c r="I59" s="136" t="str">
        <f>IF(_epmOfflineCondition_,"N",_xll.EVPRO($B$1,$H59,"STYLE"))</f>
        <v>N</v>
      </c>
      <c r="J59" s="136" t="str">
        <f>IF(_epmOfflineCondition_,"N",_xll.EVPRO($B$1,$H59,"CALC"))</f>
        <v>N</v>
      </c>
      <c r="K59" s="179" t="str">
        <f t="shared" si="13"/>
        <v/>
      </c>
      <c r="L59" s="369" t="str">
        <f>IF(_epmOfflineCondition_,"910240",_xll.EVPRO($B$1,H59,"JDEID"))</f>
        <v>910240</v>
      </c>
      <c r="M59" s="90" t="str">
        <f>IF(_epmOfflineCondition_,"994350",IF(AND(I59="N",J59="N"),_xll.EVPRO($B$1,H59,"PSFTID"),""))</f>
        <v>994350</v>
      </c>
      <c r="N59" s="104" t="str">
        <f>IF(_epmOfflineCondition_,"# of Hotel Website Reservations Processed",IF(_xll.EVDES(H59,$B$1)="#NODATA","",_xll.EVDES(H59,$B$1)))</f>
        <v># of Hotel Website Reservations Processed</v>
      </c>
      <c r="O59" s="143"/>
      <c r="P59" s="143"/>
      <c r="Q59" s="143"/>
      <c r="R59" s="143"/>
      <c r="S59" s="143"/>
      <c r="T59" s="143"/>
      <c r="U59" s="143"/>
      <c r="V59" s="143"/>
      <c r="W59" s="143"/>
      <c r="X59" s="143"/>
      <c r="Y59" s="143"/>
      <c r="Z59" s="143"/>
      <c r="AA59" s="143">
        <f t="shared" si="14"/>
        <v>0</v>
      </c>
      <c r="AB59" s="144" t="str">
        <f t="shared" si="15"/>
        <v/>
      </c>
      <c r="AC59" s="140"/>
      <c r="AD59" s="143"/>
      <c r="AE59" s="144" t="str">
        <f t="shared" si="16"/>
        <v/>
      </c>
      <c r="AF59" s="145">
        <f t="shared" si="17"/>
        <v>0</v>
      </c>
      <c r="AG59" s="143"/>
      <c r="AH59" s="144" t="str">
        <f t="shared" si="18"/>
        <v/>
      </c>
      <c r="AI59" s="145">
        <f t="shared" si="19"/>
        <v>0</v>
      </c>
      <c r="AJ59" s="11"/>
      <c r="AK59" s="11"/>
      <c r="AL59" s="11"/>
      <c r="AM59" s="11"/>
      <c r="AN59" s="11"/>
      <c r="AO59" s="11"/>
    </row>
    <row r="60" spans="1:41" x14ac:dyDescent="0.35">
      <c r="A60" s="65" t="s">
        <v>2</v>
      </c>
      <c r="B60" s="66" t="str">
        <f>IF(_epmOfflineCondition_,"'Resv'!$B$2:$B$10",_xll.EVRNG($B$2:$B$10))</f>
        <v>'Resv'!$B$2:$B$10</v>
      </c>
      <c r="C60" s="11"/>
      <c r="D60" s="11"/>
      <c r="E60" s="11"/>
      <c r="F60" s="11"/>
      <c r="G60" s="76"/>
      <c r="H60" s="185" t="s">
        <v>235</v>
      </c>
      <c r="I60" s="122" t="str">
        <f>IF(_epmOfflineCondition_,"T3",_xll.EVPRO($B$1,$H60,"STYLE"))</f>
        <v>T3</v>
      </c>
      <c r="J60" s="122" t="str">
        <f>IF(_epmOfflineCondition_,"Y",_xll.EVPRO($B$1,$H60,"CALC"))</f>
        <v>Y</v>
      </c>
      <c r="K60" s="179" t="str">
        <f t="shared" si="13"/>
        <v>&gt;</v>
      </c>
      <c r="L60" s="369" t="str">
        <f>IF(_epmOfflineCondition_,"910250",_xll.EVPRO($B$1,H60,"JDEID"))</f>
        <v>910250</v>
      </c>
      <c r="M60" s="90" t="str">
        <f>IF(_epmOfflineCondition_,"",IF(AND(I60="N",J60="N"),_xll.EVPRO($B$1,H60,"PSFTID"),""))</f>
        <v/>
      </c>
      <c r="N60" s="90" t="str">
        <f>IF(_epmOfflineCondition_,"# of E-Channel Reservations",IF(_xll.EVDES(H60,$B$1)="#NODATA","",_xll.EVDES(H60,$B$1)))</f>
        <v># of E-Channel Reservations</v>
      </c>
      <c r="O60" s="217"/>
      <c r="P60" s="217"/>
      <c r="Q60" s="217"/>
      <c r="R60" s="217"/>
      <c r="S60" s="217"/>
      <c r="T60" s="217"/>
      <c r="U60" s="217"/>
      <c r="V60" s="217"/>
      <c r="W60" s="217"/>
      <c r="X60" s="217"/>
      <c r="Y60" s="217"/>
      <c r="Z60" s="217"/>
      <c r="AA60" s="217">
        <f t="shared" si="14"/>
        <v>0</v>
      </c>
      <c r="AB60" s="219" t="str">
        <f t="shared" si="15"/>
        <v/>
      </c>
      <c r="AC60" s="140"/>
      <c r="AD60" s="217"/>
      <c r="AE60" s="219" t="str">
        <f t="shared" si="16"/>
        <v/>
      </c>
      <c r="AF60" s="220">
        <f t="shared" si="17"/>
        <v>0</v>
      </c>
      <c r="AG60" s="217"/>
      <c r="AH60" s="219" t="str">
        <f t="shared" si="18"/>
        <v/>
      </c>
      <c r="AI60" s="220">
        <f t="shared" si="19"/>
        <v>0</v>
      </c>
      <c r="AJ60" s="11"/>
      <c r="AK60" s="11"/>
      <c r="AL60" s="11"/>
      <c r="AM60" s="11"/>
      <c r="AN60" s="11"/>
      <c r="AO60" s="11"/>
    </row>
    <row r="61" spans="1:41" x14ac:dyDescent="0.35">
      <c r="A61" s="65" t="s">
        <v>3</v>
      </c>
      <c r="B61" s="66" t="str">
        <f>IF(_epmOfflineCondition_,"'Resv'!$O$16:$AI$18",_xll.EVRNG(O16:AI18))</f>
        <v>'Resv'!$O$16:$AI$18</v>
      </c>
      <c r="C61" s="11"/>
      <c r="D61" s="11"/>
      <c r="E61" s="11"/>
      <c r="F61" s="11"/>
      <c r="G61" s="76"/>
      <c r="H61" s="185" t="s">
        <v>236</v>
      </c>
      <c r="I61" s="188" t="str">
        <f>IF(_epmOfflineCondition_,"T2",_xll.EVPRO($B$1,$H61,"STYLE"))</f>
        <v>T2</v>
      </c>
      <c r="J61" s="188" t="str">
        <f>IF(_epmOfflineCondition_,"Y",_xll.EVPRO($B$1,$H61,"CALC"))</f>
        <v>Y</v>
      </c>
      <c r="K61" s="189" t="str">
        <f t="shared" si="13"/>
        <v/>
      </c>
      <c r="L61" s="106" t="str">
        <f>IF(_epmOfflineCondition_,"",_xll.EVPRO($B$1,H61,"JDEID"))</f>
        <v/>
      </c>
      <c r="M61" s="190" t="str">
        <f>IF(_epmOfflineCondition_,"",IF(AND(I61="N",J61="N"),_xll.EVPRO($B$1,H61,"PSFTID"),""))</f>
        <v/>
      </c>
      <c r="N61" s="190" t="str">
        <f>IF(_epmOfflineCondition_,"Total # of Net Reservation Taken",IF(_xll.EVDES(H61,$B$1)="#NODATA","",_xll.EVDES(H61,$B$1)))</f>
        <v>Total # of Net Reservation Taken</v>
      </c>
      <c r="O61" s="225">
        <v>18</v>
      </c>
      <c r="P61" s="225">
        <v>10</v>
      </c>
      <c r="Q61" s="225">
        <v>16</v>
      </c>
      <c r="R61" s="225">
        <v>32</v>
      </c>
      <c r="S61" s="225">
        <v>16</v>
      </c>
      <c r="T61" s="225">
        <v>8</v>
      </c>
      <c r="U61" s="225">
        <v>32</v>
      </c>
      <c r="V61" s="225">
        <v>25</v>
      </c>
      <c r="W61" s="225">
        <v>29</v>
      </c>
      <c r="X61" s="225">
        <v>8</v>
      </c>
      <c r="Y61" s="225">
        <v>31</v>
      </c>
      <c r="Z61" s="225">
        <v>50</v>
      </c>
      <c r="AA61" s="225">
        <f t="shared" si="14"/>
        <v>275</v>
      </c>
      <c r="AB61" s="226">
        <f t="shared" si="15"/>
        <v>1</v>
      </c>
      <c r="AC61" s="227"/>
      <c r="AD61" s="225">
        <v>846.04700000000003</v>
      </c>
      <c r="AE61" s="226">
        <f t="shared" si="16"/>
        <v>1</v>
      </c>
      <c r="AF61" s="228">
        <f t="shared" si="17"/>
        <v>-571.04700000000003</v>
      </c>
      <c r="AG61" s="225">
        <v>1294</v>
      </c>
      <c r="AH61" s="226">
        <f t="shared" si="18"/>
        <v>1</v>
      </c>
      <c r="AI61" s="228">
        <f t="shared" si="19"/>
        <v>-1019</v>
      </c>
      <c r="AJ61" s="11"/>
      <c r="AK61" s="11"/>
      <c r="AL61" s="11"/>
      <c r="AM61" s="11"/>
      <c r="AN61" s="11"/>
      <c r="AO61" s="11"/>
    </row>
    <row r="62" spans="1:41" x14ac:dyDescent="0.35">
      <c r="A62" s="65" t="s">
        <v>4</v>
      </c>
      <c r="B62" s="66" t="str">
        <f>IF(_epmOfflineCondition_,"'Resv'!$H$54:$H$61",_xll.EVRNG(H54:H61))</f>
        <v>'Resv'!$H$54:$H$61</v>
      </c>
      <c r="C62" s="11"/>
      <c r="D62" s="11"/>
      <c r="E62" s="11"/>
      <c r="F62" s="11"/>
      <c r="G62" s="76"/>
      <c r="H62" s="11"/>
      <c r="I62" s="59"/>
      <c r="J62" s="59"/>
      <c r="K62" s="11"/>
      <c r="L62" s="11"/>
      <c r="M62" s="11"/>
      <c r="N62" s="11"/>
      <c r="O62" s="197"/>
      <c r="P62" s="197"/>
      <c r="Q62" s="197"/>
      <c r="R62" s="197"/>
      <c r="S62" s="197"/>
      <c r="T62" s="197"/>
      <c r="U62" s="197"/>
      <c r="V62" s="197"/>
      <c r="W62" s="197"/>
      <c r="X62" s="197"/>
      <c r="Y62" s="197"/>
      <c r="Z62" s="197"/>
      <c r="AA62" s="197"/>
      <c r="AB62" s="198"/>
      <c r="AC62" s="11"/>
      <c r="AD62" s="197"/>
      <c r="AE62" s="198"/>
      <c r="AF62" s="199"/>
      <c r="AG62" s="197"/>
      <c r="AH62" s="198"/>
      <c r="AI62" s="199"/>
      <c r="AJ62" s="11"/>
      <c r="AK62" s="11"/>
      <c r="AL62" s="11"/>
      <c r="AM62" s="11"/>
      <c r="AN62" s="11"/>
      <c r="AO62" s="11"/>
    </row>
    <row r="63" spans="1:41" x14ac:dyDescent="0.35">
      <c r="A63" s="65" t="s">
        <v>5</v>
      </c>
      <c r="B63" s="66"/>
      <c r="C63" s="11"/>
      <c r="D63" s="11"/>
      <c r="E63" s="11"/>
      <c r="F63" s="11"/>
      <c r="G63" s="76"/>
      <c r="H63" s="11"/>
      <c r="I63" s="59"/>
      <c r="J63" s="59"/>
      <c r="K63" s="104"/>
      <c r="L63" s="104"/>
      <c r="M63" s="104"/>
      <c r="N63" s="104" t="str">
        <f>N21</f>
        <v>Number of Rooms on Property</v>
      </c>
      <c r="O63" s="91">
        <f t="shared" ref="O63:AA63" si="20">O$21</f>
        <v>132</v>
      </c>
      <c r="P63" s="91">
        <f t="shared" si="20"/>
        <v>132</v>
      </c>
      <c r="Q63" s="91">
        <f t="shared" si="20"/>
        <v>132</v>
      </c>
      <c r="R63" s="91">
        <f t="shared" si="20"/>
        <v>132</v>
      </c>
      <c r="S63" s="91">
        <f t="shared" si="20"/>
        <v>132</v>
      </c>
      <c r="T63" s="91">
        <f t="shared" si="20"/>
        <v>132</v>
      </c>
      <c r="U63" s="91">
        <f t="shared" si="20"/>
        <v>132</v>
      </c>
      <c r="V63" s="91">
        <f t="shared" si="20"/>
        <v>132</v>
      </c>
      <c r="W63" s="91">
        <f t="shared" si="20"/>
        <v>132</v>
      </c>
      <c r="X63" s="91">
        <f t="shared" si="20"/>
        <v>132</v>
      </c>
      <c r="Y63" s="91">
        <f t="shared" si="20"/>
        <v>132</v>
      </c>
      <c r="Z63" s="91">
        <f t="shared" si="20"/>
        <v>132</v>
      </c>
      <c r="AA63" s="91">
        <f t="shared" si="20"/>
        <v>1584</v>
      </c>
      <c r="AB63" s="100"/>
      <c r="AC63" s="11"/>
      <c r="AD63" s="91">
        <f>AD$21</f>
        <v>1584</v>
      </c>
      <c r="AE63" s="100"/>
      <c r="AF63" s="183"/>
      <c r="AG63" s="91">
        <f>AG$21</f>
        <v>1584</v>
      </c>
      <c r="AH63" s="100"/>
      <c r="AI63" s="183"/>
      <c r="AJ63" s="11"/>
      <c r="AK63" s="11"/>
      <c r="AL63" s="11"/>
      <c r="AM63" s="11"/>
      <c r="AN63" s="11"/>
      <c r="AO63" s="11"/>
    </row>
    <row r="64" spans="1:41" x14ac:dyDescent="0.35">
      <c r="A64" s="65" t="s">
        <v>6</v>
      </c>
      <c r="B64" s="66"/>
      <c r="C64" s="11"/>
      <c r="D64" s="11"/>
      <c r="E64" s="11"/>
      <c r="F64" s="11"/>
      <c r="G64" s="76"/>
      <c r="H64" s="11"/>
      <c r="I64" s="59"/>
      <c r="J64" s="59"/>
      <c r="K64" s="104"/>
      <c r="L64" s="104"/>
      <c r="M64" s="104"/>
      <c r="N64" s="104"/>
      <c r="O64" s="91"/>
      <c r="P64" s="91"/>
      <c r="Q64" s="91"/>
      <c r="R64" s="91"/>
      <c r="S64" s="91"/>
      <c r="T64" s="91"/>
      <c r="U64" s="91"/>
      <c r="V64" s="91"/>
      <c r="W64" s="91"/>
      <c r="X64" s="91"/>
      <c r="Y64" s="91"/>
      <c r="Z64" s="91"/>
      <c r="AA64" s="91"/>
      <c r="AB64" s="100"/>
      <c r="AC64" s="11"/>
      <c r="AD64" s="91"/>
      <c r="AE64" s="100"/>
      <c r="AF64" s="92"/>
      <c r="AG64" s="91"/>
      <c r="AH64" s="100"/>
      <c r="AI64" s="92"/>
      <c r="AJ64" s="11"/>
      <c r="AK64" s="11"/>
      <c r="AL64" s="11"/>
      <c r="AM64" s="11"/>
      <c r="AN64" s="11"/>
      <c r="AO64" s="11"/>
    </row>
    <row r="65" spans="1:41" x14ac:dyDescent="0.35">
      <c r="A65" s="65" t="s">
        <v>7</v>
      </c>
      <c r="B65" s="66" t="str">
        <f>IF(_epmOfflineCondition_,"'Resv'!$A$79:$F$83",_xll.EVRNG(A79:F83))</f>
        <v>'Resv'!$A$79:$F$83</v>
      </c>
      <c r="C65" s="11"/>
      <c r="D65" s="11"/>
      <c r="E65" s="11"/>
      <c r="F65" s="11"/>
      <c r="G65" s="76"/>
      <c r="H65" s="88"/>
      <c r="I65" s="136"/>
      <c r="J65" s="136"/>
      <c r="K65" s="179"/>
      <c r="L65" s="179"/>
      <c r="M65" s="179"/>
      <c r="N65" s="104" t="s">
        <v>245</v>
      </c>
      <c r="O65" s="209" t="e">
        <f t="shared" ref="O65:AA65" si="21">SUMIF($H$34:$H$45,"710150",O$34:O$45)/SUMIF($H$54:$H$61,"910200",O$54:O$61)</f>
        <v>#DIV/0!</v>
      </c>
      <c r="P65" s="209" t="e">
        <f t="shared" si="21"/>
        <v>#DIV/0!</v>
      </c>
      <c r="Q65" s="209" t="e">
        <f t="shared" si="21"/>
        <v>#DIV/0!</v>
      </c>
      <c r="R65" s="209" t="e">
        <f t="shared" si="21"/>
        <v>#DIV/0!</v>
      </c>
      <c r="S65" s="209" t="e">
        <f t="shared" si="21"/>
        <v>#DIV/0!</v>
      </c>
      <c r="T65" s="209" t="e">
        <f t="shared" si="21"/>
        <v>#DIV/0!</v>
      </c>
      <c r="U65" s="209" t="e">
        <f t="shared" si="21"/>
        <v>#DIV/0!</v>
      </c>
      <c r="V65" s="209" t="e">
        <f t="shared" si="21"/>
        <v>#DIV/0!</v>
      </c>
      <c r="W65" s="209" t="e">
        <f t="shared" si="21"/>
        <v>#DIV/0!</v>
      </c>
      <c r="X65" s="209" t="e">
        <f t="shared" si="21"/>
        <v>#DIV/0!</v>
      </c>
      <c r="Y65" s="209" t="e">
        <f t="shared" si="21"/>
        <v>#DIV/0!</v>
      </c>
      <c r="Z65" s="209" t="e">
        <f t="shared" si="21"/>
        <v>#DIV/0!</v>
      </c>
      <c r="AA65" s="209" t="e">
        <f t="shared" si="21"/>
        <v>#DIV/0!</v>
      </c>
      <c r="AB65" s="100"/>
      <c r="AC65" s="11"/>
      <c r="AD65" s="209" t="e">
        <f>SUMIF($H$34:$H$45,"710150",AD$34:AD$45)/SUMIF($H$54:$H$61,"910200",AD$54:AD$61)</f>
        <v>#DIV/0!</v>
      </c>
      <c r="AE65" s="100"/>
      <c r="AF65" s="183" t="e">
        <f t="shared" ref="AF65:AF74" si="22">IF(AND($AA65="",AD65=""),"",$AA65-AD65)</f>
        <v>#DIV/0!</v>
      </c>
      <c r="AG65" s="209" t="e">
        <f>SUMIF($H$34:$H$45,"710150",AG$34:AG$45)/SUMIF($H$54:$H$61,"910200",AG$54:AG$61)</f>
        <v>#DIV/0!</v>
      </c>
      <c r="AH65" s="100"/>
      <c r="AI65" s="183" t="e">
        <f t="shared" ref="AI65:AI74" si="23">IF(AND($AA65="",AG65=""),"",$AA65-AG65)</f>
        <v>#DIV/0!</v>
      </c>
      <c r="AJ65" s="11"/>
      <c r="AK65" s="11"/>
      <c r="AL65" s="11"/>
      <c r="AM65" s="11"/>
      <c r="AN65" s="11"/>
      <c r="AO65" s="11"/>
    </row>
    <row r="66" spans="1:41" x14ac:dyDescent="0.35">
      <c r="A66" s="65" t="s">
        <v>47</v>
      </c>
      <c r="B66" s="66" t="str">
        <f>IF(_epmOfflineCondition_,"'Resv'!$A$87:$B$108",_xll.EVRNG($A$87:$B$108))</f>
        <v>'Resv'!$A$87:$B$108</v>
      </c>
      <c r="C66" s="11"/>
      <c r="D66" s="11"/>
      <c r="E66" s="11"/>
      <c r="F66" s="11"/>
      <c r="G66" s="76"/>
      <c r="H66" s="88"/>
      <c r="I66" s="136"/>
      <c r="J66" s="136"/>
      <c r="K66" s="179"/>
      <c r="L66" s="179"/>
      <c r="M66" s="179"/>
      <c r="N66" s="104" t="s">
        <v>246</v>
      </c>
      <c r="O66" s="209" t="e">
        <f t="shared" ref="O66:AA66" si="24">(SUMIF($H$34:$H$45,"710140",O$34:O$45)+SUMIF($H$34:$H$45,"710145",O$34:O$45))/(SUMIF($H$54:$H$61,"RESATHOTEL",O$54:O$61)+SUMIF($H$54:$H$61,"910220",O$54:O$61))</f>
        <v>#DIV/0!</v>
      </c>
      <c r="P66" s="209" t="e">
        <f t="shared" si="24"/>
        <v>#DIV/0!</v>
      </c>
      <c r="Q66" s="209" t="e">
        <f t="shared" si="24"/>
        <v>#DIV/0!</v>
      </c>
      <c r="R66" s="209" t="e">
        <f t="shared" si="24"/>
        <v>#DIV/0!</v>
      </c>
      <c r="S66" s="209" t="e">
        <f t="shared" si="24"/>
        <v>#DIV/0!</v>
      </c>
      <c r="T66" s="209" t="e">
        <f t="shared" si="24"/>
        <v>#DIV/0!</v>
      </c>
      <c r="U66" s="209" t="e">
        <f t="shared" si="24"/>
        <v>#DIV/0!</v>
      </c>
      <c r="V66" s="209" t="e">
        <f t="shared" si="24"/>
        <v>#DIV/0!</v>
      </c>
      <c r="W66" s="209" t="e">
        <f t="shared" si="24"/>
        <v>#DIV/0!</v>
      </c>
      <c r="X66" s="209" t="e">
        <f t="shared" si="24"/>
        <v>#DIV/0!</v>
      </c>
      <c r="Y66" s="209" t="e">
        <f t="shared" si="24"/>
        <v>#DIV/0!</v>
      </c>
      <c r="Z66" s="209" t="e">
        <f t="shared" si="24"/>
        <v>#DIV/0!</v>
      </c>
      <c r="AA66" s="209" t="e">
        <f t="shared" si="24"/>
        <v>#DIV/0!</v>
      </c>
      <c r="AB66" s="100"/>
      <c r="AC66" s="11"/>
      <c r="AD66" s="209" t="e">
        <f>(SUMIF($H$34:$H$45,"710140",AD$34:AD$45)+SUMIF($H$34:$H$45,"710145",AD$34:AD$45))/(SUMIF($H$54:$H$61,"RESATHOTEL",AD$54:AD$61)+SUMIF($H$54:$H$61,"910220",AD$54:AD$61))</f>
        <v>#DIV/0!</v>
      </c>
      <c r="AE66" s="100"/>
      <c r="AF66" s="183" t="e">
        <f t="shared" si="22"/>
        <v>#DIV/0!</v>
      </c>
      <c r="AG66" s="209" t="e">
        <f>(SUMIF($H$34:$H$45,"710140",AG$34:AG$45)+SUMIF($H$34:$H$45,"710145",AG$34:AG$45))/(SUMIF($H$54:$H$61,"RESATHOTEL",AG$54:AG$61)+SUMIF($H$54:$H$61,"910220",AG$54:AG$61))</f>
        <v>#DIV/0!</v>
      </c>
      <c r="AH66" s="100"/>
      <c r="AI66" s="183" t="e">
        <f t="shared" si="23"/>
        <v>#DIV/0!</v>
      </c>
      <c r="AJ66" s="11"/>
      <c r="AK66" s="11"/>
      <c r="AL66" s="11"/>
      <c r="AM66" s="11"/>
      <c r="AN66" s="11"/>
      <c r="AO66" s="11"/>
    </row>
    <row r="67" spans="1:41" x14ac:dyDescent="0.35">
      <c r="A67" s="65" t="s">
        <v>8</v>
      </c>
      <c r="B67" s="66"/>
      <c r="C67" s="11"/>
      <c r="D67" s="11"/>
      <c r="E67" s="11"/>
      <c r="F67" s="11"/>
      <c r="G67" s="76"/>
      <c r="H67" s="88"/>
      <c r="I67" s="136"/>
      <c r="J67" s="136"/>
      <c r="K67" s="179"/>
      <c r="L67" s="179"/>
      <c r="M67" s="179"/>
      <c r="N67" s="104" t="s">
        <v>247</v>
      </c>
      <c r="O67" s="209">
        <f t="shared" ref="O67:AA67" si="25">SUMIF($H$34:$H$45,"710160",O$34:O$45)/O$63</f>
        <v>0</v>
      </c>
      <c r="P67" s="209">
        <f t="shared" si="25"/>
        <v>0</v>
      </c>
      <c r="Q67" s="209">
        <f t="shared" si="25"/>
        <v>0</v>
      </c>
      <c r="R67" s="209">
        <f t="shared" si="25"/>
        <v>0</v>
      </c>
      <c r="S67" s="209">
        <f t="shared" si="25"/>
        <v>0</v>
      </c>
      <c r="T67" s="209">
        <f t="shared" si="25"/>
        <v>0</v>
      </c>
      <c r="U67" s="209">
        <f t="shared" si="25"/>
        <v>0</v>
      </c>
      <c r="V67" s="209">
        <f t="shared" si="25"/>
        <v>0</v>
      </c>
      <c r="W67" s="209">
        <f t="shared" si="25"/>
        <v>0</v>
      </c>
      <c r="X67" s="209">
        <f t="shared" si="25"/>
        <v>0</v>
      </c>
      <c r="Y67" s="209">
        <f t="shared" si="25"/>
        <v>0</v>
      </c>
      <c r="Z67" s="209">
        <f t="shared" si="25"/>
        <v>0</v>
      </c>
      <c r="AA67" s="209">
        <f t="shared" si="25"/>
        <v>0</v>
      </c>
      <c r="AB67" s="100"/>
      <c r="AC67" s="11"/>
      <c r="AD67" s="209">
        <f>SUMIF($H$34:$H$45,"710160",AD$34:AD$45)/AD$63</f>
        <v>0</v>
      </c>
      <c r="AE67" s="100"/>
      <c r="AF67" s="183">
        <f t="shared" si="22"/>
        <v>0</v>
      </c>
      <c r="AG67" s="209">
        <f>SUMIF($H$34:$H$45,"710160",AG$34:AG$45)/AG$63</f>
        <v>0</v>
      </c>
      <c r="AH67" s="100"/>
      <c r="AI67" s="183">
        <f t="shared" si="23"/>
        <v>0</v>
      </c>
      <c r="AJ67" s="11"/>
      <c r="AK67" s="11"/>
      <c r="AL67" s="11"/>
      <c r="AM67" s="11"/>
      <c r="AN67" s="11"/>
      <c r="AO67" s="11"/>
    </row>
    <row r="68" spans="1:41" x14ac:dyDescent="0.35">
      <c r="A68" s="11"/>
      <c r="B68" s="11"/>
      <c r="C68" s="11"/>
      <c r="D68" s="11"/>
      <c r="E68" s="11"/>
      <c r="F68" s="11"/>
      <c r="G68" s="76"/>
      <c r="H68" s="88"/>
      <c r="I68" s="136"/>
      <c r="J68" s="136"/>
      <c r="K68" s="179"/>
      <c r="L68" s="179"/>
      <c r="M68" s="179"/>
      <c r="N68" s="104" t="s">
        <v>248</v>
      </c>
      <c r="O68" s="209">
        <f t="shared" ref="O68:AA68" si="26">SUMIF($H$34:$H$45,"710170",O$34:O$45)/SUMIF($H$54:$H$61,"910230",O$54:O$61)</f>
        <v>6.4</v>
      </c>
      <c r="P68" s="209">
        <f t="shared" si="26"/>
        <v>6.4</v>
      </c>
      <c r="Q68" s="209">
        <f t="shared" si="26"/>
        <v>6.4</v>
      </c>
      <c r="R68" s="209">
        <f t="shared" si="26"/>
        <v>6.4</v>
      </c>
      <c r="S68" s="209">
        <f t="shared" si="26"/>
        <v>-2.8</v>
      </c>
      <c r="T68" s="209">
        <f t="shared" si="26"/>
        <v>53.233750000000001</v>
      </c>
      <c r="U68" s="209">
        <f t="shared" si="26"/>
        <v>6.4</v>
      </c>
      <c r="V68" s="209">
        <f t="shared" si="26"/>
        <v>6.4</v>
      </c>
      <c r="W68" s="209">
        <f t="shared" si="26"/>
        <v>6.3999999999999995</v>
      </c>
      <c r="X68" s="209">
        <f t="shared" si="26"/>
        <v>6.4</v>
      </c>
      <c r="Y68" s="209">
        <f t="shared" si="26"/>
        <v>6.354838709677419</v>
      </c>
      <c r="Z68" s="209">
        <f t="shared" si="26"/>
        <v>6.4</v>
      </c>
      <c r="AA68" s="209">
        <f t="shared" si="26"/>
        <v>7.2220727272727272</v>
      </c>
      <c r="AB68" s="100"/>
      <c r="AC68" s="11"/>
      <c r="AD68" s="209">
        <f>SUMIF($H$34:$H$45,"710170",AD$34:AD$45)/SUMIF($H$54:$H$61,"910230",AD$54:AD$61)</f>
        <v>6.3999999999999995</v>
      </c>
      <c r="AE68" s="100"/>
      <c r="AF68" s="183">
        <f t="shared" si="22"/>
        <v>0.82207272727272773</v>
      </c>
      <c r="AG68" s="209">
        <f>SUMIF($H$34:$H$45,"710170",AG$34:AG$45)/SUMIF($H$54:$H$61,"910230",AG$54:AG$61)</f>
        <v>1.714064914992272</v>
      </c>
      <c r="AH68" s="100"/>
      <c r="AI68" s="183">
        <f t="shared" si="23"/>
        <v>5.5080078122804554</v>
      </c>
      <c r="AJ68" s="11"/>
      <c r="AK68" s="11"/>
      <c r="AL68" s="11"/>
      <c r="AM68" s="11"/>
      <c r="AN68" s="11"/>
      <c r="AO68" s="11"/>
    </row>
    <row r="69" spans="1:41" x14ac:dyDescent="0.35">
      <c r="A69" s="62" t="s">
        <v>9</v>
      </c>
      <c r="B69" s="63" t="s">
        <v>10</v>
      </c>
      <c r="C69" s="11"/>
      <c r="D69" s="11"/>
      <c r="E69" s="11"/>
      <c r="F69" s="11"/>
      <c r="G69" s="76"/>
      <c r="H69" s="88"/>
      <c r="I69" s="136"/>
      <c r="J69" s="136"/>
      <c r="K69" s="179"/>
      <c r="L69" s="179"/>
      <c r="M69" s="179"/>
      <c r="N69" s="104" t="s">
        <v>249</v>
      </c>
      <c r="O69" s="209" t="e">
        <f t="shared" ref="O69:AA69" si="27">SUMIF($H$34:$H$45,"710180",O$34:O$45)/SUMIF($H$54:$H$61,"910240",O$54:O$61)</f>
        <v>#DIV/0!</v>
      </c>
      <c r="P69" s="209" t="e">
        <f t="shared" si="27"/>
        <v>#DIV/0!</v>
      </c>
      <c r="Q69" s="209" t="e">
        <f t="shared" si="27"/>
        <v>#DIV/0!</v>
      </c>
      <c r="R69" s="209" t="e">
        <f t="shared" si="27"/>
        <v>#DIV/0!</v>
      </c>
      <c r="S69" s="209" t="e">
        <f t="shared" si="27"/>
        <v>#DIV/0!</v>
      </c>
      <c r="T69" s="209" t="e">
        <f t="shared" si="27"/>
        <v>#DIV/0!</v>
      </c>
      <c r="U69" s="209" t="e">
        <f t="shared" si="27"/>
        <v>#DIV/0!</v>
      </c>
      <c r="V69" s="209" t="e">
        <f t="shared" si="27"/>
        <v>#DIV/0!</v>
      </c>
      <c r="W69" s="209" t="e">
        <f t="shared" si="27"/>
        <v>#DIV/0!</v>
      </c>
      <c r="X69" s="209" t="e">
        <f t="shared" si="27"/>
        <v>#DIV/0!</v>
      </c>
      <c r="Y69" s="209" t="e">
        <f t="shared" si="27"/>
        <v>#DIV/0!</v>
      </c>
      <c r="Z69" s="209" t="e">
        <f t="shared" si="27"/>
        <v>#DIV/0!</v>
      </c>
      <c r="AA69" s="209" t="e">
        <f t="shared" si="27"/>
        <v>#DIV/0!</v>
      </c>
      <c r="AB69" s="100"/>
      <c r="AC69" s="11"/>
      <c r="AD69" s="209" t="e">
        <f>SUMIF($H$34:$H$45,"710180",AD$34:AD$45)/SUMIF($H$54:$H$61,"910240",AD$54:AD$61)</f>
        <v>#DIV/0!</v>
      </c>
      <c r="AE69" s="100"/>
      <c r="AF69" s="183" t="e">
        <f t="shared" si="22"/>
        <v>#DIV/0!</v>
      </c>
      <c r="AG69" s="209" t="e">
        <f>SUMIF($H$34:$H$45,"710180",AG$34:AG$45)/SUMIF($H$54:$H$61,"910240",AG$54:AG$61)</f>
        <v>#DIV/0!</v>
      </c>
      <c r="AH69" s="100"/>
      <c r="AI69" s="183" t="e">
        <f t="shared" si="23"/>
        <v>#DIV/0!</v>
      </c>
      <c r="AJ69" s="11"/>
      <c r="AK69" s="11"/>
      <c r="AL69" s="11"/>
      <c r="AM69" s="11"/>
      <c r="AN69" s="11"/>
      <c r="AO69" s="11"/>
    </row>
    <row r="70" spans="1:41" x14ac:dyDescent="0.35">
      <c r="A70" s="65" t="s">
        <v>11</v>
      </c>
      <c r="B70" s="66" t="s">
        <v>21</v>
      </c>
      <c r="C70" s="11"/>
      <c r="D70" s="11"/>
      <c r="E70" s="11"/>
      <c r="F70" s="11"/>
      <c r="G70" s="76"/>
      <c r="H70" s="88"/>
      <c r="I70" s="136"/>
      <c r="J70" s="136"/>
      <c r="K70" s="179"/>
      <c r="L70" s="179"/>
      <c r="M70" s="179"/>
      <c r="N70" s="104" t="s">
        <v>250</v>
      </c>
      <c r="O70" s="209" t="e">
        <f t="shared" ref="O70:AA70" si="28">SUMIF($H$34:$H$45,"710190",O$34:O$45)/SUMIF($H$54:$H$61,"910250",O$54:O$61)</f>
        <v>#DIV/0!</v>
      </c>
      <c r="P70" s="209" t="e">
        <f t="shared" si="28"/>
        <v>#DIV/0!</v>
      </c>
      <c r="Q70" s="209" t="e">
        <f t="shared" si="28"/>
        <v>#DIV/0!</v>
      </c>
      <c r="R70" s="209" t="e">
        <f t="shared" si="28"/>
        <v>#DIV/0!</v>
      </c>
      <c r="S70" s="209" t="e">
        <f t="shared" si="28"/>
        <v>#DIV/0!</v>
      </c>
      <c r="T70" s="209" t="e">
        <f t="shared" si="28"/>
        <v>#DIV/0!</v>
      </c>
      <c r="U70" s="209" t="e">
        <f t="shared" si="28"/>
        <v>#DIV/0!</v>
      </c>
      <c r="V70" s="209" t="e">
        <f t="shared" si="28"/>
        <v>#DIV/0!</v>
      </c>
      <c r="W70" s="209" t="e">
        <f t="shared" si="28"/>
        <v>#DIV/0!</v>
      </c>
      <c r="X70" s="209" t="e">
        <f t="shared" si="28"/>
        <v>#DIV/0!</v>
      </c>
      <c r="Y70" s="209" t="e">
        <f t="shared" si="28"/>
        <v>#DIV/0!</v>
      </c>
      <c r="Z70" s="209" t="e">
        <f t="shared" si="28"/>
        <v>#DIV/0!</v>
      </c>
      <c r="AA70" s="209" t="e">
        <f t="shared" si="28"/>
        <v>#DIV/0!</v>
      </c>
      <c r="AB70" s="100"/>
      <c r="AC70" s="11"/>
      <c r="AD70" s="209" t="e">
        <f>SUMIF($H$34:$H$45,"710190",AD$34:AD$45)/SUMIF($H$54:$H$61,"910250",AD$54:AD$61)</f>
        <v>#DIV/0!</v>
      </c>
      <c r="AE70" s="100"/>
      <c r="AF70" s="183" t="e">
        <f t="shared" si="22"/>
        <v>#DIV/0!</v>
      </c>
      <c r="AG70" s="209" t="e">
        <f>SUMIF($H$34:$H$45,"710190",AG$34:AG$45)/SUMIF($H$54:$H$61,"910250",AG$54:AG$61)</f>
        <v>#DIV/0!</v>
      </c>
      <c r="AH70" s="100"/>
      <c r="AI70" s="183" t="e">
        <f t="shared" si="23"/>
        <v>#DIV/0!</v>
      </c>
      <c r="AJ70" s="11"/>
      <c r="AK70" s="11"/>
      <c r="AL70" s="11"/>
      <c r="AM70" s="11"/>
      <c r="AN70" s="11"/>
      <c r="AO70" s="11"/>
    </row>
    <row r="71" spans="1:41" x14ac:dyDescent="0.35">
      <c r="A71" s="65" t="s">
        <v>12</v>
      </c>
      <c r="B71" s="66" t="s">
        <v>22</v>
      </c>
      <c r="C71" s="11"/>
      <c r="D71" s="11"/>
      <c r="E71" s="11"/>
      <c r="F71" s="11"/>
      <c r="G71" s="76"/>
      <c r="H71" s="88"/>
      <c r="I71" s="136"/>
      <c r="J71" s="136"/>
      <c r="K71" s="179"/>
      <c r="L71" s="179"/>
      <c r="M71" s="179"/>
      <c r="N71" s="104"/>
      <c r="O71" s="91"/>
      <c r="P71" s="91"/>
      <c r="Q71" s="91"/>
      <c r="R71" s="91"/>
      <c r="S71" s="91"/>
      <c r="T71" s="91"/>
      <c r="U71" s="91"/>
      <c r="V71" s="91"/>
      <c r="W71" s="91"/>
      <c r="X71" s="91"/>
      <c r="Y71" s="91"/>
      <c r="Z71" s="91"/>
      <c r="AA71" s="91"/>
      <c r="AB71" s="100"/>
      <c r="AC71" s="11"/>
      <c r="AD71" s="91"/>
      <c r="AE71" s="100"/>
      <c r="AF71" s="183" t="str">
        <f t="shared" si="22"/>
        <v/>
      </c>
      <c r="AG71" s="91"/>
      <c r="AH71" s="100"/>
      <c r="AI71" s="183" t="str">
        <f t="shared" si="23"/>
        <v/>
      </c>
      <c r="AJ71" s="11"/>
      <c r="AK71" s="11"/>
      <c r="AL71" s="11"/>
      <c r="AM71" s="11"/>
      <c r="AN71" s="11"/>
      <c r="AO71" s="11"/>
    </row>
    <row r="72" spans="1:41" x14ac:dyDescent="0.35">
      <c r="A72" s="65" t="s">
        <v>13</v>
      </c>
      <c r="B72" s="66" t="s">
        <v>238</v>
      </c>
      <c r="C72" s="11"/>
      <c r="D72" s="11"/>
      <c r="E72" s="11"/>
      <c r="F72" s="11"/>
      <c r="G72" s="76"/>
      <c r="H72" s="88"/>
      <c r="I72" s="136"/>
      <c r="J72" s="136"/>
      <c r="K72" s="179"/>
      <c r="L72" s="179"/>
      <c r="M72" s="179"/>
      <c r="N72" s="267" t="s">
        <v>251</v>
      </c>
      <c r="O72" s="209">
        <f t="shared" ref="O72:AA72" si="29">SUMIF($H$34:$H$48,"700000",O$34:O$48)/SUMIF($H$54:$H$61,"TLNETRES",O$54:O$61)</f>
        <v>332.26222222222225</v>
      </c>
      <c r="P72" s="209">
        <f t="shared" si="29"/>
        <v>693.096</v>
      </c>
      <c r="Q72" s="209">
        <f t="shared" si="29"/>
        <v>548.43187499999999</v>
      </c>
      <c r="R72" s="209">
        <f t="shared" si="29"/>
        <v>274.68562500000002</v>
      </c>
      <c r="S72" s="209">
        <f t="shared" si="29"/>
        <v>635.59625000000005</v>
      </c>
      <c r="T72" s="209">
        <f t="shared" si="29"/>
        <v>1089.67875</v>
      </c>
      <c r="U72" s="209">
        <f t="shared" si="29"/>
        <v>303.37687499999998</v>
      </c>
      <c r="V72" s="209">
        <f t="shared" si="29"/>
        <v>229.65119999999999</v>
      </c>
      <c r="W72" s="209">
        <f t="shared" si="29"/>
        <v>146.96241379310345</v>
      </c>
      <c r="X72" s="209">
        <f t="shared" si="29"/>
        <v>707.01</v>
      </c>
      <c r="Y72" s="209">
        <f t="shared" si="29"/>
        <v>239.4883870967742</v>
      </c>
      <c r="Z72" s="209">
        <f t="shared" si="29"/>
        <v>228.81299999999999</v>
      </c>
      <c r="AA72" s="209">
        <f t="shared" si="29"/>
        <v>340.34770909090906</v>
      </c>
      <c r="AB72" s="100"/>
      <c r="AC72" s="11"/>
      <c r="AD72" s="209">
        <f>SUMIF($H$34:$H$48,"700000",AD$34:AD$48)/SUMIF($H$54:$H$61,"TLNETRES",AD$54:AD$61)</f>
        <v>76.869612444698703</v>
      </c>
      <c r="AE72" s="100"/>
      <c r="AF72" s="183">
        <f t="shared" si="22"/>
        <v>263.47809664621036</v>
      </c>
      <c r="AG72" s="209">
        <f>SUMIF($H$34:$H$48,"700000",AG$34:AG$48)/SUMIF($H$54:$H$61,"TLNETRES",AG$54:AG$61)</f>
        <v>33.497295208655331</v>
      </c>
      <c r="AH72" s="100"/>
      <c r="AI72" s="183">
        <f t="shared" si="23"/>
        <v>306.85041388225375</v>
      </c>
      <c r="AJ72" s="11"/>
      <c r="AK72" s="11"/>
      <c r="AL72" s="11"/>
      <c r="AM72" s="11"/>
      <c r="AN72" s="11"/>
      <c r="AO72" s="11"/>
    </row>
    <row r="73" spans="1:41" x14ac:dyDescent="0.35">
      <c r="A73" s="65" t="s">
        <v>14</v>
      </c>
      <c r="B73" s="66"/>
      <c r="C73" s="11"/>
      <c r="D73" s="11"/>
      <c r="E73" s="11"/>
      <c r="F73" s="11"/>
      <c r="G73" s="76"/>
      <c r="H73" s="88"/>
      <c r="I73" s="136"/>
      <c r="J73" s="136"/>
      <c r="K73" s="179"/>
      <c r="L73" s="179"/>
      <c r="M73" s="179"/>
      <c r="N73" s="267" t="s">
        <v>252</v>
      </c>
      <c r="O73" s="209">
        <f t="shared" ref="O73:AA73" si="30">SUMIF($H$34:$H$51,"600000",O$34:O$51)/SUMIF($H$54:$H$61,"TLNETRES",O$54:O$61)</f>
        <v>0</v>
      </c>
      <c r="P73" s="209">
        <f t="shared" si="30"/>
        <v>0</v>
      </c>
      <c r="Q73" s="209">
        <f t="shared" si="30"/>
        <v>0</v>
      </c>
      <c r="R73" s="209">
        <f t="shared" si="30"/>
        <v>0</v>
      </c>
      <c r="S73" s="209">
        <f t="shared" si="30"/>
        <v>0</v>
      </c>
      <c r="T73" s="209">
        <f t="shared" si="30"/>
        <v>0</v>
      </c>
      <c r="U73" s="209">
        <f t="shared" si="30"/>
        <v>0</v>
      </c>
      <c r="V73" s="209">
        <f t="shared" si="30"/>
        <v>0</v>
      </c>
      <c r="W73" s="209">
        <f t="shared" si="30"/>
        <v>0</v>
      </c>
      <c r="X73" s="209">
        <f t="shared" si="30"/>
        <v>0</v>
      </c>
      <c r="Y73" s="209">
        <f t="shared" si="30"/>
        <v>0</v>
      </c>
      <c r="Z73" s="209">
        <f t="shared" si="30"/>
        <v>0</v>
      </c>
      <c r="AA73" s="209">
        <f t="shared" si="30"/>
        <v>0</v>
      </c>
      <c r="AB73" s="100"/>
      <c r="AC73" s="11"/>
      <c r="AD73" s="209">
        <f>SUMIF($H$34:$H$51,"600000",AD$34:AD$51)/SUMIF($H$54:$H$61,"TLNETRES",AD$54:AD$61)</f>
        <v>23.760701237638095</v>
      </c>
      <c r="AE73" s="100"/>
      <c r="AF73" s="187">
        <f t="shared" si="22"/>
        <v>-23.760701237638095</v>
      </c>
      <c r="AG73" s="209">
        <f>SUMIF($H$34:$H$51,"600000",AG$34:AG$51)/SUMIF($H$54:$H$61,"TLNETRES",AG$54:AG$61)</f>
        <v>8.5043044822256562</v>
      </c>
      <c r="AH73" s="100"/>
      <c r="AI73" s="187">
        <f t="shared" si="23"/>
        <v>-8.5043044822256562</v>
      </c>
      <c r="AJ73" s="11"/>
      <c r="AK73" s="11"/>
      <c r="AL73" s="11"/>
      <c r="AM73" s="11"/>
      <c r="AN73" s="11"/>
      <c r="AO73" s="11"/>
    </row>
    <row r="74" spans="1:41" x14ac:dyDescent="0.35">
      <c r="A74" s="65" t="s">
        <v>15</v>
      </c>
      <c r="B74" s="66"/>
      <c r="C74" s="11"/>
      <c r="D74" s="11"/>
      <c r="E74" s="11"/>
      <c r="F74" s="11"/>
      <c r="G74" s="76"/>
      <c r="H74" s="88"/>
      <c r="I74" s="136"/>
      <c r="J74" s="136"/>
      <c r="K74" s="179"/>
      <c r="L74" s="179"/>
      <c r="M74" s="179"/>
      <c r="N74" s="106" t="s">
        <v>253</v>
      </c>
      <c r="O74" s="370">
        <f t="shared" ref="O74:AA74" si="31">SUMIF($H$34:$H$51,"TOTDEPTEXP",O$34:O$51)/SUMIF($H$54:$H$61,"TLNETRES",O$54:O$61)</f>
        <v>332.26222222222225</v>
      </c>
      <c r="P74" s="370">
        <f t="shared" si="31"/>
        <v>693.096</v>
      </c>
      <c r="Q74" s="370">
        <f t="shared" si="31"/>
        <v>548.43187499999999</v>
      </c>
      <c r="R74" s="370">
        <f t="shared" si="31"/>
        <v>274.68562500000002</v>
      </c>
      <c r="S74" s="370">
        <f t="shared" si="31"/>
        <v>635.59625000000005</v>
      </c>
      <c r="T74" s="370">
        <f t="shared" si="31"/>
        <v>1089.67875</v>
      </c>
      <c r="U74" s="370">
        <f t="shared" si="31"/>
        <v>303.37687499999998</v>
      </c>
      <c r="V74" s="370">
        <f t="shared" si="31"/>
        <v>229.65119999999999</v>
      </c>
      <c r="W74" s="370">
        <f t="shared" si="31"/>
        <v>146.96241379310345</v>
      </c>
      <c r="X74" s="370">
        <f t="shared" si="31"/>
        <v>707.01</v>
      </c>
      <c r="Y74" s="370">
        <f t="shared" si="31"/>
        <v>239.4883870967742</v>
      </c>
      <c r="Z74" s="370">
        <f t="shared" si="31"/>
        <v>228.81299999999999</v>
      </c>
      <c r="AA74" s="370">
        <f t="shared" si="31"/>
        <v>340.34770909090906</v>
      </c>
      <c r="AB74" s="371"/>
      <c r="AC74" s="11"/>
      <c r="AD74" s="370">
        <f>SUMIF($H$34:$H$51,"TOTDEPTEXP",AD$34:AD$51)/SUMIF($H$54:$H$61,"TLNETRES",AD$54:AD$61)</f>
        <v>100.6303136823368</v>
      </c>
      <c r="AE74" s="371"/>
      <c r="AF74" s="372">
        <f t="shared" si="22"/>
        <v>239.71739540857226</v>
      </c>
      <c r="AG74" s="370">
        <f>SUMIF($H$34:$H$51,"TOTDEPTEXP",AG$34:AG$51)/SUMIF($H$54:$H$61,"TLNETRES",AG$54:AG$61)</f>
        <v>42.001599690880987</v>
      </c>
      <c r="AH74" s="371"/>
      <c r="AI74" s="372">
        <f t="shared" si="23"/>
        <v>298.34610940002807</v>
      </c>
      <c r="AJ74" s="11"/>
      <c r="AK74" s="11"/>
      <c r="AL74" s="11"/>
      <c r="AM74" s="11"/>
      <c r="AN74" s="11"/>
      <c r="AO74" s="11"/>
    </row>
    <row r="75" spans="1:41" x14ac:dyDescent="0.35">
      <c r="A75" s="65" t="s">
        <v>16</v>
      </c>
      <c r="B75" s="66"/>
      <c r="C75" s="11"/>
      <c r="D75" s="11"/>
      <c r="E75" s="11"/>
      <c r="F75" s="11"/>
      <c r="G75" s="76"/>
      <c r="H75" s="76"/>
      <c r="I75" s="76"/>
      <c r="J75" s="76"/>
      <c r="K75" s="76"/>
      <c r="L75" s="76"/>
      <c r="M75" s="76"/>
      <c r="N75" s="104"/>
      <c r="O75" s="104"/>
      <c r="P75" s="104"/>
      <c r="Q75" s="104"/>
      <c r="R75" s="104"/>
      <c r="S75" s="104"/>
      <c r="T75" s="104"/>
      <c r="U75" s="104"/>
      <c r="V75" s="104"/>
      <c r="W75" s="104"/>
      <c r="X75" s="104"/>
      <c r="Y75" s="104"/>
      <c r="Z75" s="104"/>
      <c r="AA75" s="104"/>
      <c r="AB75" s="104"/>
      <c r="AC75" s="11"/>
      <c r="AD75" s="104"/>
      <c r="AE75" s="104"/>
      <c r="AF75" s="104"/>
      <c r="AG75" s="104"/>
      <c r="AH75" s="104"/>
      <c r="AI75" s="104"/>
      <c r="AJ75" s="11"/>
      <c r="AK75" s="11"/>
      <c r="AL75" s="11"/>
      <c r="AM75" s="11"/>
      <c r="AN75" s="11"/>
      <c r="AO75" s="11"/>
    </row>
    <row r="76" spans="1:41" x14ac:dyDescent="0.35">
      <c r="A76" s="65" t="s">
        <v>17</v>
      </c>
      <c r="B76" s="66"/>
      <c r="C76" s="11"/>
      <c r="D76" s="11"/>
      <c r="E76" s="11"/>
      <c r="F76" s="11"/>
      <c r="G76" s="76"/>
      <c r="H76" s="11"/>
      <c r="I76" s="59"/>
      <c r="J76" s="59"/>
      <c r="K76" s="11"/>
      <c r="L76" s="11"/>
      <c r="M76" s="11"/>
      <c r="N76" s="104" t="str">
        <f>N51&amp;" - Check"</f>
        <v>Total Expenses - Check</v>
      </c>
      <c r="O76" s="209">
        <f t="shared" ref="O76:AA76" si="32">SUMIF($H$48:$H$51,"700000",O$48:O$51)+SUMIF($H$48:$H$51,"600000",O$48:O$51)-SUMIF($H$48:$H$51,"TOTDEPTEXP",O$48:O$51)</f>
        <v>0</v>
      </c>
      <c r="P76" s="209">
        <f t="shared" si="32"/>
        <v>0</v>
      </c>
      <c r="Q76" s="209">
        <f t="shared" si="32"/>
        <v>0</v>
      </c>
      <c r="R76" s="209">
        <f t="shared" si="32"/>
        <v>0</v>
      </c>
      <c r="S76" s="209">
        <f t="shared" si="32"/>
        <v>0</v>
      </c>
      <c r="T76" s="209">
        <f t="shared" si="32"/>
        <v>0</v>
      </c>
      <c r="U76" s="209">
        <f t="shared" si="32"/>
        <v>0</v>
      </c>
      <c r="V76" s="209">
        <f t="shared" si="32"/>
        <v>0</v>
      </c>
      <c r="W76" s="209">
        <f t="shared" si="32"/>
        <v>0</v>
      </c>
      <c r="X76" s="209">
        <f t="shared" si="32"/>
        <v>0</v>
      </c>
      <c r="Y76" s="209">
        <f t="shared" si="32"/>
        <v>0</v>
      </c>
      <c r="Z76" s="209">
        <f t="shared" si="32"/>
        <v>0</v>
      </c>
      <c r="AA76" s="209">
        <f t="shared" si="32"/>
        <v>0</v>
      </c>
      <c r="AB76" s="100"/>
      <c r="AC76" s="11"/>
      <c r="AD76" s="209">
        <f>SUMIF($H$48:$H$51,"700000",AD$48:AD$51)+SUMIF($H$48:$H$51,"600000",AD$48:AD$51)-SUMIF($H$48:$H$51,"TOTDEPTEXP",AD$48:AD$51)</f>
        <v>0</v>
      </c>
      <c r="AE76" s="100"/>
      <c r="AF76" s="91"/>
      <c r="AG76" s="209">
        <f>SUMIF($H$48:$H$51,"700000",AG$48:AG$51)+SUMIF($H$48:$H$51,"600000",AG$48:AG$51)-SUMIF($H$48:$H$51,"TOTDEPTEXP",AG$48:AG$51)</f>
        <v>0</v>
      </c>
      <c r="AH76" s="100"/>
      <c r="AI76" s="91"/>
      <c r="AJ76" s="11"/>
      <c r="AK76" s="11"/>
      <c r="AL76" s="11"/>
      <c r="AM76" s="11"/>
      <c r="AN76" s="11"/>
      <c r="AO76" s="11"/>
    </row>
    <row r="77" spans="1:41" x14ac:dyDescent="0.35">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97" t="s">
        <v>92</v>
      </c>
      <c r="B78" s="98" t="s">
        <v>93</v>
      </c>
      <c r="C78" s="98" t="s">
        <v>94</v>
      </c>
      <c r="D78" s="98" t="s">
        <v>95</v>
      </c>
      <c r="E78" s="98" t="s">
        <v>96</v>
      </c>
      <c r="F78" s="99" t="s">
        <v>97</v>
      </c>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11"/>
      <c r="I79" s="59"/>
      <c r="J79" s="59"/>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t="s">
        <v>108</v>
      </c>
      <c r="B80" s="11"/>
      <c r="C80" s="104" t="s">
        <v>101</v>
      </c>
      <c r="D80" s="11" t="s">
        <v>106</v>
      </c>
      <c r="E80" s="11"/>
      <c r="F80" s="11" t="s">
        <v>98</v>
      </c>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t="s">
        <v>100</v>
      </c>
      <c r="B81" s="11"/>
      <c r="C81" s="53" t="s">
        <v>101</v>
      </c>
      <c r="D81" s="11" t="s">
        <v>106</v>
      </c>
      <c r="E81" s="11"/>
      <c r="F81" s="11" t="s">
        <v>98</v>
      </c>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t="s">
        <v>109</v>
      </c>
      <c r="B82" s="11"/>
      <c r="C82" s="106" t="s">
        <v>101</v>
      </c>
      <c r="D82" s="11" t="s">
        <v>106</v>
      </c>
      <c r="E82" s="11"/>
      <c r="F82" s="11" t="s">
        <v>98</v>
      </c>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t="s">
        <v>109</v>
      </c>
      <c r="B83" s="11"/>
      <c r="C83" s="196" t="s">
        <v>101</v>
      </c>
      <c r="D83" s="11" t="s">
        <v>107</v>
      </c>
      <c r="E83" s="11"/>
      <c r="F83" s="11" t="s">
        <v>99</v>
      </c>
      <c r="G83" s="11"/>
      <c r="H83" s="11"/>
      <c r="I83" s="59"/>
      <c r="J83" s="59"/>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09"/>
      <c r="D84" s="11"/>
      <c r="E84" s="11"/>
      <c r="F84" s="11"/>
      <c r="G84" s="11"/>
      <c r="H84" s="11"/>
      <c r="I84" s="59"/>
      <c r="J84" s="59"/>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208"/>
      <c r="D85" s="11"/>
      <c r="E85" s="11"/>
      <c r="F85" s="11"/>
      <c r="G85" s="11"/>
      <c r="H85" s="11"/>
      <c r="I85" s="59"/>
      <c r="J85" s="59"/>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2" t="s">
        <v>23</v>
      </c>
      <c r="B86" s="63" t="s">
        <v>24</v>
      </c>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25</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26</v>
      </c>
      <c r="B88" s="66"/>
      <c r="C88" s="11"/>
      <c r="D88" s="11"/>
      <c r="E88" s="11"/>
      <c r="F88" s="11"/>
      <c r="G88" s="11"/>
      <c r="H88" s="11"/>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27</v>
      </c>
      <c r="B89" s="66"/>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28</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5" t="s">
        <v>29</v>
      </c>
      <c r="B91" s="66"/>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5" t="s">
        <v>30</v>
      </c>
      <c r="B92" s="66" t="s">
        <v>78</v>
      </c>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31</v>
      </c>
      <c r="B93" s="66" t="s">
        <v>78</v>
      </c>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32</v>
      </c>
      <c r="B94" s="66"/>
      <c r="C94" s="11"/>
      <c r="D94" s="11"/>
      <c r="E94" s="11"/>
      <c r="F94" s="11"/>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33</v>
      </c>
      <c r="B95" s="66"/>
      <c r="C95" s="11"/>
      <c r="D95" s="11"/>
      <c r="E95" s="11"/>
      <c r="F95" s="11"/>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34</v>
      </c>
      <c r="B96" s="66"/>
      <c r="C96" s="11"/>
      <c r="D96" s="11"/>
      <c r="E96" s="11"/>
      <c r="F96" s="11"/>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35</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36</v>
      </c>
      <c r="B98" s="66"/>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37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38</v>
      </c>
      <c r="B100" s="66"/>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5" t="s">
        <v>39</v>
      </c>
      <c r="B101" s="66"/>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5" t="s">
        <v>40</v>
      </c>
      <c r="B102" s="66"/>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65" t="s">
        <v>41</v>
      </c>
      <c r="B103" s="66"/>
      <c r="C103" s="11"/>
      <c r="D103" s="11"/>
      <c r="E103" s="11"/>
      <c r="F103" s="11"/>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5" t="s">
        <v>42</v>
      </c>
      <c r="B104" s="66"/>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43</v>
      </c>
      <c r="B105" s="66"/>
      <c r="C105" s="11"/>
      <c r="D105" s="11"/>
      <c r="E105" s="11"/>
      <c r="F105" s="11"/>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44</v>
      </c>
      <c r="B106" s="66"/>
      <c r="C106" s="11"/>
      <c r="D106" s="11"/>
      <c r="E106" s="11"/>
      <c r="F106" s="11"/>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45</v>
      </c>
      <c r="B107" s="66"/>
      <c r="C107" s="11"/>
      <c r="D107" s="11"/>
      <c r="E107" s="11"/>
      <c r="F107" s="11"/>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46</v>
      </c>
      <c r="B108" s="66"/>
      <c r="C108" s="11"/>
      <c r="D108" s="11"/>
      <c r="E108" s="11"/>
      <c r="F108" s="11"/>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11"/>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208"/>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208"/>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sheetData>
  <sheetProtection algorithmName="SHA-512" hashValue="iipZ0pyGqC2IpgHu0IXiObLKgwocgrKdnTeMNg5TwgKgcHRuBuwY/0YnhPlWsra0TbZYYWsN73bWMs6H1MJ00g==" saltValue="sFVz6p89qkvWJfvTZgPCLw==" spinCount="100000" sheet="1" scenarios="1"/>
  <mergeCells count="2">
    <mergeCell ref="AD31:AE31"/>
    <mergeCell ref="AG31:AH31"/>
  </mergeCells>
  <dataValidations disablePrompts="1" count="2">
    <dataValidation type="list" allowBlank="1" sqref="B71 B28" xr:uid="{00000000-0002-0000-0400-000000000000}">
      <formula1>"ACCOUNT,BUSINESSUNIT,CATEGORY,DATASRC,DEPARTMENT,INTCO,MEASURES,RPTCURRENCY,TIME"</formula1>
    </dataValidation>
    <dataValidation type="list" allowBlank="1" sqref="B72 B29" xr:uid="{00000000-0002-0000-04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819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8197" r:id="rId7" name="FPMExcelClientSheetOptionstb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6" tint="0.39997558519241921"/>
    <pageSetUpPr fitToPage="1"/>
  </sheetPr>
  <dimension ref="A1:AP196"/>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2"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row>
    <row r="2" spans="1:42"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row>
    <row r="3" spans="1:42"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row>
    <row r="4" spans="1:42"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row>
    <row r="6" spans="1:42" hidden="1" outlineLevel="1" x14ac:dyDescent="0.35">
      <c r="A6" s="53" t="s">
        <v>52</v>
      </c>
      <c r="B6" s="56" t="s">
        <v>358</v>
      </c>
      <c r="C6" s="11" t="str">
        <f>IF(_epmOfflineCondition_,"Food &amp; Beverage",_xll.EVDES(B6,$B$1))</f>
        <v>Food &amp; Beverage</v>
      </c>
      <c r="D6" s="11"/>
      <c r="E6" s="58" t="str">
        <f>IF(_epmOfflineCondition_,"D_FB",_xll.EVPRO($B$1,$B$6,$F$6))</f>
        <v>D_FB</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row>
    <row r="9" spans="1:42"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row>
    <row r="10" spans="1:42"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row>
    <row r="11" spans="1:42"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c r="AP11" s="11"/>
    </row>
    <row r="12" spans="1:42"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c r="AP12" s="11"/>
    </row>
    <row r="13" spans="1:42"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c r="AP13" s="11"/>
    </row>
    <row r="14" spans="1:42" hidden="1" outlineLevel="1" x14ac:dyDescent="0.35">
      <c r="A14" s="61" t="str">
        <f>IF(_epmOfflineCondition_,"Evdre:Ok",_xll.EVDRE($B$1,A17:B24))</f>
        <v>Evdre:Ok</v>
      </c>
      <c r="B14" s="53" t="s">
        <v>361</v>
      </c>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c r="AP14" s="11"/>
    </row>
    <row r="15" spans="1:42"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c r="AP15" s="11"/>
    </row>
    <row r="16" spans="1:42"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c r="AP16" s="11"/>
    </row>
    <row r="17" spans="1:42" hidden="1" outlineLevel="1" x14ac:dyDescent="0.35">
      <c r="A17" s="65" t="s">
        <v>2</v>
      </c>
      <c r="B17" s="66" t="str">
        <f>IF(_epmOfflineCondition_,"'FB_Cons'!$B$2:$B$10",_xll.EVRNG($B$2:$B$10))</f>
        <v>'FB_Cons'!$B$2:$B$10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c r="AP17" s="11"/>
    </row>
    <row r="18" spans="1:42" hidden="1" outlineLevel="1" x14ac:dyDescent="0.35">
      <c r="A18" s="65" t="s">
        <v>3</v>
      </c>
      <c r="B18" s="66" t="str">
        <f>IF(_epmOfflineCondition_,"'FB_Cons'!$O$16:$AN$18",_xll.EVRNG($O$16:$AN$18))</f>
        <v>'FB_Cons'!$O$16:$AN$18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c r="AP18" s="11"/>
    </row>
    <row r="19" spans="1:42" hidden="1" outlineLevel="1" x14ac:dyDescent="0.35">
      <c r="A19" s="65" t="s">
        <v>4</v>
      </c>
      <c r="B19" s="66" t="str">
        <f>IF(_epmOfflineCondition_,"'FB_Cons'!$G$35:$H$56",_xll.EVRNG(G35:H56))</f>
        <v>'FB_Cons'!$G$35:$H$56</v>
      </c>
      <c r="C19" s="11"/>
      <c r="D19" s="11"/>
      <c r="E19" s="11"/>
      <c r="F19" s="11"/>
      <c r="G19" s="67" t="str">
        <f>$B$6</f>
        <v>D_REST_CON</v>
      </c>
      <c r="H19" s="67">
        <v>400000</v>
      </c>
      <c r="I19" s="68"/>
      <c r="J19" s="68"/>
      <c r="K19" s="67"/>
      <c r="L19" s="67"/>
      <c r="M19" s="67"/>
      <c r="N19" s="67" t="str">
        <f>IF(_epmOfflineCondition_,"Total Revenue",_xll.EVDES(H19))</f>
        <v>Total Revenue</v>
      </c>
      <c r="O19" s="69">
        <f>IF(_epmOfflineCondition_,65388.88,_xll.EVGTS($B$1,1,$B$3,$B$5,$B$7,$B$9,O$16,O$17,O$18,$G$19,$H$19))</f>
        <v>65388.88</v>
      </c>
      <c r="P19" s="69">
        <f>IF(_epmOfflineCondition_,114538.68,_xll.EVGTS($B$1,1,$B$3,$B$5,$B$7,$B$9,P$16,P$17,P$18,$G$19,$H$19))</f>
        <v>114538.68</v>
      </c>
      <c r="Q19" s="69">
        <f>IF(_epmOfflineCondition_,142726.34,_xll.EVGTS($B$1,1,$B$3,$B$5,$B$7,$B$9,Q$16,Q$17,Q$18,$G$19,$H$19))</f>
        <v>142726.34</v>
      </c>
      <c r="R19" s="69">
        <f>IF(_epmOfflineCondition_,157584.81,_xll.EVGTS($B$1,1,$B$3,$B$5,$B$7,$B$9,R$16,R$17,R$18,$G$19,$H$19))</f>
        <v>157584.81</v>
      </c>
      <c r="S19" s="69">
        <f>IF(_epmOfflineCondition_,143360.61,_xll.EVGTS($B$1,1,$B$3,$B$5,$B$7,$B$9,S$16,S$17,S$18,$G$19,$H$19))</f>
        <v>143360.60999999999</v>
      </c>
      <c r="T19" s="69">
        <f>IF(_epmOfflineCondition_,137761.79,_xll.EVGTS($B$1,1,$B$3,$B$5,$B$7,$B$9,T$16,T$17,T$18,$G$19,$H$19))</f>
        <v>137761.79</v>
      </c>
      <c r="U19" s="69">
        <f>IF(_epmOfflineCondition_,150256.86,_xll.EVGTS($B$1,1,$B$3,$B$5,$B$7,$B$9,U$16,U$17,U$18,$G$19,$H$19))</f>
        <v>150256.85999999999</v>
      </c>
      <c r="V19" s="69">
        <f>IF(_epmOfflineCondition_,99219.09,_xll.EVGTS($B$1,1,$B$3,$B$5,$B$7,$B$9,V$16,V$17,V$18,$G$19,$H$19))</f>
        <v>99219.09</v>
      </c>
      <c r="W19" s="69">
        <f>IF(_epmOfflineCondition_,89830.45,_xll.EVGTS($B$1,1,$B$3,$B$5,$B$7,$B$9,W$16,W$17,W$18,$G$19,$H$19))</f>
        <v>89830.45</v>
      </c>
      <c r="X19" s="69">
        <f>IF(_epmOfflineCondition_,118367.09,_xll.EVGTS($B$1,1,$B$3,$B$5,$B$7,$B$9,X$16,X$17,X$18,$G$19,$H$19))</f>
        <v>118367.09</v>
      </c>
      <c r="Y19" s="69">
        <f>IF(_epmOfflineCondition_,151108.96,_xll.EVGTS($B$1,1,$B$3,$B$5,$B$7,$B$9,Y$16,Y$17,Y$18,$G$19,$H$19))</f>
        <v>151108.96</v>
      </c>
      <c r="Z19" s="69">
        <f>IF(_epmOfflineCondition_,213801.07,_xll.EVGTS($B$1,1,$B$3,$B$5,$B$7,$B$9,Z$16,Z$17,Z$18,$G$19,$H$19))</f>
        <v>213801.07</v>
      </c>
      <c r="AA19" s="69">
        <f>SUM(O19:Z19)</f>
        <v>1583944.6300000001</v>
      </c>
      <c r="AB19" s="67"/>
      <c r="AC19" s="67"/>
      <c r="AD19" s="69">
        <f>IF(_epmOfflineCondition_,1525404.43744148,_xll.EVGTS($B$1,1,$B$3,$B$5,$B$7,$B$9,AD$16,AD$17,AD$18,$G$19,$H$19))</f>
        <v>1525404.4374414801</v>
      </c>
      <c r="AE19" s="67"/>
      <c r="AF19" s="67"/>
      <c r="AG19" s="69">
        <f>IF(_epmOfflineCondition_,613235.89,_xll.EVGTS($B$1,1,$B$3,$B$5,$B$7,$B$9,AG$16,AG$17,AG$18,$G$19,$H$19))</f>
        <v>613235.89</v>
      </c>
      <c r="AH19" s="67"/>
      <c r="AI19" s="67"/>
      <c r="AJ19" s="11"/>
      <c r="AK19" s="11"/>
      <c r="AL19" s="11"/>
      <c r="AM19" s="11"/>
      <c r="AN19" s="11"/>
      <c r="AO19" s="11"/>
      <c r="AP19" s="11"/>
    </row>
    <row r="20" spans="1:42" hidden="1" outlineLevel="1" x14ac:dyDescent="0.35">
      <c r="A20" s="65" t="s">
        <v>5</v>
      </c>
      <c r="B20" s="66"/>
      <c r="C20" s="11"/>
      <c r="D20" s="11"/>
      <c r="E20" s="11"/>
      <c r="F20" s="11"/>
      <c r="G20" s="67" t="str">
        <f>$B$6</f>
        <v>D_REST_CON</v>
      </c>
      <c r="H20" s="67">
        <v>946000</v>
      </c>
      <c r="I20" s="68"/>
      <c r="J20" s="68"/>
      <c r="K20" s="67"/>
      <c r="L20" s="68"/>
      <c r="M20" s="68"/>
      <c r="N20" s="67" t="str">
        <f>IF(_epmOfflineCondition_,"Total Customers",_xll.EVDES(H20))</f>
        <v>Total Customers</v>
      </c>
      <c r="O20" s="69">
        <f>IF(_epmOfflineCondition_,2091,_xll.EVGTS($B$1,1,$B$3,$B$5,$B$7,$B$9,O$16,O$17,O$18,$G$20,$H$20))</f>
        <v>2091</v>
      </c>
      <c r="P20" s="69">
        <f>IF(_epmOfflineCondition_,3429,_xll.EVGTS($B$1,1,$B$3,$B$5,$B$7,$B$9,P$16,P$17,P$18,$G$20,$H$20))</f>
        <v>3429</v>
      </c>
      <c r="Q20" s="69">
        <f>IF(_epmOfflineCondition_,4254,_xll.EVGTS($B$1,1,$B$3,$B$5,$B$7,$B$9,Q$16,Q$17,Q$18,$G$20,$H$20))</f>
        <v>4254</v>
      </c>
      <c r="R20" s="69">
        <f>IF(_epmOfflineCondition_,4190,_xll.EVGTS($B$1,1,$B$3,$B$5,$B$7,$B$9,R$16,R$17,R$18,$G$20,$H$20))</f>
        <v>4190</v>
      </c>
      <c r="S20" s="69">
        <f>IF(_epmOfflineCondition_,4112,_xll.EVGTS($B$1,1,$B$3,$B$5,$B$7,$B$9,S$16,S$17,S$18,$G$20,$H$20))</f>
        <v>4112</v>
      </c>
      <c r="T20" s="69">
        <f>IF(_epmOfflineCondition_,3968,_xll.EVGTS($B$1,1,$B$3,$B$5,$B$7,$B$9,T$16,T$17,T$18,$G$20,$H$20))</f>
        <v>3968</v>
      </c>
      <c r="U20" s="69">
        <f>IF(_epmOfflineCondition_,3976,_xll.EVGTS($B$1,1,$B$3,$B$5,$B$7,$B$9,U$16,U$17,U$18,$G$20,$H$20))</f>
        <v>3976</v>
      </c>
      <c r="V20" s="69">
        <f>IF(_epmOfflineCondition_,2505,_xll.EVGTS($B$1,1,$B$3,$B$5,$B$7,$B$9,V$16,V$17,V$18,$G$20,$H$20))</f>
        <v>2505</v>
      </c>
      <c r="W20" s="69">
        <f>IF(_epmOfflineCondition_,2161,_xll.EVGTS($B$1,1,$B$3,$B$5,$B$7,$B$9,W$16,W$17,W$18,$G$20,$H$20))</f>
        <v>2161</v>
      </c>
      <c r="X20" s="69">
        <f>IF(_epmOfflineCondition_,2824,_xll.EVGTS($B$1,1,$B$3,$B$5,$B$7,$B$9,X$16,X$17,X$18,$G$20,$H$20))</f>
        <v>2824</v>
      </c>
      <c r="Y20" s="69">
        <f>IF(_epmOfflineCondition_,3604,_xll.EVGTS($B$1,1,$B$3,$B$5,$B$7,$B$9,Y$16,Y$17,Y$18,$G$20,$H$20))</f>
        <v>3604</v>
      </c>
      <c r="Z20" s="69">
        <f>IF(_epmOfflineCondition_,5343,_xll.EVGTS($B$1,1,$B$3,$B$5,$B$7,$B$9,Z$16,Z$17,Z$18,$G$20,$H$20))</f>
        <v>5343</v>
      </c>
      <c r="AA20" s="69">
        <f>SUM(O20:Z20)</f>
        <v>42457</v>
      </c>
      <c r="AB20" s="67"/>
      <c r="AC20" s="67"/>
      <c r="AD20" s="69">
        <f>IF(_epmOfflineCondition_,38040.256470591,_xll.EVGTS($B$1,1,$B$3,$B$5,$B$7,$B$9,AD$16,AD$17,AD$18,$G$20,$H$20))</f>
        <v>38040.256470590997</v>
      </c>
      <c r="AE20" s="67"/>
      <c r="AF20" s="67"/>
      <c r="AG20" s="69">
        <f>IF(_epmOfflineCondition_,17192,_xll.EVGTS($B$1,1,$B$3,$B$5,$B$7,$B$9,AG$16,AG$17,AG$18,$G$20,$H$20))</f>
        <v>17192</v>
      </c>
      <c r="AH20" s="67"/>
      <c r="AI20" s="67"/>
      <c r="AJ20" s="11"/>
      <c r="AK20" s="11"/>
      <c r="AL20" s="11"/>
      <c r="AM20" s="11"/>
      <c r="AN20" s="11"/>
      <c r="AO20" s="11"/>
      <c r="AP20" s="11"/>
    </row>
    <row r="21" spans="1:42"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row>
    <row r="22" spans="1:42"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row>
    <row r="23" spans="1:42" hidden="1" outlineLevel="1" x14ac:dyDescent="0.35">
      <c r="A23" s="65" t="s">
        <v>47</v>
      </c>
      <c r="B23" s="66" t="str">
        <f>IF(_epmOfflineCondition_,"'FB_Cons'!$A$114:$B$135",_xll.EVRNG($A$114:$B$135))</f>
        <v>'FB_Cons'!$A$114:$B$135</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c r="AP23" s="11"/>
    </row>
    <row r="24" spans="1:42"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row>
    <row r="25" spans="1:42"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row>
    <row r="26" spans="1:42" ht="23" x14ac:dyDescent="0.45">
      <c r="A26" s="62" t="s">
        <v>9</v>
      </c>
      <c r="B26" s="63" t="s">
        <v>10</v>
      </c>
      <c r="C26" s="63" t="s">
        <v>357</v>
      </c>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1:42" ht="17.5" x14ac:dyDescent="0.35">
      <c r="A27" s="65" t="s">
        <v>11</v>
      </c>
      <c r="B27" s="66" t="s">
        <v>21</v>
      </c>
      <c r="C27" s="66" t="s">
        <v>21</v>
      </c>
      <c r="D27" s="11"/>
      <c r="E27" s="11"/>
      <c r="F27" s="11"/>
      <c r="G27" s="11"/>
      <c r="H27" s="11"/>
      <c r="I27" s="59"/>
      <c r="J27" s="59"/>
      <c r="K27" s="11"/>
      <c r="L27" s="11"/>
      <c r="M27" s="11"/>
      <c r="N27" s="71" t="str">
        <f>IF(_epmOfflineCondition_,"Food &amp; Beverage Department",IF(_xll.EVDES(B6,$B$1)="#NODATA","",_xll.EVDES(B6,$B$1)&amp;" Department"))</f>
        <v>Food &amp; Beverage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1:42" ht="15.5" x14ac:dyDescent="0.35">
      <c r="A28" s="65" t="s">
        <v>12</v>
      </c>
      <c r="B28" s="66" t="s">
        <v>52</v>
      </c>
      <c r="C28" s="66" t="s">
        <v>22</v>
      </c>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1:42" ht="15" customHeight="1" x14ac:dyDescent="0.35">
      <c r="A29" s="65" t="s">
        <v>13</v>
      </c>
      <c r="B29" s="66" t="s">
        <v>359</v>
      </c>
      <c r="C29" s="66" t="s">
        <v>360</v>
      </c>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1:42" x14ac:dyDescent="0.35">
      <c r="A30" s="65" t="s">
        <v>14</v>
      </c>
      <c r="B30" s="66"/>
      <c r="C30" s="66"/>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c r="AP30" s="11"/>
    </row>
    <row r="31" spans="1:42" x14ac:dyDescent="0.35">
      <c r="A31" s="65" t="s">
        <v>15</v>
      </c>
      <c r="B31" s="66"/>
      <c r="C31" s="66"/>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c r="AP31" s="11"/>
    </row>
    <row r="32" spans="1:42" s="8" customFormat="1" ht="30" customHeight="1" x14ac:dyDescent="0.35">
      <c r="A32" s="81" t="s">
        <v>16</v>
      </c>
      <c r="B32" s="82"/>
      <c r="C32" s="82"/>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c r="AP32" s="83"/>
    </row>
    <row r="33" spans="1:42" x14ac:dyDescent="0.35">
      <c r="A33" s="65" t="s">
        <v>17</v>
      </c>
      <c r="B33" s="66"/>
      <c r="C33" s="66"/>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c r="AP33" s="11"/>
    </row>
    <row r="34" spans="1:42" x14ac:dyDescent="0.35">
      <c r="A34" s="11"/>
      <c r="B34" s="11"/>
      <c r="C34" s="11"/>
      <c r="D34" s="11"/>
      <c r="E34" s="11"/>
      <c r="F34" s="11"/>
      <c r="G34" s="11"/>
      <c r="H34" s="11" t="s">
        <v>259</v>
      </c>
      <c r="I34" s="59" t="str">
        <f>IF(_epmOfflineCondition_,"B1",_xll.EVPRO($B$1,$H34,"STYLE"))</f>
        <v>B1</v>
      </c>
      <c r="J34" s="59" t="str">
        <f>IF(_epmOfflineCondition_,"Y",_xll.EVPRO($B$1,$H34,"CALC"))</f>
        <v>Y</v>
      </c>
      <c r="K34" s="11"/>
      <c r="L34" s="11"/>
      <c r="M34" s="11"/>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c r="AP34" s="11"/>
    </row>
    <row r="35" spans="1:42" x14ac:dyDescent="0.35">
      <c r="A35" s="11"/>
      <c r="B35" s="11"/>
      <c r="C35" s="11"/>
      <c r="D35" s="11"/>
      <c r="E35" s="11"/>
      <c r="F35" s="11"/>
      <c r="G35" s="88" t="s">
        <v>258</v>
      </c>
      <c r="H35" s="88" t="s">
        <v>265</v>
      </c>
      <c r="I35" s="122" t="str">
        <f>IF(_epmOfflineCondition_,"T4",_xll.EVPRO($B$1,$H35,"STYLE"))</f>
        <v>T4</v>
      </c>
      <c r="J35" s="122" t="str">
        <f>IF(_epmOfflineCondition_,"Y",_xll.EVPRO($B$1,$H35,"CALC"))</f>
        <v>Y</v>
      </c>
      <c r="K35" s="265" t="str">
        <f>IF(AND(I35&gt;="T5"),"&gt;","")</f>
        <v/>
      </c>
      <c r="L35" s="265"/>
      <c r="M35" s="265"/>
      <c r="N35" s="90" t="str">
        <f>IF(_epmOfflineCondition_,"Venues  Food Rev",IF(_xll.EVDES(G35,$B$1)="#NODATA","",_xll.EVDES(G35,$B$1)&amp;" Food Rev"))</f>
        <v>Venues  Food Rev</v>
      </c>
      <c r="O35" s="143">
        <v>30873.18</v>
      </c>
      <c r="P35" s="143">
        <v>49683.199999999997</v>
      </c>
      <c r="Q35" s="143">
        <v>64164.03</v>
      </c>
      <c r="R35" s="143">
        <v>59247.13</v>
      </c>
      <c r="S35" s="143">
        <v>60968.41</v>
      </c>
      <c r="T35" s="143">
        <v>56851</v>
      </c>
      <c r="U35" s="143">
        <v>64249.59</v>
      </c>
      <c r="V35" s="143">
        <v>44449.22</v>
      </c>
      <c r="W35" s="143">
        <v>35748.720000000001</v>
      </c>
      <c r="X35" s="143">
        <v>49790.03</v>
      </c>
      <c r="Y35" s="143">
        <v>58954.81</v>
      </c>
      <c r="Z35" s="143">
        <v>96232.43</v>
      </c>
      <c r="AA35" s="250">
        <f t="shared" ref="AA35:AA56" si="0">IF($I35="B1","",SUM(O35:Z35))</f>
        <v>671211.75</v>
      </c>
      <c r="AB35" s="144">
        <f>IF(AA35=0,"",IFERROR(AA35/AA$19,""))</f>
        <v>0.42375960452607486</v>
      </c>
      <c r="AC35" s="140"/>
      <c r="AD35" s="143">
        <v>556988.95400000003</v>
      </c>
      <c r="AE35" s="144">
        <f>IF(AD35=0,"",IFERROR(AD35/AD$19,""))</f>
        <v>0.36514182096796743</v>
      </c>
      <c r="AF35" s="145">
        <f>IF(AND($AA35="",AD35=""),"",$AA35-AD35)</f>
        <v>114222.79599999997</v>
      </c>
      <c r="AG35" s="143">
        <v>216668.43</v>
      </c>
      <c r="AH35" s="144">
        <f>IF(AG35=0,"",IFERROR(AG35/AG$19,""))</f>
        <v>0.35331987826087607</v>
      </c>
      <c r="AI35" s="145">
        <f>IF(AND($AA35="",AG35=""),"",$AA35-AG35)</f>
        <v>454543.32</v>
      </c>
      <c r="AJ35" s="212">
        <f t="shared" ref="AJ35:AJ56" si="1">IFERROR(AA35/AA$20,0)</f>
        <v>15.809212850648892</v>
      </c>
      <c r="AK35" s="213">
        <f t="shared" ref="AK35:AK56" si="2">IFERROR(AD35/AD$20,0)</f>
        <v>14.642092500890717</v>
      </c>
      <c r="AL35" s="215">
        <f t="shared" ref="AL35:AL56" si="3">IFERROR(AG35/AG$20,0)</f>
        <v>12.602863541181945</v>
      </c>
      <c r="AM35" s="423" t="str">
        <f t="shared" ref="AM35:AM56" si="4">+IFERROR(ROUND(($AB35-AE35)*100,2)&amp;" pts.",0)</f>
        <v>5.86 pts.</v>
      </c>
      <c r="AN35" s="424" t="str">
        <f t="shared" ref="AN35:AN56" si="5">+IFERROR(ROUND(($AB35-AH35)*100,2)&amp;" pts.",0)</f>
        <v>7.04 pts.</v>
      </c>
      <c r="AO35" s="387"/>
      <c r="AP35" s="387"/>
    </row>
    <row r="36" spans="1:42" x14ac:dyDescent="0.35">
      <c r="A36" s="61" t="str">
        <f>IF(_epmOfflineCondition_,"Evdre:Ok",_xll.EVDRE($B$1,A39:B46,A49:B55))</f>
        <v>Evdre:Ok</v>
      </c>
      <c r="B36" s="11"/>
      <c r="C36" s="11"/>
      <c r="D36" s="11"/>
      <c r="E36" s="11"/>
      <c r="F36" s="11"/>
      <c r="G36" s="88" t="s">
        <v>346</v>
      </c>
      <c r="H36" s="88" t="s">
        <v>265</v>
      </c>
      <c r="I36" s="122" t="str">
        <f>IF(_epmOfflineCondition_,"T4",_xll.EVPRO($B$1,$H36,"STYLE"))</f>
        <v>T4</v>
      </c>
      <c r="J36" s="122" t="str">
        <f>IF(_epmOfflineCondition_,"Y",_xll.EVPRO($B$1,$H36,"CALC"))</f>
        <v>Y</v>
      </c>
      <c r="K36" s="265" t="str">
        <f>IF(AND(I36&gt;="T5"),"&gt;","")</f>
        <v/>
      </c>
      <c r="L36" s="265"/>
      <c r="M36" s="265"/>
      <c r="N36" s="90" t="str">
        <f>IF(_epmOfflineCondition_,"In Room Dining Food Rev",IF(_xll.EVDES(G36,$B$1)="#NODATA","",_xll.EVDES(G36,$B$1)&amp;" Food Rev"))</f>
        <v>In Room Dining Food Rev</v>
      </c>
      <c r="O36" s="210"/>
      <c r="P36" s="210"/>
      <c r="Q36" s="210"/>
      <c r="R36" s="210"/>
      <c r="S36" s="210"/>
      <c r="T36" s="210"/>
      <c r="U36" s="210"/>
      <c r="V36" s="210"/>
      <c r="W36" s="210"/>
      <c r="X36" s="210"/>
      <c r="Y36" s="210"/>
      <c r="Z36" s="210"/>
      <c r="AA36" s="210">
        <f t="shared" si="0"/>
        <v>0</v>
      </c>
      <c r="AB36" s="211" t="str">
        <f>IF(AA36=0,"",IFERROR(AA36/AA$19,""))</f>
        <v/>
      </c>
      <c r="AC36" s="140"/>
      <c r="AD36" s="210"/>
      <c r="AE36" s="211" t="str">
        <f>IF(AD36=0,"",IFERROR(AD36/AD$19,""))</f>
        <v/>
      </c>
      <c r="AF36" s="253">
        <f>IF(AND($AA36="",AD36=""),"",$AA36-AD36)</f>
        <v>0</v>
      </c>
      <c r="AG36" s="210">
        <v>17306.150000000001</v>
      </c>
      <c r="AH36" s="211">
        <f>IF(AG36=0,"",IFERROR(AG36/AG$19,""))</f>
        <v>2.8221032529586618E-2</v>
      </c>
      <c r="AI36" s="253">
        <f>IF(AND($AA36="",AG36=""),"",$AA36-AG36)</f>
        <v>-17306.150000000001</v>
      </c>
      <c r="AJ36" s="212">
        <f t="shared" si="1"/>
        <v>0</v>
      </c>
      <c r="AK36" s="213">
        <f t="shared" si="2"/>
        <v>0</v>
      </c>
      <c r="AL36" s="215">
        <f t="shared" si="3"/>
        <v>1.0066397161470453</v>
      </c>
      <c r="AM36" s="423">
        <f t="shared" si="4"/>
        <v>0</v>
      </c>
      <c r="AN36" s="424">
        <f t="shared" si="5"/>
        <v>0</v>
      </c>
      <c r="AO36" s="11"/>
      <c r="AP36" s="11"/>
    </row>
    <row r="37" spans="1:42" x14ac:dyDescent="0.35">
      <c r="A37" s="11"/>
      <c r="B37" s="11"/>
      <c r="C37" s="11"/>
      <c r="D37" s="11"/>
      <c r="E37" s="11"/>
      <c r="F37" s="11"/>
      <c r="G37" s="88" t="s">
        <v>347</v>
      </c>
      <c r="H37" s="88" t="s">
        <v>265</v>
      </c>
      <c r="I37" s="122" t="str">
        <f>IF(_epmOfflineCondition_,"T4",_xll.EVPRO($B$1,$H37,"STYLE"))</f>
        <v>T4</v>
      </c>
      <c r="J37" s="122" t="str">
        <f>IF(_epmOfflineCondition_,"Y",_xll.EVPRO($B$1,$H37,"CALC"))</f>
        <v>Y</v>
      </c>
      <c r="K37" s="265" t="str">
        <f>IF(AND(I37&gt;="T5"),"&gt;","")</f>
        <v/>
      </c>
      <c r="L37" s="265"/>
      <c r="M37" s="265"/>
      <c r="N37" s="90" t="str">
        <f>IF(_epmOfflineCondition_,"Banquet-Catering &amp; CS Food Rev",IF(_xll.EVDES(G37,$B$1)="#NODATA","",_xll.EVDES(G37,$B$1)&amp;" Food Rev"))</f>
        <v>Banquet-Catering &amp; CS Food Rev</v>
      </c>
      <c r="O37" s="210"/>
      <c r="P37" s="210"/>
      <c r="Q37" s="210">
        <v>555</v>
      </c>
      <c r="R37" s="210">
        <v>12980</v>
      </c>
      <c r="S37" s="210">
        <v>1520</v>
      </c>
      <c r="T37" s="210">
        <v>3360</v>
      </c>
      <c r="U37" s="210">
        <v>25</v>
      </c>
      <c r="V37" s="210"/>
      <c r="W37" s="210">
        <v>5720</v>
      </c>
      <c r="X37" s="210">
        <v>5771.7</v>
      </c>
      <c r="Y37" s="210">
        <v>12915</v>
      </c>
      <c r="Z37" s="210">
        <v>3633</v>
      </c>
      <c r="AA37" s="210">
        <f t="shared" si="0"/>
        <v>46479.7</v>
      </c>
      <c r="AB37" s="211">
        <f>IF(AA37=0,"",IFERROR(AA37/AA$19,""))</f>
        <v>2.9344270702189881E-2</v>
      </c>
      <c r="AC37" s="140"/>
      <c r="AD37" s="210">
        <v>77803.213647186305</v>
      </c>
      <c r="AE37" s="211">
        <f>IF(AD37=0,"",IFERROR(AD37/AD$19,""))</f>
        <v>5.1004973984265803E-2</v>
      </c>
      <c r="AF37" s="253">
        <f>IF(AND($AA37="",AD37=""),"",$AA37-AD37)</f>
        <v>-31323.513647186308</v>
      </c>
      <c r="AG37" s="210">
        <v>34806.86</v>
      </c>
      <c r="AH37" s="211">
        <f>IF(AG37=0,"",IFERROR(AG37/AG$19,""))</f>
        <v>5.6759332856398864E-2</v>
      </c>
      <c r="AI37" s="253">
        <f>IF(AND($AA37="",AG37=""),"",$AA37-AG37)</f>
        <v>11672.839999999997</v>
      </c>
      <c r="AJ37" s="212">
        <f t="shared" si="1"/>
        <v>1.094747627010858</v>
      </c>
      <c r="AK37" s="213">
        <f t="shared" si="2"/>
        <v>2.0452862537174568</v>
      </c>
      <c r="AL37" s="215">
        <f t="shared" si="3"/>
        <v>2.0245963238715681</v>
      </c>
      <c r="AM37" s="423" t="str">
        <f t="shared" si="4"/>
        <v>-2.17 pts.</v>
      </c>
      <c r="AN37" s="424" t="str">
        <f t="shared" si="5"/>
        <v>-2.74 pts.</v>
      </c>
      <c r="AO37" s="11"/>
      <c r="AP37" s="11"/>
    </row>
    <row r="38" spans="1:42" x14ac:dyDescent="0.35">
      <c r="A38" s="62" t="s">
        <v>0</v>
      </c>
      <c r="B38" s="63" t="s">
        <v>1</v>
      </c>
      <c r="C38" s="11"/>
      <c r="D38" s="11"/>
      <c r="E38" s="11"/>
      <c r="F38" s="11"/>
      <c r="G38" s="88" t="s">
        <v>349</v>
      </c>
      <c r="H38" s="88" t="s">
        <v>265</v>
      </c>
      <c r="I38" s="122" t="str">
        <f>IF(_epmOfflineCondition_,"T4",_xll.EVPRO($B$1,$H38,"STYLE"))</f>
        <v>T4</v>
      </c>
      <c r="J38" s="122" t="str">
        <f>IF(_epmOfflineCondition_,"Y",_xll.EVPRO($B$1,$H38,"CALC"))</f>
        <v>Y</v>
      </c>
      <c r="K38" s="265" t="str">
        <f>IF(AND(I38&gt;="T5"),"&gt;","")</f>
        <v/>
      </c>
      <c r="L38" s="265"/>
      <c r="M38" s="265"/>
      <c r="N38" s="90" t="str">
        <f>IF(_epmOfflineCondition_,"Mini Bar Food Rev",IF(_xll.EVDES(G38,$B$1)="#NODATA","",_xll.EVDES(G38,$B$1)&amp;" Food Rev"))</f>
        <v>Mini Bar Food Rev</v>
      </c>
      <c r="O38" s="210">
        <v>820</v>
      </c>
      <c r="P38" s="210">
        <v>601</v>
      </c>
      <c r="Q38" s="210">
        <v>860.87</v>
      </c>
      <c r="R38" s="210">
        <v>921.59</v>
      </c>
      <c r="S38" s="210">
        <v>1003</v>
      </c>
      <c r="T38" s="210">
        <v>3701</v>
      </c>
      <c r="U38" s="210">
        <v>5354.28</v>
      </c>
      <c r="V38" s="210">
        <v>4288</v>
      </c>
      <c r="W38" s="210">
        <v>3492</v>
      </c>
      <c r="X38" s="210">
        <v>3601</v>
      </c>
      <c r="Y38" s="210">
        <v>5439</v>
      </c>
      <c r="Z38" s="210">
        <v>7092</v>
      </c>
      <c r="AA38" s="210">
        <f t="shared" si="0"/>
        <v>37173.74</v>
      </c>
      <c r="AB38" s="211">
        <f>IF(AA38=0,"",IFERROR(AA38/AA$19,""))</f>
        <v>2.3469090583046449E-2</v>
      </c>
      <c r="AC38" s="140"/>
      <c r="AD38" s="210">
        <v>37525</v>
      </c>
      <c r="AE38" s="211">
        <f>IF(AD38=0,"",IFERROR(AD38/AD$19,""))</f>
        <v>2.4600033328170772E-2</v>
      </c>
      <c r="AF38" s="253">
        <f>IF(AND($AA38="",AD38=""),"",$AA38-AD38)</f>
        <v>-351.26000000000204</v>
      </c>
      <c r="AG38" s="210">
        <v>23660.79</v>
      </c>
      <c r="AH38" s="211">
        <f>IF(AG38=0,"",IFERROR(AG38/AG$19,""))</f>
        <v>3.8583504954349625E-2</v>
      </c>
      <c r="AI38" s="253">
        <f>IF(AND($AA38="",AG38=""),"",$AA38-AG38)</f>
        <v>13512.949999999997</v>
      </c>
      <c r="AJ38" s="221">
        <f t="shared" si="1"/>
        <v>0.87556209812280661</v>
      </c>
      <c r="AK38" s="222">
        <f t="shared" si="2"/>
        <v>0.98645496854130454</v>
      </c>
      <c r="AL38" s="224">
        <f t="shared" si="3"/>
        <v>1.3762674499767333</v>
      </c>
      <c r="AM38" s="425" t="str">
        <f t="shared" si="4"/>
        <v>-0.11 pts.</v>
      </c>
      <c r="AN38" s="426" t="str">
        <f t="shared" si="5"/>
        <v>-1.51 pts.</v>
      </c>
      <c r="AO38" s="11"/>
      <c r="AP38" s="11"/>
    </row>
    <row r="39" spans="1:42" x14ac:dyDescent="0.35">
      <c r="A39" s="65" t="s">
        <v>2</v>
      </c>
      <c r="B39" s="66" t="str">
        <f>IF(_epmOfflineCondition_,"'FB_Cons'!$B$2:$B$10",_xll.EVRNG($B$2:$B$10))</f>
        <v>'FB_Cons'!$B$2:$B$10</v>
      </c>
      <c r="C39" s="11"/>
      <c r="D39" s="11"/>
      <c r="E39" s="11"/>
      <c r="F39" s="11"/>
      <c r="G39" s="88" t="s">
        <v>358</v>
      </c>
      <c r="H39" s="88" t="s">
        <v>265</v>
      </c>
      <c r="I39" s="122" t="str">
        <f>IF(_epmOfflineCondition_,"T4",_xll.EVPRO($B$1,$H39,"STYLE"))</f>
        <v>T4</v>
      </c>
      <c r="J39" s="122" t="str">
        <f>IF(_epmOfflineCondition_,"Y",_xll.EVPRO($B$1,$H39,"CALC"))</f>
        <v>Y</v>
      </c>
      <c r="K39" s="265" t="str">
        <f>IF(AND(I39&gt;="T5"),"&gt;","")</f>
        <v/>
      </c>
      <c r="L39" s="265"/>
      <c r="M39" s="265"/>
      <c r="N39" s="53" t="str">
        <f>IF(_epmOfflineCondition_,"Total Food Revenue",IF(_xll.EVDES(H39,$B$1)="#NODATA","",_xll.EVDES(H39,$B$1)))</f>
        <v>Total Food Revenue</v>
      </c>
      <c r="O39" s="225">
        <v>31693.18</v>
      </c>
      <c r="P39" s="225">
        <v>50284.2</v>
      </c>
      <c r="Q39" s="225">
        <v>65579.899999999994</v>
      </c>
      <c r="R39" s="225">
        <v>73148.72</v>
      </c>
      <c r="S39" s="225">
        <v>63491.41</v>
      </c>
      <c r="T39" s="225">
        <v>63912</v>
      </c>
      <c r="U39" s="225">
        <v>69628.87</v>
      </c>
      <c r="V39" s="225">
        <v>48737.22</v>
      </c>
      <c r="W39" s="225">
        <v>44960.72</v>
      </c>
      <c r="X39" s="225">
        <v>59162.73</v>
      </c>
      <c r="Y39" s="225">
        <v>77308.81</v>
      </c>
      <c r="Z39" s="225">
        <v>106957.43</v>
      </c>
      <c r="AA39" s="225">
        <f t="shared" si="0"/>
        <v>754865.19</v>
      </c>
      <c r="AB39" s="226">
        <f>IF(AA39=0,"",IFERROR(AA39/AA$19,""))</f>
        <v>0.47657296581131114</v>
      </c>
      <c r="AC39" s="140"/>
      <c r="AD39" s="225">
        <v>672317.16764718597</v>
      </c>
      <c r="AE39" s="226">
        <f>IF(AD39=0,"",IFERROR(AD39/AD$19,""))</f>
        <v>0.44074682828040379</v>
      </c>
      <c r="AF39" s="228">
        <f>IF(AND($AA39="",AD39=""),"",$AA39-AD39)</f>
        <v>82548.022352813976</v>
      </c>
      <c r="AG39" s="225">
        <v>292442.23</v>
      </c>
      <c r="AH39" s="226">
        <f>IF(AG39=0,"",IFERROR(AG39/AG$19,""))</f>
        <v>0.47688374860121113</v>
      </c>
      <c r="AI39" s="228">
        <f>IF(AND($AA39="",AG39=""),"",$AA39-AG39)</f>
        <v>462422.95999999996</v>
      </c>
      <c r="AJ39" s="466">
        <f t="shared" si="1"/>
        <v>17.779522575782554</v>
      </c>
      <c r="AK39" s="467">
        <f t="shared" si="2"/>
        <v>17.673833723149468</v>
      </c>
      <c r="AL39" s="468">
        <f t="shared" si="3"/>
        <v>17.010367031177292</v>
      </c>
      <c r="AM39" s="469" t="str">
        <f t="shared" si="4"/>
        <v>3.58 pts.</v>
      </c>
      <c r="AN39" s="470" t="str">
        <f t="shared" si="5"/>
        <v>-0.03 pts.</v>
      </c>
      <c r="AO39" s="11"/>
      <c r="AP39" s="11"/>
    </row>
    <row r="40" spans="1:42" x14ac:dyDescent="0.35">
      <c r="A40" s="65" t="s">
        <v>3</v>
      </c>
      <c r="B40" s="66" t="str">
        <f>IF(_epmOfflineCondition_,"'FB_Cons'!$O$16:$AN$18",_xll.EVRNG($O$16:$AN$18))</f>
        <v>'FB_Cons'!$O$16:$AN$18</v>
      </c>
      <c r="C40" s="11"/>
      <c r="D40" s="11"/>
      <c r="E40" s="11"/>
      <c r="F40" s="11"/>
      <c r="G40" s="88"/>
      <c r="H40" s="11" t="s">
        <v>266</v>
      </c>
      <c r="I40" s="11" t="str">
        <f>IF(_epmOfflineCondition_,"B1",_xll.EVPRO($B$1,$H40,"STYLE"))</f>
        <v>B1</v>
      </c>
      <c r="J40" s="11" t="str">
        <f>IF(_epmOfflineCondition_,"Y",_xll.EVPRO($B$1,$H40,"CALC"))</f>
        <v>Y</v>
      </c>
      <c r="K40" s="265"/>
      <c r="L40" s="265"/>
      <c r="M40" s="265"/>
      <c r="N40" s="53" t="str">
        <f>IF(_epmOfflineCondition_,"Beverage Revenue",IF(_xll.EVDES(H40,$B$1)="#NODATA","",_xll.EVDES(H40,$B$1)))</f>
        <v>Beverage Revenue</v>
      </c>
      <c r="O40" s="210"/>
      <c r="P40" s="210"/>
      <c r="Q40" s="210"/>
      <c r="R40" s="210"/>
      <c r="S40" s="210"/>
      <c r="T40" s="210"/>
      <c r="U40" s="210"/>
      <c r="V40" s="210"/>
      <c r="W40" s="210"/>
      <c r="X40" s="210"/>
      <c r="Y40" s="210"/>
      <c r="Z40" s="210"/>
      <c r="AA40" s="210" t="str">
        <f t="shared" si="0"/>
        <v/>
      </c>
      <c r="AB40" s="211"/>
      <c r="AC40" s="140"/>
      <c r="AD40" s="210"/>
      <c r="AE40" s="211"/>
      <c r="AF40" s="253"/>
      <c r="AG40" s="210"/>
      <c r="AH40" s="211"/>
      <c r="AI40" s="253"/>
      <c r="AJ40" s="234">
        <f t="shared" si="1"/>
        <v>0</v>
      </c>
      <c r="AK40" s="235">
        <f t="shared" si="2"/>
        <v>0</v>
      </c>
      <c r="AL40" s="237">
        <f t="shared" si="3"/>
        <v>0</v>
      </c>
      <c r="AM40" s="429" t="str">
        <f t="shared" si="4"/>
        <v>0 pts.</v>
      </c>
      <c r="AN40" s="430" t="str">
        <f t="shared" si="5"/>
        <v>0 pts.</v>
      </c>
      <c r="AO40" s="11"/>
      <c r="AP40" s="11"/>
    </row>
    <row r="41" spans="1:42" x14ac:dyDescent="0.35">
      <c r="A41" s="65" t="s">
        <v>4</v>
      </c>
      <c r="B41" s="66" t="str">
        <f>IF(_epmOfflineCondition_,"'FB_Cons'!$H$60:$H$68",_xll.EVRNG(H60:H68))</f>
        <v>'FB_Cons'!$H$60:$H$68</v>
      </c>
      <c r="C41" s="11"/>
      <c r="D41" s="11"/>
      <c r="E41" s="11"/>
      <c r="F41" s="11"/>
      <c r="G41" s="88" t="s">
        <v>258</v>
      </c>
      <c r="H41" s="88" t="s">
        <v>272</v>
      </c>
      <c r="I41" s="122" t="str">
        <f>IF(_epmOfflineCondition_,"T4",_xll.EVPRO($B$1,$H41,"STYLE"))</f>
        <v>T4</v>
      </c>
      <c r="J41" s="122" t="str">
        <f>IF(_epmOfflineCondition_,"Y",_xll.EVPRO($B$1,$H41,"CALC"))</f>
        <v>Y</v>
      </c>
      <c r="K41" s="265" t="str">
        <f>IF(AND(I41&gt;="T5"),"&gt;","")</f>
        <v/>
      </c>
      <c r="L41" s="265"/>
      <c r="M41" s="265"/>
      <c r="N41" s="90" t="str">
        <f>IF(_epmOfflineCondition_,"Venues  Beverage Rev",IF(_xll.EVDES(G41,$B$1)="#NODATA","",_xll.EVDES(G41,$B$1)&amp;" Beverage Rev"))</f>
        <v>Venues  Beverage Rev</v>
      </c>
      <c r="O41" s="210">
        <v>21970.98</v>
      </c>
      <c r="P41" s="210">
        <v>44903.26</v>
      </c>
      <c r="Q41" s="210">
        <v>53116.02</v>
      </c>
      <c r="R41" s="210">
        <v>56482.87</v>
      </c>
      <c r="S41" s="210">
        <v>57273.77</v>
      </c>
      <c r="T41" s="210">
        <v>50740.82</v>
      </c>
      <c r="U41" s="210">
        <v>54688.14</v>
      </c>
      <c r="V41" s="210">
        <v>35392.870000000003</v>
      </c>
      <c r="W41" s="210">
        <v>28815.08</v>
      </c>
      <c r="X41" s="210">
        <v>39479.19</v>
      </c>
      <c r="Y41" s="210">
        <v>46221.8</v>
      </c>
      <c r="Z41" s="210">
        <v>67623.02</v>
      </c>
      <c r="AA41" s="210">
        <f t="shared" si="0"/>
        <v>556707.81999999995</v>
      </c>
      <c r="AB41" s="211">
        <f t="shared" ref="AB41:AB47" si="6">IF(AA41=0,"",IFERROR(AA41/AA$19,""))</f>
        <v>0.3514692429621103</v>
      </c>
      <c r="AC41" s="140"/>
      <c r="AD41" s="210">
        <v>461441.196</v>
      </c>
      <c r="AE41" s="211">
        <f t="shared" ref="AE41:AE47" si="7">IF(AD41=0,"",IFERROR(AD41/AD$19,""))</f>
        <v>0.30250416523893359</v>
      </c>
      <c r="AF41" s="253">
        <f t="shared" ref="AF41:AF47" si="8">IF(AND($AA41="",AD41=""),"",$AA41-AD41)</f>
        <v>95266.623999999953</v>
      </c>
      <c r="AG41" s="210">
        <v>167447.84</v>
      </c>
      <c r="AH41" s="211">
        <f t="shared" ref="AH41:AH47" si="9">IF(AG41=0,"",IFERROR(AG41/AG$19,""))</f>
        <v>0.27305616440681579</v>
      </c>
      <c r="AI41" s="253">
        <f t="shared" ref="AI41:AI47" si="10">IF(AND($AA41="",AG41=""),"",$AA41-AG41)</f>
        <v>389259.98</v>
      </c>
      <c r="AJ41" s="212">
        <f t="shared" si="1"/>
        <v>13.112274065525119</v>
      </c>
      <c r="AK41" s="213">
        <f t="shared" si="2"/>
        <v>12.13033872042217</v>
      </c>
      <c r="AL41" s="215">
        <f t="shared" si="3"/>
        <v>9.7398697068403912</v>
      </c>
      <c r="AM41" s="423" t="str">
        <f t="shared" si="4"/>
        <v>4.9 pts.</v>
      </c>
      <c r="AN41" s="424" t="str">
        <f t="shared" si="5"/>
        <v>7.84 pts.</v>
      </c>
      <c r="AO41" s="11"/>
      <c r="AP41" s="11"/>
    </row>
    <row r="42" spans="1:42" x14ac:dyDescent="0.35">
      <c r="A42" s="65" t="s">
        <v>5</v>
      </c>
      <c r="B42" s="66"/>
      <c r="C42" s="11"/>
      <c r="D42" s="11"/>
      <c r="E42" s="11"/>
      <c r="F42" s="384"/>
      <c r="G42" s="88" t="s">
        <v>346</v>
      </c>
      <c r="H42" s="88" t="s">
        <v>272</v>
      </c>
      <c r="I42" s="122" t="str">
        <f>IF(_epmOfflineCondition_,"T4",_xll.EVPRO($B$1,$H42,"STYLE"))</f>
        <v>T4</v>
      </c>
      <c r="J42" s="122" t="str">
        <f>IF(_epmOfflineCondition_,"Y",_xll.EVPRO($B$1,$H42,"CALC"))</f>
        <v>Y</v>
      </c>
      <c r="K42" s="265" t="str">
        <f>IF(AND(I42&gt;="T5"),"&gt;","")</f>
        <v/>
      </c>
      <c r="L42" s="265"/>
      <c r="M42" s="265"/>
      <c r="N42" s="90" t="str">
        <f>IF(_epmOfflineCondition_,"In Room Dining Beverage Rev",IF(_xll.EVDES(G42,$B$1)="#NODATA","",_xll.EVDES(G42,$B$1)&amp;" Beverage Rev"))</f>
        <v>In Room Dining Beverage Rev</v>
      </c>
      <c r="O42" s="210"/>
      <c r="P42" s="210"/>
      <c r="Q42" s="210"/>
      <c r="R42" s="210"/>
      <c r="S42" s="210"/>
      <c r="T42" s="210"/>
      <c r="U42" s="210"/>
      <c r="V42" s="210"/>
      <c r="W42" s="210"/>
      <c r="X42" s="210"/>
      <c r="Y42" s="210"/>
      <c r="Z42" s="210"/>
      <c r="AA42" s="210">
        <f t="shared" si="0"/>
        <v>0</v>
      </c>
      <c r="AB42" s="211" t="str">
        <f t="shared" si="6"/>
        <v/>
      </c>
      <c r="AC42" s="140"/>
      <c r="AD42" s="210"/>
      <c r="AE42" s="211" t="str">
        <f t="shared" si="7"/>
        <v/>
      </c>
      <c r="AF42" s="253">
        <f t="shared" si="8"/>
        <v>0</v>
      </c>
      <c r="AG42" s="210">
        <v>2910</v>
      </c>
      <c r="AH42" s="211">
        <f t="shared" si="9"/>
        <v>4.7453191299680775E-3</v>
      </c>
      <c r="AI42" s="253">
        <f t="shared" si="10"/>
        <v>-2910</v>
      </c>
      <c r="AJ42" s="212">
        <f t="shared" si="1"/>
        <v>0</v>
      </c>
      <c r="AK42" s="213">
        <f t="shared" si="2"/>
        <v>0</v>
      </c>
      <c r="AL42" s="215">
        <f t="shared" si="3"/>
        <v>0.16926477431363424</v>
      </c>
      <c r="AM42" s="423">
        <f t="shared" si="4"/>
        <v>0</v>
      </c>
      <c r="AN42" s="424">
        <f t="shared" si="5"/>
        <v>0</v>
      </c>
      <c r="AO42" s="11"/>
      <c r="AP42" s="11"/>
    </row>
    <row r="43" spans="1:42" x14ac:dyDescent="0.35">
      <c r="A43" s="65" t="s">
        <v>6</v>
      </c>
      <c r="B43" s="66"/>
      <c r="C43" s="11"/>
      <c r="D43" s="11"/>
      <c r="E43" s="11"/>
      <c r="F43" s="384"/>
      <c r="G43" s="88" t="s">
        <v>347</v>
      </c>
      <c r="H43" s="88" t="s">
        <v>272</v>
      </c>
      <c r="I43" s="122" t="str">
        <f>IF(_epmOfflineCondition_,"T4",_xll.EVPRO($B$1,$H43,"STYLE"))</f>
        <v>T4</v>
      </c>
      <c r="J43" s="122" t="str">
        <f>IF(_epmOfflineCondition_,"Y",_xll.EVPRO($B$1,$H43,"CALC"))</f>
        <v>Y</v>
      </c>
      <c r="K43" s="265" t="str">
        <f>IF(AND(I43&gt;="T5"),"&gt;","")</f>
        <v/>
      </c>
      <c r="L43" s="265"/>
      <c r="M43" s="265"/>
      <c r="N43" s="90" t="str">
        <f>IF(_epmOfflineCondition_,"Banquet-Catering &amp; CS Beverage Rev",IF(_xll.EVDES(G43,$B$1)="#NODATA","",_xll.EVDES(G43,$B$1)&amp;" Beverage Rev"))</f>
        <v>Banquet-Catering &amp; CS Beverage Rev</v>
      </c>
      <c r="O43" s="210"/>
      <c r="P43" s="210"/>
      <c r="Q43" s="210"/>
      <c r="R43" s="210">
        <v>828</v>
      </c>
      <c r="S43" s="210"/>
      <c r="T43" s="210">
        <v>1455</v>
      </c>
      <c r="U43" s="210">
        <v>164</v>
      </c>
      <c r="V43" s="210"/>
      <c r="W43" s="210">
        <v>690</v>
      </c>
      <c r="X43" s="210"/>
      <c r="Y43" s="210">
        <v>660</v>
      </c>
      <c r="Z43" s="210"/>
      <c r="AA43" s="210">
        <f t="shared" si="0"/>
        <v>3797</v>
      </c>
      <c r="AB43" s="211">
        <f t="shared" si="6"/>
        <v>2.3971797549514088E-3</v>
      </c>
      <c r="AC43" s="140"/>
      <c r="AD43" s="210">
        <v>71818.351058941305</v>
      </c>
      <c r="AE43" s="211">
        <f t="shared" si="7"/>
        <v>4.7081514447014652E-2</v>
      </c>
      <c r="AF43" s="253">
        <f t="shared" si="8"/>
        <v>-68021.351058941305</v>
      </c>
      <c r="AG43" s="210">
        <v>5086.99</v>
      </c>
      <c r="AH43" s="211">
        <f t="shared" si="9"/>
        <v>8.2953233542805201E-3</v>
      </c>
      <c r="AI43" s="253">
        <f t="shared" si="10"/>
        <v>-1289.9899999999998</v>
      </c>
      <c r="AJ43" s="212">
        <f t="shared" si="1"/>
        <v>8.9431660268035895E-2</v>
      </c>
      <c r="AK43" s="213">
        <f t="shared" si="2"/>
        <v>1.8879565418930397</v>
      </c>
      <c r="AL43" s="215">
        <f t="shared" si="3"/>
        <v>0.29589285714285712</v>
      </c>
      <c r="AM43" s="423" t="str">
        <f t="shared" si="4"/>
        <v>-4.47 pts.</v>
      </c>
      <c r="AN43" s="424" t="str">
        <f t="shared" si="5"/>
        <v>-0.59 pts.</v>
      </c>
      <c r="AO43" s="11"/>
      <c r="AP43" s="11"/>
    </row>
    <row r="44" spans="1:42" x14ac:dyDescent="0.35">
      <c r="A44" s="65" t="s">
        <v>7</v>
      </c>
      <c r="B44" s="66" t="str">
        <f>IF(_epmOfflineCondition_,"'FB_Cons'!$A$58:$F$66",_xll.EVRNG(A58:F66))</f>
        <v>'FB_Cons'!$A$58:$F$66</v>
      </c>
      <c r="C44" s="11"/>
      <c r="D44" s="11"/>
      <c r="E44" s="11"/>
      <c r="F44" s="384"/>
      <c r="G44" s="88" t="s">
        <v>349</v>
      </c>
      <c r="H44" s="88" t="s">
        <v>272</v>
      </c>
      <c r="I44" s="122" t="str">
        <f>IF(_epmOfflineCondition_,"T4",_xll.EVPRO($B$1,$H44,"STYLE"))</f>
        <v>T4</v>
      </c>
      <c r="J44" s="122" t="str">
        <f>IF(_epmOfflineCondition_,"Y",_xll.EVPRO($B$1,$H44,"CALC"))</f>
        <v>Y</v>
      </c>
      <c r="K44" s="265" t="str">
        <f>IF(AND(I44&gt;="T5"),"&gt;","")</f>
        <v/>
      </c>
      <c r="L44" s="265"/>
      <c r="M44" s="265"/>
      <c r="N44" s="90" t="str">
        <f>IF(_epmOfflineCondition_,"Mini Bar Beverage Rev",IF(_xll.EVDES(G44,$B$1)="#NODATA","",_xll.EVDES(G44,$B$1)&amp;" Beverage Rev"))</f>
        <v>Mini Bar Beverage Rev</v>
      </c>
      <c r="O44" s="210">
        <v>2220</v>
      </c>
      <c r="P44" s="210">
        <v>1751</v>
      </c>
      <c r="Q44" s="210">
        <v>2049</v>
      </c>
      <c r="R44" s="210">
        <v>2189</v>
      </c>
      <c r="S44" s="210">
        <v>1158</v>
      </c>
      <c r="T44" s="210">
        <v>560</v>
      </c>
      <c r="U44" s="210">
        <v>1659</v>
      </c>
      <c r="V44" s="210">
        <v>642</v>
      </c>
      <c r="W44" s="210">
        <v>620</v>
      </c>
      <c r="X44" s="210">
        <v>744</v>
      </c>
      <c r="Y44" s="210">
        <v>1239</v>
      </c>
      <c r="Z44" s="210">
        <v>705</v>
      </c>
      <c r="AA44" s="210">
        <f t="shared" si="0"/>
        <v>15536</v>
      </c>
      <c r="AB44" s="211">
        <f t="shared" si="6"/>
        <v>9.8084236694561729E-3</v>
      </c>
      <c r="AC44" s="140"/>
      <c r="AD44" s="210">
        <v>45030</v>
      </c>
      <c r="AE44" s="211">
        <f t="shared" si="7"/>
        <v>2.9520039993804929E-2</v>
      </c>
      <c r="AF44" s="253">
        <f t="shared" si="8"/>
        <v>-29494</v>
      </c>
      <c r="AG44" s="210">
        <v>25206.75</v>
      </c>
      <c r="AH44" s="211">
        <f t="shared" si="9"/>
        <v>4.1104492432756989E-2</v>
      </c>
      <c r="AI44" s="253">
        <f t="shared" si="10"/>
        <v>-9670.75</v>
      </c>
      <c r="AJ44" s="221">
        <f t="shared" si="1"/>
        <v>0.3659231693242575</v>
      </c>
      <c r="AK44" s="222">
        <f t="shared" si="2"/>
        <v>1.1837459622495654</v>
      </c>
      <c r="AL44" s="224">
        <f t="shared" si="3"/>
        <v>1.4661906700791065</v>
      </c>
      <c r="AM44" s="425" t="str">
        <f t="shared" si="4"/>
        <v>-1.97 pts.</v>
      </c>
      <c r="AN44" s="426" t="str">
        <f t="shared" si="5"/>
        <v>-3.13 pts.</v>
      </c>
      <c r="AO44" s="11"/>
      <c r="AP44" s="11"/>
    </row>
    <row r="45" spans="1:42" x14ac:dyDescent="0.35">
      <c r="A45" s="65" t="s">
        <v>47</v>
      </c>
      <c r="B45" s="66" t="str">
        <f>IF(_epmOfflineCondition_,"'FB_Cons'!$A$114:$B$135",_xll.EVRNG($A$114:$B$135))</f>
        <v>'FB_Cons'!$A$114:$B$135</v>
      </c>
      <c r="C45" s="11"/>
      <c r="D45" s="11"/>
      <c r="E45" s="11"/>
      <c r="F45" s="11"/>
      <c r="G45" s="88" t="s">
        <v>358</v>
      </c>
      <c r="H45" s="88" t="s">
        <v>272</v>
      </c>
      <c r="I45" s="122" t="str">
        <f>IF(_epmOfflineCondition_,"T4",_xll.EVPRO($B$1,$H45,"STYLE"))</f>
        <v>T4</v>
      </c>
      <c r="J45" s="122" t="str">
        <f>IF(_epmOfflineCondition_,"Y",_xll.EVPRO($B$1,$H45,"CALC"))</f>
        <v>Y</v>
      </c>
      <c r="K45" s="265" t="str">
        <f>IF(AND(I45&gt;="T5"),"&gt;","")</f>
        <v/>
      </c>
      <c r="L45" s="265"/>
      <c r="M45" s="265"/>
      <c r="N45" s="53" t="str">
        <f>IF(_epmOfflineCondition_,"Total Beverage Revenue",IF(_xll.EVDES(H45,$B$1)="#NODATA","",_xll.EVDES(H45,$B$1)))</f>
        <v>Total Beverage Revenue</v>
      </c>
      <c r="O45" s="225">
        <v>24190.98</v>
      </c>
      <c r="P45" s="225">
        <v>46654.26</v>
      </c>
      <c r="Q45" s="225">
        <v>55165.02</v>
      </c>
      <c r="R45" s="225">
        <v>59499.87</v>
      </c>
      <c r="S45" s="225">
        <v>58431.77</v>
      </c>
      <c r="T45" s="225">
        <v>52755.82</v>
      </c>
      <c r="U45" s="225">
        <v>56511.14</v>
      </c>
      <c r="V45" s="225">
        <v>36034.870000000003</v>
      </c>
      <c r="W45" s="225">
        <v>30125.08</v>
      </c>
      <c r="X45" s="225">
        <v>40223.19</v>
      </c>
      <c r="Y45" s="225">
        <v>48120.800000000003</v>
      </c>
      <c r="Z45" s="225">
        <v>68328.02</v>
      </c>
      <c r="AA45" s="225">
        <f t="shared" si="0"/>
        <v>576040.81999999995</v>
      </c>
      <c r="AB45" s="226">
        <f t="shared" si="6"/>
        <v>0.36367484638651787</v>
      </c>
      <c r="AC45" s="140"/>
      <c r="AD45" s="225">
        <v>578289.54705894098</v>
      </c>
      <c r="AE45" s="226">
        <f t="shared" si="7"/>
        <v>0.37910571967975293</v>
      </c>
      <c r="AF45" s="228">
        <f t="shared" si="8"/>
        <v>-2248.7270589410327</v>
      </c>
      <c r="AG45" s="225">
        <v>200651.58</v>
      </c>
      <c r="AH45" s="226">
        <f t="shared" si="9"/>
        <v>0.32720129932382136</v>
      </c>
      <c r="AI45" s="228">
        <f t="shared" si="10"/>
        <v>375389.24</v>
      </c>
      <c r="AJ45" s="466">
        <f t="shared" si="1"/>
        <v>13.567628895117412</v>
      </c>
      <c r="AK45" s="467">
        <f t="shared" si="2"/>
        <v>15.202041224564768</v>
      </c>
      <c r="AL45" s="468">
        <f t="shared" si="3"/>
        <v>11.671218008375988</v>
      </c>
      <c r="AM45" s="469" t="str">
        <f t="shared" si="4"/>
        <v>-1.54 pts.</v>
      </c>
      <c r="AN45" s="470" t="str">
        <f t="shared" si="5"/>
        <v>3.65 pts.</v>
      </c>
      <c r="AO45" s="11"/>
      <c r="AP45" s="11"/>
    </row>
    <row r="46" spans="1:42" x14ac:dyDescent="0.35">
      <c r="A46" s="65" t="s">
        <v>8</v>
      </c>
      <c r="B46" s="66"/>
      <c r="C46" s="11"/>
      <c r="D46" s="11"/>
      <c r="E46" s="11"/>
      <c r="F46" s="11"/>
      <c r="G46" s="88" t="s">
        <v>358</v>
      </c>
      <c r="H46" s="88" t="s">
        <v>486</v>
      </c>
      <c r="I46" s="89"/>
      <c r="J46" s="89"/>
      <c r="K46" s="265"/>
      <c r="L46" s="265"/>
      <c r="M46" s="265"/>
      <c r="N46" s="90" t="str">
        <f>IF(_epmOfflineCondition_,"Food &amp; Beverage: Allowances",IF(_xll.EVDES(H46,$B$1)="#NODATA","",_xll.EVDES(H46,$B$1)))</f>
        <v>Food &amp; Beverage: Allowances</v>
      </c>
      <c r="O46" s="210"/>
      <c r="P46" s="210"/>
      <c r="Q46" s="210">
        <v>-406.55</v>
      </c>
      <c r="R46" s="210">
        <v>-58.8</v>
      </c>
      <c r="S46" s="210">
        <v>-175.18</v>
      </c>
      <c r="T46" s="210">
        <v>-224.66</v>
      </c>
      <c r="U46" s="210">
        <v>-102.26</v>
      </c>
      <c r="V46" s="210"/>
      <c r="W46" s="210">
        <v>-408.84</v>
      </c>
      <c r="X46" s="210"/>
      <c r="Y46" s="210"/>
      <c r="Z46" s="210">
        <v>-231</v>
      </c>
      <c r="AA46" s="210">
        <f t="shared" si="0"/>
        <v>-1607.29</v>
      </c>
      <c r="AB46" s="211">
        <f t="shared" si="6"/>
        <v>-1.0147387538414143E-3</v>
      </c>
      <c r="AC46" s="140"/>
      <c r="AD46" s="210"/>
      <c r="AE46" s="211" t="str">
        <f t="shared" si="7"/>
        <v/>
      </c>
      <c r="AF46" s="253">
        <f t="shared" si="8"/>
        <v>-1607.29</v>
      </c>
      <c r="AG46" s="210">
        <v>-1193.44</v>
      </c>
      <c r="AH46" s="211">
        <f t="shared" si="9"/>
        <v>-1.9461352791990045E-3</v>
      </c>
      <c r="AI46" s="253">
        <f t="shared" si="10"/>
        <v>-413.84999999999991</v>
      </c>
      <c r="AJ46" s="234">
        <f t="shared" si="1"/>
        <v>-3.7856890500977458E-2</v>
      </c>
      <c r="AK46" s="235">
        <f t="shared" si="2"/>
        <v>0</v>
      </c>
      <c r="AL46" s="237">
        <f t="shared" si="3"/>
        <v>-6.9418334108887855E-2</v>
      </c>
      <c r="AM46" s="429">
        <f t="shared" si="4"/>
        <v>0</v>
      </c>
      <c r="AN46" s="430" t="str">
        <f t="shared" si="5"/>
        <v>0.09 pts.</v>
      </c>
      <c r="AO46" s="11"/>
      <c r="AP46" s="11"/>
    </row>
    <row r="47" spans="1:42" x14ac:dyDescent="0.35">
      <c r="A47" s="11"/>
      <c r="B47" s="11"/>
      <c r="C47" s="11"/>
      <c r="D47" s="11"/>
      <c r="E47" s="11"/>
      <c r="F47" s="11"/>
      <c r="G47" s="88" t="s">
        <v>358</v>
      </c>
      <c r="H47" s="88" t="s">
        <v>273</v>
      </c>
      <c r="I47" s="122" t="str">
        <f>IF(_epmOfflineCondition_,"T4",_xll.EVPRO($B$1,$H47,"STYLE"))</f>
        <v>T4</v>
      </c>
      <c r="J47" s="122" t="str">
        <f>IF(_epmOfflineCondition_,"Y",_xll.EVPRO($B$1,$H47,"CALC"))</f>
        <v>Y</v>
      </c>
      <c r="K47" s="265" t="str">
        <f>IF(AND(I47&gt;="T5"),"&gt;","")</f>
        <v/>
      </c>
      <c r="L47" s="265"/>
      <c r="M47" s="265"/>
      <c r="N47" s="53" t="str">
        <f>IF(_epmOfflineCondition_,"Total Food &amp; Beverage Revenue",IF(_xll.EVDES(H47,$B$1)="#NODATA","",_xll.EVDES(H47,$B$1)))</f>
        <v>Total Food &amp; Beverage Revenue</v>
      </c>
      <c r="O47" s="225">
        <v>55884.160000000003</v>
      </c>
      <c r="P47" s="225">
        <v>96938.46</v>
      </c>
      <c r="Q47" s="225">
        <v>120338.37</v>
      </c>
      <c r="R47" s="225">
        <v>132589.79</v>
      </c>
      <c r="S47" s="225">
        <v>121748</v>
      </c>
      <c r="T47" s="225">
        <v>116443.16</v>
      </c>
      <c r="U47" s="225">
        <v>126037.75</v>
      </c>
      <c r="V47" s="225">
        <v>84772.09</v>
      </c>
      <c r="W47" s="225">
        <v>74676.960000000006</v>
      </c>
      <c r="X47" s="225">
        <v>99385.919999999998</v>
      </c>
      <c r="Y47" s="225">
        <v>125429.61</v>
      </c>
      <c r="Z47" s="225">
        <v>175054.45</v>
      </c>
      <c r="AA47" s="225">
        <f t="shared" si="0"/>
        <v>1329298.72</v>
      </c>
      <c r="AB47" s="226">
        <f t="shared" si="6"/>
        <v>0.83923307344398768</v>
      </c>
      <c r="AC47" s="140"/>
      <c r="AD47" s="225">
        <v>1250606.7147061301</v>
      </c>
      <c r="AE47" s="226">
        <f t="shared" si="7"/>
        <v>0.81985254796015883</v>
      </c>
      <c r="AF47" s="228">
        <f t="shared" si="8"/>
        <v>78692.005293869879</v>
      </c>
      <c r="AG47" s="225">
        <v>491900.37</v>
      </c>
      <c r="AH47" s="226">
        <f t="shared" si="9"/>
        <v>0.80213891264583359</v>
      </c>
      <c r="AI47" s="228">
        <f t="shared" si="10"/>
        <v>837398.35</v>
      </c>
      <c r="AJ47" s="466">
        <f t="shared" si="1"/>
        <v>31.309294580398991</v>
      </c>
      <c r="AK47" s="467">
        <f t="shared" si="2"/>
        <v>32.875874947714323</v>
      </c>
      <c r="AL47" s="468">
        <f t="shared" si="3"/>
        <v>28.612166705444391</v>
      </c>
      <c r="AM47" s="471" t="str">
        <f t="shared" si="4"/>
        <v>1.94 pts.</v>
      </c>
      <c r="AN47" s="470" t="str">
        <f t="shared" si="5"/>
        <v>3.71 pts.</v>
      </c>
      <c r="AO47" s="11"/>
      <c r="AP47" s="11"/>
    </row>
    <row r="48" spans="1:42" x14ac:dyDescent="0.35">
      <c r="A48" s="62" t="s">
        <v>9</v>
      </c>
      <c r="B48" s="63" t="s">
        <v>10</v>
      </c>
      <c r="C48" s="11"/>
      <c r="D48" s="11"/>
      <c r="E48" s="11"/>
      <c r="F48" s="11"/>
      <c r="G48" s="88"/>
      <c r="H48" s="11" t="s">
        <v>279</v>
      </c>
      <c r="I48" s="11" t="str">
        <f>IF(_epmOfflineCondition_,"B1",_xll.EVPRO($B$1,$H48,"STYLE"))</f>
        <v>B1</v>
      </c>
      <c r="J48" s="11" t="str">
        <f>IF(_epmOfflineCondition_,"Y",_xll.EVPRO($B$1,$H48,"CALC"))</f>
        <v>Y</v>
      </c>
      <c r="K48" s="265" t="str">
        <f>IF(AND(I48&gt;="T5"),"&gt;","")</f>
        <v/>
      </c>
      <c r="L48" s="265"/>
      <c r="M48" s="265"/>
      <c r="N48" s="106" t="str">
        <f>IF(_epmOfflineCondition_,"Other Revenue",IF(_xll.EVDES(H48,$B$1)="#NODATA","",_xll.EVDES(H48,$B$1)))</f>
        <v>Other Revenue</v>
      </c>
      <c r="O48" s="472"/>
      <c r="P48" s="473"/>
      <c r="Q48" s="473"/>
      <c r="R48" s="473"/>
      <c r="S48" s="473"/>
      <c r="T48" s="473"/>
      <c r="U48" s="473"/>
      <c r="V48" s="473"/>
      <c r="W48" s="473"/>
      <c r="X48" s="473"/>
      <c r="Y48" s="473"/>
      <c r="Z48" s="473"/>
      <c r="AA48" s="473" t="str">
        <f t="shared" si="0"/>
        <v/>
      </c>
      <c r="AB48" s="474"/>
      <c r="AC48" s="140"/>
      <c r="AD48" s="472"/>
      <c r="AE48" s="475"/>
      <c r="AF48" s="476"/>
      <c r="AG48" s="472"/>
      <c r="AH48" s="475"/>
      <c r="AI48" s="476"/>
      <c r="AJ48" s="212">
        <f t="shared" si="1"/>
        <v>0</v>
      </c>
      <c r="AK48" s="213">
        <f t="shared" si="2"/>
        <v>0</v>
      </c>
      <c r="AL48" s="215">
        <f t="shared" si="3"/>
        <v>0</v>
      </c>
      <c r="AM48" s="423" t="str">
        <f t="shared" si="4"/>
        <v>0 pts.</v>
      </c>
      <c r="AN48" s="424" t="str">
        <f t="shared" si="5"/>
        <v>0 pts.</v>
      </c>
      <c r="AO48" s="11"/>
      <c r="AP48" s="11"/>
    </row>
    <row r="49" spans="1:42" x14ac:dyDescent="0.35">
      <c r="A49" s="65" t="s">
        <v>11</v>
      </c>
      <c r="B49" s="66" t="s">
        <v>21</v>
      </c>
      <c r="C49" s="11"/>
      <c r="D49" s="11"/>
      <c r="E49" s="11"/>
      <c r="F49" s="11"/>
      <c r="G49" s="88" t="s">
        <v>358</v>
      </c>
      <c r="H49" s="88" t="s">
        <v>274</v>
      </c>
      <c r="I49" s="122" t="str">
        <f>IF(_epmOfflineCondition_,"T5",_xll.EVPRO($B$1,$H49,"STYLE"))</f>
        <v>T5</v>
      </c>
      <c r="J49" s="122" t="str">
        <f>IF(_epmOfflineCondition_,"Y",_xll.EVPRO($B$1,$H49,"CALC"))</f>
        <v>Y</v>
      </c>
      <c r="K49" s="265"/>
      <c r="L49" s="265"/>
      <c r="M49" s="265"/>
      <c r="N49" s="90" t="str">
        <f>IF(_epmOfflineCondition_,"Audio/Visual Rentals",IF(_xll.EVDES(H49,$B$1)="#NODATA","",_xll.EVDES(H49,$B$1)))</f>
        <v>Audio/Visual Rentals</v>
      </c>
      <c r="O49" s="143"/>
      <c r="P49" s="143"/>
      <c r="Q49" s="143"/>
      <c r="R49" s="143"/>
      <c r="S49" s="143"/>
      <c r="T49" s="143"/>
      <c r="U49" s="143"/>
      <c r="V49" s="143"/>
      <c r="W49" s="143">
        <v>75</v>
      </c>
      <c r="X49" s="143"/>
      <c r="Y49" s="143"/>
      <c r="Z49" s="143"/>
      <c r="AA49" s="143">
        <f t="shared" si="0"/>
        <v>75</v>
      </c>
      <c r="AB49" s="144">
        <f t="shared" ref="AB49:AB56" si="11">IF(AA49=0,"",IFERROR(AA49/AA$19,""))</f>
        <v>4.7350140010891667E-5</v>
      </c>
      <c r="AC49" s="140"/>
      <c r="AD49" s="143">
        <v>13000</v>
      </c>
      <c r="AE49" s="144">
        <f t="shared" ref="AE49:AE56" si="12">IF(AD49=0,"",IFERROR(AD49/AD$19,""))</f>
        <v>8.5223300004322461E-3</v>
      </c>
      <c r="AF49" s="145">
        <f t="shared" ref="AF49:AF56" si="13">IF(AND($AA49="",AD49=""),"",$AA49-AD49)</f>
        <v>-12925</v>
      </c>
      <c r="AG49" s="143">
        <v>6913.73</v>
      </c>
      <c r="AH49" s="144">
        <f t="shared" ref="AH49:AH56" si="14">IF(AG49=0,"",IFERROR(AG49/AG$19,""))</f>
        <v>1.1274177054444742E-2</v>
      </c>
      <c r="AI49" s="145">
        <f t="shared" ref="AI49:AI56" si="15">IF(AND($AA49="",AG49=""),"",$AA49-AG49)</f>
        <v>-6838.73</v>
      </c>
      <c r="AJ49" s="212">
        <f t="shared" si="1"/>
        <v>1.7664931577831687E-3</v>
      </c>
      <c r="AK49" s="213">
        <f t="shared" si="2"/>
        <v>0.34174322694302356</v>
      </c>
      <c r="AL49" s="215">
        <f t="shared" si="3"/>
        <v>0.4021480921358771</v>
      </c>
      <c r="AM49" s="423" t="str">
        <f t="shared" si="4"/>
        <v>-0.85 pts.</v>
      </c>
      <c r="AN49" s="424" t="str">
        <f t="shared" si="5"/>
        <v>-1.12 pts.</v>
      </c>
      <c r="AO49" s="11"/>
      <c r="AP49" s="11"/>
    </row>
    <row r="50" spans="1:42" x14ac:dyDescent="0.35">
      <c r="A50" s="65" t="s">
        <v>12</v>
      </c>
      <c r="B50" s="66" t="s">
        <v>22</v>
      </c>
      <c r="C50" s="11"/>
      <c r="D50" s="11"/>
      <c r="E50" s="11"/>
      <c r="F50" s="11"/>
      <c r="G50" s="88" t="s">
        <v>358</v>
      </c>
      <c r="H50" s="88" t="s">
        <v>275</v>
      </c>
      <c r="I50" s="122" t="str">
        <f>IF(_epmOfflineCondition_,"T5",_xll.EVPRO($B$1,$H50,"STYLE"))</f>
        <v>T5</v>
      </c>
      <c r="J50" s="122" t="str">
        <f>IF(_epmOfflineCondition_,"Y",_xll.EVPRO($B$1,$H50,"CALC"))</f>
        <v>Y</v>
      </c>
      <c r="K50" s="265"/>
      <c r="L50" s="265"/>
      <c r="M50" s="265"/>
      <c r="N50" s="90" t="str">
        <f>IF(_epmOfflineCondition_,"Public Room Rental",IF(_xll.EVDES(H50,$B$1)="#NODATA","",_xll.EVDES(H50,$B$1)))</f>
        <v>Public Room Rental</v>
      </c>
      <c r="O50" s="210"/>
      <c r="P50" s="210">
        <v>500</v>
      </c>
      <c r="Q50" s="210">
        <v>1450</v>
      </c>
      <c r="R50" s="210">
        <v>800</v>
      </c>
      <c r="S50" s="210">
        <v>500</v>
      </c>
      <c r="T50" s="210">
        <v>1000</v>
      </c>
      <c r="U50" s="210">
        <v>2000</v>
      </c>
      <c r="V50" s="210"/>
      <c r="W50" s="210">
        <v>1900</v>
      </c>
      <c r="X50" s="210">
        <v>1550</v>
      </c>
      <c r="Y50" s="210">
        <v>3250</v>
      </c>
      <c r="Z50" s="210">
        <v>7500</v>
      </c>
      <c r="AA50" s="210">
        <f t="shared" si="0"/>
        <v>20450</v>
      </c>
      <c r="AB50" s="211">
        <f t="shared" si="11"/>
        <v>1.2910804842969794E-2</v>
      </c>
      <c r="AC50" s="140"/>
      <c r="AD50" s="210">
        <v>29000</v>
      </c>
      <c r="AE50" s="211">
        <f t="shared" si="12"/>
        <v>1.9011351539425781E-2</v>
      </c>
      <c r="AF50" s="253">
        <f t="shared" si="13"/>
        <v>-8550</v>
      </c>
      <c r="AG50" s="210">
        <v>22825</v>
      </c>
      <c r="AH50" s="211">
        <f t="shared" si="14"/>
        <v>3.7220587333856144E-2</v>
      </c>
      <c r="AI50" s="253">
        <f t="shared" si="15"/>
        <v>-2375</v>
      </c>
      <c r="AJ50" s="212">
        <f t="shared" si="1"/>
        <v>0.48166380102221068</v>
      </c>
      <c r="AK50" s="213">
        <f t="shared" si="2"/>
        <v>0.76235027548828338</v>
      </c>
      <c r="AL50" s="215">
        <f t="shared" si="3"/>
        <v>1.3276523964634714</v>
      </c>
      <c r="AM50" s="423" t="str">
        <f t="shared" si="4"/>
        <v>-0.61 pts.</v>
      </c>
      <c r="AN50" s="424" t="str">
        <f t="shared" si="5"/>
        <v>-2.43 pts.</v>
      </c>
      <c r="AO50" s="11"/>
      <c r="AP50" s="11"/>
    </row>
    <row r="51" spans="1:42" x14ac:dyDescent="0.35">
      <c r="A51" s="65" t="s">
        <v>13</v>
      </c>
      <c r="B51" s="66" t="str">
        <f>"DEP(COS_FB) AND "&amp;$E$6&amp;"=Y,COS_FB,COSOTH,DEP(COS_OTHR) AND "&amp;$E$6&amp;"=Y,COS_OTHR,500001"</f>
        <v>DEP(COS_FB) AND D_FB=Y,COS_FB,COSOTH,DEP(COS_OTHR) AND D_FB=Y,COS_OTHR,500001</v>
      </c>
      <c r="C51" s="11"/>
      <c r="D51" s="11"/>
      <c r="E51" s="11"/>
      <c r="F51" s="11"/>
      <c r="G51" s="88" t="s">
        <v>358</v>
      </c>
      <c r="H51" s="88" t="s">
        <v>276</v>
      </c>
      <c r="I51" s="122" t="str">
        <f>IF(_epmOfflineCondition_,"T5",_xll.EVPRO($B$1,$H51,"STYLE"))</f>
        <v>T5</v>
      </c>
      <c r="J51" s="122" t="str">
        <f>IF(_epmOfflineCondition_,"Y",_xll.EVPRO($B$1,$H51,"CALC"))</f>
        <v>Y</v>
      </c>
      <c r="K51" s="265"/>
      <c r="L51" s="265"/>
      <c r="M51" s="265"/>
      <c r="N51" s="90" t="str">
        <f>IF(_epmOfflineCondition_,"Cover Charge",IF(_xll.EVDES(H51,$B$1)="#NODATA","",_xll.EVDES(H51,$B$1)))</f>
        <v>Cover Charge</v>
      </c>
      <c r="O51" s="210"/>
      <c r="P51" s="210"/>
      <c r="Q51" s="210"/>
      <c r="R51" s="210"/>
      <c r="S51" s="210"/>
      <c r="T51" s="210"/>
      <c r="U51" s="210"/>
      <c r="V51" s="210"/>
      <c r="W51" s="210"/>
      <c r="X51" s="210"/>
      <c r="Y51" s="210"/>
      <c r="Z51" s="210"/>
      <c r="AA51" s="210">
        <f t="shared" si="0"/>
        <v>0</v>
      </c>
      <c r="AB51" s="211" t="str">
        <f t="shared" si="11"/>
        <v/>
      </c>
      <c r="AC51" s="140"/>
      <c r="AD51" s="210"/>
      <c r="AE51" s="211" t="str">
        <f t="shared" si="12"/>
        <v/>
      </c>
      <c r="AF51" s="253">
        <f t="shared" si="13"/>
        <v>0</v>
      </c>
      <c r="AG51" s="210"/>
      <c r="AH51" s="211" t="str">
        <f t="shared" si="14"/>
        <v/>
      </c>
      <c r="AI51" s="253">
        <f t="shared" si="15"/>
        <v>0</v>
      </c>
      <c r="AJ51" s="212">
        <f t="shared" si="1"/>
        <v>0</v>
      </c>
      <c r="AK51" s="213">
        <f t="shared" si="2"/>
        <v>0</v>
      </c>
      <c r="AL51" s="215">
        <f t="shared" si="3"/>
        <v>0</v>
      </c>
      <c r="AM51" s="423">
        <f t="shared" si="4"/>
        <v>0</v>
      </c>
      <c r="AN51" s="424">
        <f t="shared" si="5"/>
        <v>0</v>
      </c>
      <c r="AO51" s="11"/>
      <c r="AP51" s="11"/>
    </row>
    <row r="52" spans="1:42" x14ac:dyDescent="0.35">
      <c r="A52" s="65" t="s">
        <v>14</v>
      </c>
      <c r="B52" s="66"/>
      <c r="C52" s="11"/>
      <c r="D52" s="11"/>
      <c r="E52" s="11"/>
      <c r="F52" s="11"/>
      <c r="G52" s="88" t="s">
        <v>358</v>
      </c>
      <c r="H52" s="88" t="s">
        <v>282</v>
      </c>
      <c r="I52" s="122" t="str">
        <f>IF(_epmOfflineCondition_,"T5",_xll.EVPRO($B$1,$H52,"STYLE"))</f>
        <v>T5</v>
      </c>
      <c r="J52" s="122" t="str">
        <f>IF(_epmOfflineCondition_,"Y",_xll.EVPRO($B$1,$H52,"CALC"))</f>
        <v>Y</v>
      </c>
      <c r="K52" s="265"/>
      <c r="L52" s="265"/>
      <c r="M52" s="265"/>
      <c r="N52" s="90" t="str">
        <f>IF(_epmOfflineCondition_,"Surcharges &amp; Services Charges",IF(_xll.EVDES(H52,$B$1)="#NODATA","",_xll.EVDES(H52,$B$1)))</f>
        <v>Surcharges &amp; Services Charges</v>
      </c>
      <c r="O52" s="210">
        <v>9504.7199999999993</v>
      </c>
      <c r="P52" s="210">
        <v>17100.22</v>
      </c>
      <c r="Q52" s="210">
        <v>20937.97</v>
      </c>
      <c r="R52" s="210">
        <v>23895.02</v>
      </c>
      <c r="S52" s="210">
        <v>21112.61</v>
      </c>
      <c r="T52" s="210">
        <v>20065.62</v>
      </c>
      <c r="U52" s="210">
        <v>21619.11</v>
      </c>
      <c r="V52" s="210">
        <v>14447</v>
      </c>
      <c r="W52" s="210">
        <v>12863.49</v>
      </c>
      <c r="X52" s="210">
        <v>17431.169999999998</v>
      </c>
      <c r="Y52" s="210">
        <v>21979.35</v>
      </c>
      <c r="Z52" s="210">
        <v>31067.62</v>
      </c>
      <c r="AA52" s="210">
        <f t="shared" si="0"/>
        <v>232023.9</v>
      </c>
      <c r="AB52" s="211">
        <f t="shared" si="11"/>
        <v>0.14648485534497502</v>
      </c>
      <c r="AC52" s="140"/>
      <c r="AD52" s="210">
        <v>226418.47273534801</v>
      </c>
      <c r="AE52" s="211">
        <f t="shared" si="12"/>
        <v>0.14843176483419285</v>
      </c>
      <c r="AF52" s="253">
        <f t="shared" si="13"/>
        <v>5605.4272646519821</v>
      </c>
      <c r="AG52" s="210">
        <v>86630.33</v>
      </c>
      <c r="AH52" s="211">
        <f t="shared" si="14"/>
        <v>0.14126754714242182</v>
      </c>
      <c r="AI52" s="253">
        <f t="shared" si="15"/>
        <v>145393.57</v>
      </c>
      <c r="AJ52" s="212">
        <f t="shared" si="1"/>
        <v>5.4649150905622159</v>
      </c>
      <c r="AK52" s="213">
        <f t="shared" si="2"/>
        <v>5.9520753470837562</v>
      </c>
      <c r="AL52" s="215">
        <f t="shared" si="3"/>
        <v>5.0389908096789204</v>
      </c>
      <c r="AM52" s="423" t="str">
        <f t="shared" si="4"/>
        <v>-0.19 pts.</v>
      </c>
      <c r="AN52" s="424" t="str">
        <f t="shared" si="5"/>
        <v>0.52 pts.</v>
      </c>
      <c r="AO52" s="11"/>
      <c r="AP52" s="11"/>
    </row>
    <row r="53" spans="1:42" x14ac:dyDescent="0.35">
      <c r="A53" s="65" t="s">
        <v>15</v>
      </c>
      <c r="B53" s="66"/>
      <c r="C53" s="11"/>
      <c r="D53" s="11"/>
      <c r="E53" s="11"/>
      <c r="F53" s="11"/>
      <c r="G53" s="88" t="s">
        <v>358</v>
      </c>
      <c r="H53" s="88" t="s">
        <v>283</v>
      </c>
      <c r="I53" s="122" t="str">
        <f>IF(_epmOfflineCondition_,"T5",_xll.EVPRO($B$1,$H53,"STYLE"))</f>
        <v>T5</v>
      </c>
      <c r="J53" s="122" t="str">
        <f>IF(_epmOfflineCondition_,"Y",_xll.EVPRO($B$1,$H53,"CALC"))</f>
        <v>Y</v>
      </c>
      <c r="K53" s="265"/>
      <c r="L53" s="265"/>
      <c r="M53" s="265"/>
      <c r="N53" s="90" t="str">
        <f>IF(_epmOfflineCondition_,"Miscellaneous Other Revenue",IF(_xll.EVDES(H53,$B$1)="#NODATA","",_xll.EVDES(H53,$B$1)))</f>
        <v>Miscellaneous Other Revenue</v>
      </c>
      <c r="O53" s="210"/>
      <c r="P53" s="210"/>
      <c r="Q53" s="210"/>
      <c r="R53" s="210">
        <v>300</v>
      </c>
      <c r="S53" s="210"/>
      <c r="T53" s="210">
        <v>253.01</v>
      </c>
      <c r="U53" s="210">
        <v>600</v>
      </c>
      <c r="V53" s="210"/>
      <c r="W53" s="210">
        <v>315</v>
      </c>
      <c r="X53" s="210"/>
      <c r="Y53" s="210">
        <v>450</v>
      </c>
      <c r="Z53" s="210">
        <v>179</v>
      </c>
      <c r="AA53" s="210">
        <f t="shared" si="0"/>
        <v>2097.0100000000002</v>
      </c>
      <c r="AB53" s="211">
        <f t="shared" si="11"/>
        <v>1.3239162280565325E-3</v>
      </c>
      <c r="AC53" s="140"/>
      <c r="AD53" s="210">
        <v>6379.25</v>
      </c>
      <c r="AE53" s="211">
        <f t="shared" si="12"/>
        <v>4.1820056657890315E-3</v>
      </c>
      <c r="AF53" s="253">
        <f t="shared" si="13"/>
        <v>-4282.24</v>
      </c>
      <c r="AG53" s="210">
        <v>4966.46</v>
      </c>
      <c r="AH53" s="211">
        <f t="shared" si="14"/>
        <v>8.0987758234437324E-3</v>
      </c>
      <c r="AI53" s="253">
        <f t="shared" si="15"/>
        <v>-2869.45</v>
      </c>
      <c r="AJ53" s="212">
        <f t="shared" si="1"/>
        <v>4.9391384224038444E-2</v>
      </c>
      <c r="AK53" s="213">
        <f t="shared" si="2"/>
        <v>0.16769734465202177</v>
      </c>
      <c r="AL53" s="215">
        <f t="shared" si="3"/>
        <v>0.28888203815728247</v>
      </c>
      <c r="AM53" s="423" t="str">
        <f t="shared" si="4"/>
        <v>-0.29 pts.</v>
      </c>
      <c r="AN53" s="424" t="str">
        <f t="shared" si="5"/>
        <v>-0.68 pts.</v>
      </c>
      <c r="AO53" s="11"/>
      <c r="AP53" s="11"/>
    </row>
    <row r="54" spans="1:42" x14ac:dyDescent="0.35">
      <c r="A54" s="65" t="s">
        <v>16</v>
      </c>
      <c r="B54" s="66"/>
      <c r="C54" s="11"/>
      <c r="D54" s="11"/>
      <c r="E54" s="11"/>
      <c r="F54" s="11"/>
      <c r="G54" s="88" t="s">
        <v>358</v>
      </c>
      <c r="H54" s="88" t="s">
        <v>277</v>
      </c>
      <c r="I54" s="122" t="str">
        <f>IF(_epmOfflineCondition_,"T4",_xll.EVPRO($B$1,$H54,"STYLE"))</f>
        <v>T4</v>
      </c>
      <c r="J54" s="122" t="str">
        <f>IF(_epmOfflineCondition_,"Y",_xll.EVPRO($B$1,$H54,"CALC"))</f>
        <v>Y</v>
      </c>
      <c r="K54" s="265"/>
      <c r="L54" s="265"/>
      <c r="M54" s="265"/>
      <c r="N54" s="53" t="str">
        <f>IF(_epmOfflineCondition_,"Total Other Revenue",IF(_xll.EVDES(H54,$B$1)="#NODATA","",_xll.EVDES(H54,$B$1)))</f>
        <v>Total Other Revenue</v>
      </c>
      <c r="O54" s="225">
        <v>9504.7199999999993</v>
      </c>
      <c r="P54" s="225">
        <v>17600.22</v>
      </c>
      <c r="Q54" s="225">
        <v>22387.97</v>
      </c>
      <c r="R54" s="225">
        <v>24995.02</v>
      </c>
      <c r="S54" s="225">
        <v>21612.61</v>
      </c>
      <c r="T54" s="225">
        <v>21318.63</v>
      </c>
      <c r="U54" s="225">
        <v>24219.11</v>
      </c>
      <c r="V54" s="225">
        <v>14447</v>
      </c>
      <c r="W54" s="225">
        <v>15153.49</v>
      </c>
      <c r="X54" s="225">
        <v>18981.169999999998</v>
      </c>
      <c r="Y54" s="225">
        <v>25679.35</v>
      </c>
      <c r="Z54" s="225">
        <v>38746.620000000003</v>
      </c>
      <c r="AA54" s="225">
        <f t="shared" si="0"/>
        <v>254645.91</v>
      </c>
      <c r="AB54" s="226">
        <f t="shared" si="11"/>
        <v>0.16076692655601224</v>
      </c>
      <c r="AC54" s="140"/>
      <c r="AD54" s="225">
        <v>274797.72273534798</v>
      </c>
      <c r="AE54" s="226">
        <f t="shared" si="12"/>
        <v>0.18014745203983989</v>
      </c>
      <c r="AF54" s="228">
        <f t="shared" si="13"/>
        <v>-20151.812735347979</v>
      </c>
      <c r="AG54" s="225">
        <v>121335.52</v>
      </c>
      <c r="AH54" s="226">
        <f t="shared" si="14"/>
        <v>0.19786108735416644</v>
      </c>
      <c r="AI54" s="228">
        <f t="shared" si="15"/>
        <v>133310.39000000001</v>
      </c>
      <c r="AJ54" s="466">
        <f t="shared" si="1"/>
        <v>5.9977367689662486</v>
      </c>
      <c r="AK54" s="467">
        <f t="shared" si="2"/>
        <v>7.2238661941670843</v>
      </c>
      <c r="AL54" s="468">
        <f t="shared" si="3"/>
        <v>7.0576733364355517</v>
      </c>
      <c r="AM54" s="469" t="str">
        <f t="shared" si="4"/>
        <v>-1.94 pts.</v>
      </c>
      <c r="AN54" s="470" t="str">
        <f t="shared" si="5"/>
        <v>-3.71 pts.</v>
      </c>
      <c r="AO54" s="387"/>
      <c r="AP54" s="11"/>
    </row>
    <row r="55" spans="1:42" x14ac:dyDescent="0.35">
      <c r="A55" s="65" t="s">
        <v>17</v>
      </c>
      <c r="B55" s="66"/>
      <c r="C55" s="11"/>
      <c r="D55" s="11"/>
      <c r="E55" s="11"/>
      <c r="F55" s="11"/>
      <c r="G55" s="88" t="s">
        <v>358</v>
      </c>
      <c r="H55" s="88" t="s">
        <v>473</v>
      </c>
      <c r="I55" s="122"/>
      <c r="J55" s="122"/>
      <c r="K55" s="265"/>
      <c r="L55" s="265"/>
      <c r="M55" s="265"/>
      <c r="N55" s="90" t="str">
        <f>IF(_epmOfflineCondition_,"Other Revenue: Allowances",IF(_xll.EVDES(H55,$B$1)="#NODATA","",_xll.EVDES(H55,$B$1)))</f>
        <v>Other Revenue: Allowances</v>
      </c>
      <c r="O55" s="210"/>
      <c r="P55" s="210"/>
      <c r="Q55" s="210"/>
      <c r="R55" s="210"/>
      <c r="S55" s="210"/>
      <c r="T55" s="210"/>
      <c r="U55" s="210"/>
      <c r="V55" s="210"/>
      <c r="W55" s="210"/>
      <c r="X55" s="210"/>
      <c r="Y55" s="210"/>
      <c r="Z55" s="210"/>
      <c r="AA55" s="210">
        <f t="shared" si="0"/>
        <v>0</v>
      </c>
      <c r="AB55" s="211" t="str">
        <f t="shared" si="11"/>
        <v/>
      </c>
      <c r="AC55" s="140"/>
      <c r="AD55" s="210"/>
      <c r="AE55" s="211" t="str">
        <f t="shared" si="12"/>
        <v/>
      </c>
      <c r="AF55" s="253">
        <f t="shared" si="13"/>
        <v>0</v>
      </c>
      <c r="AG55" s="210"/>
      <c r="AH55" s="211" t="str">
        <f t="shared" si="14"/>
        <v/>
      </c>
      <c r="AI55" s="253">
        <f t="shared" si="15"/>
        <v>0</v>
      </c>
      <c r="AJ55" s="212">
        <f t="shared" si="1"/>
        <v>0</v>
      </c>
      <c r="AK55" s="213">
        <f t="shared" si="2"/>
        <v>0</v>
      </c>
      <c r="AL55" s="215">
        <f t="shared" si="3"/>
        <v>0</v>
      </c>
      <c r="AM55" s="423">
        <f t="shared" si="4"/>
        <v>0</v>
      </c>
      <c r="AN55" s="424">
        <f t="shared" si="5"/>
        <v>0</v>
      </c>
      <c r="AO55" s="11"/>
      <c r="AP55" s="11"/>
    </row>
    <row r="56" spans="1:42" x14ac:dyDescent="0.35">
      <c r="A56" s="11"/>
      <c r="B56" s="11"/>
      <c r="C56" s="11"/>
      <c r="D56" s="11"/>
      <c r="E56" s="11"/>
      <c r="F56" s="11"/>
      <c r="G56" s="88" t="s">
        <v>358</v>
      </c>
      <c r="H56" s="88" t="s">
        <v>280</v>
      </c>
      <c r="I56" s="122" t="str">
        <f>IF(_epmOfflineCondition_,"T3",_xll.EVPRO($B$1,$H56,"STYLE"))</f>
        <v>T3</v>
      </c>
      <c r="J56" s="122" t="str">
        <f>IF(_epmOfflineCondition_,"Y",_xll.EVPRO($B$1,$H56,"CALC"))</f>
        <v>Y</v>
      </c>
      <c r="K56" s="265"/>
      <c r="L56" s="265"/>
      <c r="M56" s="265"/>
      <c r="N56" s="53" t="str">
        <f>IF(_epmOfflineCondition_,"Total Revenue",IF(_xll.EVDES(H56,$B$1)="#NODATA","",_xll.EVDES(H56,$B$1)))</f>
        <v>Total Revenue</v>
      </c>
      <c r="O56" s="225">
        <v>65388.88</v>
      </c>
      <c r="P56" s="225">
        <v>114538.68</v>
      </c>
      <c r="Q56" s="225">
        <v>142726.34</v>
      </c>
      <c r="R56" s="225">
        <v>157584.81</v>
      </c>
      <c r="S56" s="225">
        <v>143360.60999999999</v>
      </c>
      <c r="T56" s="225">
        <v>137761.79</v>
      </c>
      <c r="U56" s="225">
        <v>150256.85999999999</v>
      </c>
      <c r="V56" s="225">
        <v>99219.09</v>
      </c>
      <c r="W56" s="225">
        <v>89830.45</v>
      </c>
      <c r="X56" s="225">
        <v>118367.09</v>
      </c>
      <c r="Y56" s="225">
        <v>151108.96</v>
      </c>
      <c r="Z56" s="225">
        <v>213801.07</v>
      </c>
      <c r="AA56" s="225">
        <f t="shared" si="0"/>
        <v>1583944.6300000001</v>
      </c>
      <c r="AB56" s="226">
        <f t="shared" si="11"/>
        <v>1</v>
      </c>
      <c r="AC56" s="140"/>
      <c r="AD56" s="225">
        <v>1525404.4374414801</v>
      </c>
      <c r="AE56" s="226">
        <f t="shared" si="12"/>
        <v>1</v>
      </c>
      <c r="AF56" s="228">
        <f t="shared" si="13"/>
        <v>58540.192558520008</v>
      </c>
      <c r="AG56" s="225">
        <v>613235.89</v>
      </c>
      <c r="AH56" s="226">
        <f t="shared" si="14"/>
        <v>1</v>
      </c>
      <c r="AI56" s="228">
        <f t="shared" si="15"/>
        <v>970708.74000000011</v>
      </c>
      <c r="AJ56" s="466">
        <f t="shared" si="1"/>
        <v>37.307031349365246</v>
      </c>
      <c r="AK56" s="467">
        <f t="shared" si="2"/>
        <v>40.099741141881459</v>
      </c>
      <c r="AL56" s="468">
        <f t="shared" si="3"/>
        <v>35.669840041879944</v>
      </c>
      <c r="AM56" s="469" t="str">
        <f t="shared" si="4"/>
        <v>0 pts.</v>
      </c>
      <c r="AN56" s="470" t="str">
        <f t="shared" si="5"/>
        <v>0 pts.</v>
      </c>
      <c r="AO56" s="11"/>
      <c r="AP56" s="11"/>
    </row>
    <row r="57" spans="1:42" x14ac:dyDescent="0.35">
      <c r="A57" s="97" t="s">
        <v>92</v>
      </c>
      <c r="B57" s="98" t="s">
        <v>93</v>
      </c>
      <c r="C57" s="98" t="s">
        <v>94</v>
      </c>
      <c r="D57" s="98" t="s">
        <v>95</v>
      </c>
      <c r="E57" s="98" t="s">
        <v>96</v>
      </c>
      <c r="F57" s="99" t="s">
        <v>97</v>
      </c>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393"/>
      <c r="AE57" s="204"/>
      <c r="AF57" s="118"/>
      <c r="AG57" s="393"/>
      <c r="AH57" s="204"/>
      <c r="AI57" s="118"/>
      <c r="AJ57" s="11"/>
      <c r="AK57" s="11"/>
      <c r="AL57" s="11"/>
      <c r="AM57" s="11"/>
      <c r="AN57" s="11"/>
      <c r="AO57" s="11"/>
      <c r="AP57" s="11"/>
    </row>
    <row r="58" spans="1:42" x14ac:dyDescent="0.35">
      <c r="A58" s="11"/>
      <c r="B58" s="11"/>
      <c r="C58" s="11"/>
      <c r="D58" s="11"/>
      <c r="E58" s="11"/>
      <c r="F58" s="11"/>
      <c r="G58" s="11"/>
      <c r="H58" s="11" t="s">
        <v>281</v>
      </c>
      <c r="I58" s="59" t="str">
        <f>IF(_epmOfflineCondition_,"B1",_xll.EVPRO($B$1,$H58,"STYLE"))</f>
        <v>B1</v>
      </c>
      <c r="J58" s="59" t="str">
        <f>IF(_epmOfflineCondition_,"Y",_xll.EVPRO($B$1,$H58,"CALC"))</f>
        <v>Y</v>
      </c>
      <c r="K58" s="11"/>
      <c r="L58" s="11"/>
      <c r="M58" s="11"/>
      <c r="N58" s="105" t="str">
        <f>IF(_epmOfflineCondition_,"Cost of Sales",IF(_xll.EVDES(H58,$B$1)="#NODATA","",_xll.EVDES(H58,$B$1)))</f>
        <v>Cost of Sales</v>
      </c>
      <c r="O58" s="203"/>
      <c r="P58" s="204"/>
      <c r="Q58" s="204"/>
      <c r="R58" s="204"/>
      <c r="S58" s="204"/>
      <c r="T58" s="204"/>
      <c r="U58" s="204"/>
      <c r="V58" s="204"/>
      <c r="W58" s="204"/>
      <c r="X58" s="204"/>
      <c r="Y58" s="204"/>
      <c r="Z58" s="204"/>
      <c r="AA58" s="204"/>
      <c r="AB58" s="118"/>
      <c r="AC58" s="11"/>
      <c r="AD58" s="203"/>
      <c r="AE58" s="204"/>
      <c r="AF58" s="118"/>
      <c r="AG58" s="203"/>
      <c r="AH58" s="204"/>
      <c r="AI58" s="118"/>
      <c r="AJ58" s="11"/>
      <c r="AK58" s="11"/>
      <c r="AL58" s="11"/>
      <c r="AM58" s="11"/>
      <c r="AN58" s="11"/>
      <c r="AO58" s="11"/>
      <c r="AP58" s="11"/>
    </row>
    <row r="59" spans="1:42" x14ac:dyDescent="0.35">
      <c r="A59" s="11" t="s">
        <v>209</v>
      </c>
      <c r="B59" s="11" t="s">
        <v>21</v>
      </c>
      <c r="C59" s="395"/>
      <c r="D59" s="11" t="s">
        <v>590</v>
      </c>
      <c r="E59" s="11"/>
      <c r="F59" s="11" t="s">
        <v>99</v>
      </c>
      <c r="G59" s="76"/>
      <c r="H59" s="11" t="s">
        <v>284</v>
      </c>
      <c r="I59" s="59" t="str">
        <f>IF(_epmOfflineCondition_,"B1",_xll.EVPRO($B$1,$H59,"STYLE"))</f>
        <v>B1</v>
      </c>
      <c r="J59" s="59" t="str">
        <f>IF(_epmOfflineCondition_,"Y",_xll.EVPRO($B$1,$H59,"CALC"))</f>
        <v>Y</v>
      </c>
      <c r="K59" s="11"/>
      <c r="L59" s="11"/>
      <c r="M59" s="11"/>
      <c r="N59" s="53" t="str">
        <f>IF(_epmOfflineCondition_,"Cost of Food &amp; Beverage Sales",IF(_xll.EVDES(H59,$B$1)="#NODATA","",_xll.EVDES(H59,$B$1)))</f>
        <v>Cost of Food &amp; Beverage Sales</v>
      </c>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c r="AP59" s="11"/>
    </row>
    <row r="60" spans="1:42" x14ac:dyDescent="0.35">
      <c r="A60" s="11" t="s">
        <v>105</v>
      </c>
      <c r="B60" s="11"/>
      <c r="C60" s="104" t="s">
        <v>101</v>
      </c>
      <c r="D60" s="11" t="s">
        <v>106</v>
      </c>
      <c r="E60" s="11"/>
      <c r="F60" s="11" t="s">
        <v>98</v>
      </c>
      <c r="G60" s="11"/>
      <c r="H60" s="396" t="s">
        <v>285</v>
      </c>
      <c r="I60" s="122" t="str">
        <f>IF(_epmOfflineCondition_,"T5",_xll.EVPRO($B$1,$H60,"STYLE"))</f>
        <v>T5</v>
      </c>
      <c r="J60" s="122" t="str">
        <f>IF(_epmOfflineCondition_,"Y",_xll.EVPRO($B$1,$H60,"CALC"))</f>
        <v>Y</v>
      </c>
      <c r="K60" s="179" t="str">
        <f t="shared" ref="K60:K70" si="16">IF(AND(I60&gt;="T5"),"&gt;","")</f>
        <v>&gt;</v>
      </c>
      <c r="L60" s="90" t="str">
        <f>IF(_epmOfflineCondition_,"561100",_xll.EVPRO($B$1,H60,"JDEID"))</f>
        <v>561100</v>
      </c>
      <c r="M60" s="90" t="str">
        <f>IF(_epmOfflineCondition_,"",IF(AND(I60="N",J60="N"),_xll.EVPRO($B$1,H60,"PSFTID"),""))</f>
        <v/>
      </c>
      <c r="N60" s="90" t="str">
        <f>IF(_epmOfflineCondition_,"Cost of Food Sales",IF(_xll.EVDES(H60,$B$1)="#NODATA","",_xll.EVDES(H60,$B$1)))</f>
        <v>Cost of Food Sales</v>
      </c>
      <c r="O60" s="435">
        <v>9980.42</v>
      </c>
      <c r="P60" s="250">
        <v>16399.830000000002</v>
      </c>
      <c r="Q60" s="250">
        <v>23005.84</v>
      </c>
      <c r="R60" s="250">
        <v>28280.880000000001</v>
      </c>
      <c r="S60" s="250">
        <v>29451.99</v>
      </c>
      <c r="T60" s="250">
        <v>20262.18</v>
      </c>
      <c r="U60" s="250">
        <v>22161.63</v>
      </c>
      <c r="V60" s="250">
        <v>16261.93</v>
      </c>
      <c r="W60" s="250">
        <v>14375.52</v>
      </c>
      <c r="X60" s="250">
        <v>17684.509999999998</v>
      </c>
      <c r="Y60" s="250">
        <v>22308.720000000001</v>
      </c>
      <c r="Z60" s="250">
        <v>32759.119999999999</v>
      </c>
      <c r="AA60" s="250">
        <f t="shared" ref="AA60:AA68" si="17">IF($I60="B1","",SUM(O60:Z60))</f>
        <v>252932.57</v>
      </c>
      <c r="AB60" s="436">
        <f>IF(_epmOfflineCondition_,0.335069855320789,IF(AA60=0,"",IFERROR(AA60/_xll.EVGTS($B$1,1,_xll.EVPRO($B$1,$H60,"COSBASIS"),$B$3,$B$5,$B$6,$B$7,$B$9,AA$16,AA$17,AA$11),"")))</f>
        <v>0.33506985532078898</v>
      </c>
      <c r="AC60" s="437"/>
      <c r="AD60" s="250">
        <v>198601.86499999999</v>
      </c>
      <c r="AE60" s="436">
        <f>IF(_epmOfflineCondition_,0.295399068411445,IF(AD60=0,"",IFERROR(AD60/_xll.EVGTS($B$1,1,_xll.EVPRO($B$1,$H60,"COSBASIS"),$B$3,$B$5,$B$6,$B$7,$B$9,AD$16,AD$17,AD$18),"")))</f>
        <v>0.29539906841144498</v>
      </c>
      <c r="AF60" s="438">
        <f t="shared" ref="AF60:AF70" si="18">IF(AND($AA60="",AD60=""),"",$AA60-AD60)</f>
        <v>54330.705000000016</v>
      </c>
      <c r="AG60" s="250">
        <v>125800.95</v>
      </c>
      <c r="AH60" s="436">
        <f>IF(_epmOfflineCondition_,0.430173679088687,IF(AG60=0,"",IFERROR(AG60/_xll.EVGTS($B$1,1,_xll.EVPRO($B$1,$H60,"COSBASIS"),$B$3,$B$5,$B$6,$B$7,$B$9,AG$16,AG$17,AG$18),"")))</f>
        <v>0.43017367908868698</v>
      </c>
      <c r="AI60" s="439">
        <f t="shared" ref="AI60:AI70" si="19">IF(AND($AA60="",AG60=""),"",$AA60-AG60)</f>
        <v>127131.62000000001</v>
      </c>
      <c r="AJ60" s="440">
        <f t="shared" ref="AJ60:AJ68" si="20">IFERROR(AA60/AA$20,0)</f>
        <v>5.9573820571401654</v>
      </c>
      <c r="AK60" s="441">
        <f t="shared" ref="AK60:AK68" si="21">IFERROR(AD60/AD$20,0)</f>
        <v>5.2208340170771326</v>
      </c>
      <c r="AL60" s="442">
        <f t="shared" ref="AL60:AL68" si="22">IFERROR(AG60/AG$20,0)</f>
        <v>7.3174121684504421</v>
      </c>
      <c r="AM60" s="443" t="str">
        <f t="shared" ref="AM60:AM68" si="23">+IFERROR(ROUND(($AB60-AE60)*100,2)&amp;" pts.",0)</f>
        <v>3.97 pts.</v>
      </c>
      <c r="AN60" s="444" t="str">
        <f t="shared" ref="AN60:AN68" si="24">+IFERROR(ROUND(($AB60-AH60)*100,2)&amp;" pts.",0)</f>
        <v>-9.51 pts.</v>
      </c>
      <c r="AO60" s="11"/>
      <c r="AP60" s="11"/>
    </row>
    <row r="61" spans="1:42" x14ac:dyDescent="0.35">
      <c r="A61" s="11" t="s">
        <v>104</v>
      </c>
      <c r="B61" s="11"/>
      <c r="C61" s="104" t="s">
        <v>101</v>
      </c>
      <c r="D61" s="11" t="s">
        <v>106</v>
      </c>
      <c r="E61" s="11"/>
      <c r="F61" s="11" t="s">
        <v>98</v>
      </c>
      <c r="G61" s="11"/>
      <c r="H61" s="396" t="s">
        <v>636</v>
      </c>
      <c r="I61" s="122" t="str">
        <f>IF(_epmOfflineCondition_,"T5",_xll.EVPRO($B$1,$H61,"STYLE"))</f>
        <v>T5</v>
      </c>
      <c r="J61" s="122" t="str">
        <f>IF(_epmOfflineCondition_,"Y",_xll.EVPRO($B$1,$H61,"CALC"))</f>
        <v>Y</v>
      </c>
      <c r="K61" s="179" t="str">
        <f t="shared" si="16"/>
        <v>&gt;</v>
      </c>
      <c r="L61" s="90" t="str">
        <f>IF(_epmOfflineCondition_,"",_xll.EVPRO($B$1,H61,"JDEID"))</f>
        <v/>
      </c>
      <c r="M61" s="90" t="str">
        <f>IF(_epmOfflineCondition_,"",IF(AND(I61="N",J61="N"),_xll.EVPRO($B$1,H61,"PSFTID"),""))</f>
        <v/>
      </c>
      <c r="N61" s="90" t="str">
        <f>IF(_epmOfflineCondition_,"Cost of Beverage Sales",IF(_xll.EVDES(H61,$B$1)="#NODATA","",_xll.EVDES(H61,$B$1)))</f>
        <v>Cost of Beverage Sales</v>
      </c>
      <c r="O61" s="445">
        <v>6708.16</v>
      </c>
      <c r="P61" s="251">
        <v>8226.86</v>
      </c>
      <c r="Q61" s="251">
        <v>14260.6</v>
      </c>
      <c r="R61" s="251">
        <v>13292.89</v>
      </c>
      <c r="S61" s="251">
        <v>10836.06</v>
      </c>
      <c r="T61" s="251">
        <v>10722</v>
      </c>
      <c r="U61" s="251">
        <v>12300.08</v>
      </c>
      <c r="V61" s="251">
        <v>8879.56</v>
      </c>
      <c r="W61" s="251">
        <v>6340.24</v>
      </c>
      <c r="X61" s="251">
        <v>10522.05</v>
      </c>
      <c r="Y61" s="251">
        <v>10840.76</v>
      </c>
      <c r="Z61" s="251">
        <v>14344.82</v>
      </c>
      <c r="AA61" s="251">
        <f t="shared" si="17"/>
        <v>127274.07999999999</v>
      </c>
      <c r="AB61" s="446">
        <f>IF(_epmOfflineCondition_,0.220946286410744,IF(AA61=0,"",IFERROR(AA61/_xll.EVGTS($B$1,1,_xll.EVPRO($B$1,$H61,"COSBASIS"),$B$3,$B$5,$B$6,$B$7,$B$9,AA$16,AA$17,AA$11),"")))</f>
        <v>0.22094628641074399</v>
      </c>
      <c r="AC61" s="437"/>
      <c r="AD61" s="251">
        <v>136426.42000000001</v>
      </c>
      <c r="AE61" s="446">
        <f>IF(_epmOfflineCondition_,0.235913688382984,IF(AD61=0,"",IFERROR(AD61/_xll.EVGTS($B$1,1,_xll.EVPRO($B$1,$H61,"COSBASIS"),$B$3,$B$5,$B$6,$B$7,$B$9,AD$16,AD$17,AD$18),"")))</f>
        <v>0.23591368838298399</v>
      </c>
      <c r="AF61" s="447">
        <f t="shared" si="18"/>
        <v>-9152.3400000000256</v>
      </c>
      <c r="AG61" s="251">
        <v>49620.51</v>
      </c>
      <c r="AH61" s="446">
        <f>IF(_epmOfflineCondition_,0.247296881489794,IF(AG61=0,"",IFERROR(AG61/_xll.EVGTS($B$1,1,_xll.EVPRO($B$1,$H61,"COSBASIS"),$B$3,$B$5,$B$6,$B$7,$B$9,AG$16,AG$17,AG$18),"")))</f>
        <v>0.24729688148979401</v>
      </c>
      <c r="AI61" s="448">
        <f t="shared" si="19"/>
        <v>77653.569999999978</v>
      </c>
      <c r="AJ61" s="449">
        <f t="shared" si="20"/>
        <v>2.9977172197753017</v>
      </c>
      <c r="AK61" s="450">
        <f t="shared" si="21"/>
        <v>3.5863696162372505</v>
      </c>
      <c r="AL61" s="451">
        <f t="shared" si="22"/>
        <v>2.8862558166589114</v>
      </c>
      <c r="AM61" s="452" t="str">
        <f t="shared" si="23"/>
        <v>-1.5 pts.</v>
      </c>
      <c r="AN61" s="453" t="str">
        <f t="shared" si="24"/>
        <v>-2.64 pts.</v>
      </c>
      <c r="AO61" s="11"/>
      <c r="AP61" s="11"/>
    </row>
    <row r="62" spans="1:42" x14ac:dyDescent="0.35">
      <c r="A62" s="11" t="s">
        <v>100</v>
      </c>
      <c r="B62" s="11"/>
      <c r="C62" s="53" t="s">
        <v>101</v>
      </c>
      <c r="D62" s="11" t="s">
        <v>106</v>
      </c>
      <c r="E62" s="11"/>
      <c r="F62" s="11" t="s">
        <v>98</v>
      </c>
      <c r="G62" s="11"/>
      <c r="H62" s="396" t="s">
        <v>286</v>
      </c>
      <c r="I62" s="188" t="str">
        <f>IF(_epmOfflineCondition_,"T4",_xll.EVPRO($B$1,$H62,"STYLE"))</f>
        <v>T4</v>
      </c>
      <c r="J62" s="188" t="str">
        <f>IF(_epmOfflineCondition_,"Y",_xll.EVPRO($B$1,$H62,"CALC"))</f>
        <v>Y</v>
      </c>
      <c r="K62" s="189" t="str">
        <f t="shared" si="16"/>
        <v/>
      </c>
      <c r="L62" s="190" t="str">
        <f>IF(_epmOfflineCondition_,"",_xll.EVPRO($B$1,H62,"JDEID"))</f>
        <v/>
      </c>
      <c r="M62" s="190" t="str">
        <f>IF(_epmOfflineCondition_,"",IF(AND(I62="N",J62="N"),_xll.EVPRO($B$1,H62,"PSFTID"),""))</f>
        <v/>
      </c>
      <c r="N62" s="190" t="str">
        <f>IF(_epmOfflineCondition_,"Total Cost of Food &amp; Beverage Sales",IF(_xll.EVDES(H62,$B$1)="#NODATA","",_xll.EVDES(H62,$B$1)))</f>
        <v>Total Cost of Food &amp; Beverage Sales</v>
      </c>
      <c r="O62" s="454">
        <v>16688.580000000002</v>
      </c>
      <c r="P62" s="225">
        <v>24626.69</v>
      </c>
      <c r="Q62" s="225">
        <v>37266.44</v>
      </c>
      <c r="R62" s="225">
        <v>41573.769999999997</v>
      </c>
      <c r="S62" s="225">
        <v>40288.050000000003</v>
      </c>
      <c r="T62" s="225">
        <v>30984.18</v>
      </c>
      <c r="U62" s="225">
        <v>34461.71</v>
      </c>
      <c r="V62" s="225">
        <v>25141.49</v>
      </c>
      <c r="W62" s="225">
        <v>20715.759999999998</v>
      </c>
      <c r="X62" s="225">
        <v>28206.560000000001</v>
      </c>
      <c r="Y62" s="225">
        <v>33149.480000000003</v>
      </c>
      <c r="Z62" s="225">
        <v>47103.94</v>
      </c>
      <c r="AA62" s="225">
        <f t="shared" si="17"/>
        <v>380206.64999999997</v>
      </c>
      <c r="AB62" s="226">
        <f>IF(_epmOfflineCondition_,0.286020474013546,IF(AA62=0,"",IFERROR(AA62/_xll.EVGTS($B$1,1,_xll.EVPRO($B$1,$H62,"COSBASIS"),$B$3,$B$5,$B$6,$B$7,$B$9,AA$16,AA$17,AA$11),"")))</f>
        <v>0.28602047401354602</v>
      </c>
      <c r="AC62" s="227"/>
      <c r="AD62" s="225">
        <v>335028.28499999997</v>
      </c>
      <c r="AE62" s="226">
        <f>IF(_epmOfflineCondition_,0.267892600495693,IF(AD62=0,"",IFERROR(AD62/_xll.EVGTS($B$1,1,_xll.EVPRO($B$1,$H62,"COSBASIS"),$B$3,$B$5,$B$6,$B$7,$B$9,AD$16,AD$17,AD$18),"")))</f>
        <v>0.26789260049569302</v>
      </c>
      <c r="AF62" s="228">
        <f t="shared" si="18"/>
        <v>45178.364999999991</v>
      </c>
      <c r="AG62" s="225">
        <v>175421.46</v>
      </c>
      <c r="AH62" s="226">
        <f>IF(_epmOfflineCondition_,0.356619898456267,IF(AG62=0,"",IFERROR(AG62/_xll.EVGTS($B$1,1,_xll.EVPRO($B$1,$H62,"COSBASIS"),$B$3,$B$5,$B$6,$B$7,$B$9,AG$16,AG$17,AG$18),"")))</f>
        <v>0.35661989845626701</v>
      </c>
      <c r="AI62" s="455">
        <f t="shared" si="19"/>
        <v>204785.18999999997</v>
      </c>
      <c r="AJ62" s="229">
        <f t="shared" si="20"/>
        <v>8.9550992769154671</v>
      </c>
      <c r="AK62" s="230">
        <f t="shared" si="21"/>
        <v>8.8072036333143817</v>
      </c>
      <c r="AL62" s="232">
        <f t="shared" si="22"/>
        <v>10.203667985109353</v>
      </c>
      <c r="AM62" s="427" t="str">
        <f t="shared" si="23"/>
        <v>1.81 pts.</v>
      </c>
      <c r="AN62" s="456" t="str">
        <f t="shared" si="24"/>
        <v>-7.06 pts.</v>
      </c>
      <c r="AO62" s="11"/>
      <c r="AP62" s="11"/>
    </row>
    <row r="63" spans="1:42" x14ac:dyDescent="0.35">
      <c r="A63" s="11" t="s">
        <v>102</v>
      </c>
      <c r="B63" s="11"/>
      <c r="C63" s="106" t="s">
        <v>101</v>
      </c>
      <c r="D63" s="11" t="s">
        <v>106</v>
      </c>
      <c r="E63" s="11"/>
      <c r="F63" s="11" t="s">
        <v>98</v>
      </c>
      <c r="G63" s="11"/>
      <c r="H63" s="396" t="s">
        <v>287</v>
      </c>
      <c r="I63" s="188" t="str">
        <f>IF(_epmOfflineCondition_,"B1",_xll.EVPRO($B$1,$H63,"STYLE"))</f>
        <v>B1</v>
      </c>
      <c r="J63" s="188" t="str">
        <f>IF(_epmOfflineCondition_,"Y",_xll.EVPRO($B$1,$H63,"CALC"))</f>
        <v>Y</v>
      </c>
      <c r="K63" s="189" t="str">
        <f t="shared" si="16"/>
        <v/>
      </c>
      <c r="L63" s="190" t="str">
        <f>IF(_epmOfflineCondition_,"",_xll.EVPRO($B$1,H63,"JDEID"))</f>
        <v/>
      </c>
      <c r="M63" s="190" t="str">
        <f>IF(_epmOfflineCondition_,"",IF(AND(I63="N",J63="N"),_xll.EVPRO($B$1,H63,"PSFTID"),""))</f>
        <v/>
      </c>
      <c r="N63" s="190" t="str">
        <f>IF(_epmOfflineCondition_,"Cost of Other Revenue",IF(_xll.EVDES(H63,$B$1)="#NODATA","",_xll.EVDES(H63,$B$1)))</f>
        <v>Cost of Other Revenue</v>
      </c>
      <c r="O63" s="457"/>
      <c r="P63" s="252"/>
      <c r="Q63" s="252"/>
      <c r="R63" s="252"/>
      <c r="S63" s="252"/>
      <c r="T63" s="252"/>
      <c r="U63" s="252"/>
      <c r="V63" s="252"/>
      <c r="W63" s="252"/>
      <c r="X63" s="252"/>
      <c r="Y63" s="252"/>
      <c r="Z63" s="252"/>
      <c r="AA63" s="252" t="str">
        <f t="shared" si="17"/>
        <v/>
      </c>
      <c r="AB63" s="458" t="str">
        <f>IF(_epmOfflineCondition_,"",IF(AA63=0,"",IFERROR(AA63/_xll.EVGTS($B$1,1,_xll.EVPRO($B$1,$H63,"COSBASIS"),$B$3,$B$5,$B$6,$B$7,$B$9,AA$16,AA$17,AA$11),"")))</f>
        <v/>
      </c>
      <c r="AC63" s="459"/>
      <c r="AD63" s="252"/>
      <c r="AE63" s="458" t="str">
        <f>IF(_epmOfflineCondition_,"",IF(AD63=0,"",IFERROR(AD63/_xll.EVGTS($B$1,1,_xll.EVPRO($B$1,$H63,"COSBASIS"),$B$3,$B$5,$B$6,$B$7,$B$9,AD$16,AD$17,AD$18),"")))</f>
        <v/>
      </c>
      <c r="AF63" s="460" t="str">
        <f t="shared" si="18"/>
        <v/>
      </c>
      <c r="AG63" s="252"/>
      <c r="AH63" s="458" t="str">
        <f>IF(_epmOfflineCondition_,"",IF(AG63=0,"",IFERROR(AG63/_xll.EVGTS($B$1,1,_xll.EVPRO($B$1,$H63,"COSBASIS"),$B$3,$B$5,$B$6,$B$7,$B$9,AG$16,AG$17,AG$18),"")))</f>
        <v/>
      </c>
      <c r="AI63" s="461" t="str">
        <f t="shared" si="19"/>
        <v/>
      </c>
      <c r="AJ63" s="234">
        <f t="shared" si="20"/>
        <v>0</v>
      </c>
      <c r="AK63" s="235">
        <f t="shared" si="21"/>
        <v>0</v>
      </c>
      <c r="AL63" s="237">
        <f t="shared" si="22"/>
        <v>0</v>
      </c>
      <c r="AM63" s="429">
        <f t="shared" si="23"/>
        <v>0</v>
      </c>
      <c r="AN63" s="462">
        <f t="shared" si="24"/>
        <v>0</v>
      </c>
      <c r="AO63" s="11"/>
      <c r="AP63" s="11"/>
    </row>
    <row r="64" spans="1:42" x14ac:dyDescent="0.35">
      <c r="A64" s="11" t="s">
        <v>102</v>
      </c>
      <c r="B64" s="11"/>
      <c r="C64" s="196" t="s">
        <v>101</v>
      </c>
      <c r="D64" s="11" t="s">
        <v>107</v>
      </c>
      <c r="E64" s="11"/>
      <c r="F64" s="11" t="s">
        <v>99</v>
      </c>
      <c r="G64" s="11"/>
      <c r="H64" s="396" t="s">
        <v>637</v>
      </c>
      <c r="I64" s="122" t="str">
        <f>IF(_epmOfflineCondition_,"N",_xll.EVPRO($B$1,$H64,"STYLE"))</f>
        <v>N</v>
      </c>
      <c r="J64" s="122" t="str">
        <f>IF(_epmOfflineCondition_,"N",_xll.EVPRO($B$1,$H64,"CALC"))</f>
        <v>N</v>
      </c>
      <c r="K64" s="179" t="str">
        <f t="shared" si="16"/>
        <v/>
      </c>
      <c r="L64" s="90" t="str">
        <f>IF(_epmOfflineCondition_,"568300",_xll.EVPRO($B$1,H64,"JDEID"))</f>
        <v>568300</v>
      </c>
      <c r="M64" s="90" t="str">
        <f>IF(_epmOfflineCondition_,"306005",IF(AND(I64="N",J64="N"),_xll.EVPRO($B$1,H64,"PSFTID"),""))</f>
        <v>306005</v>
      </c>
      <c r="N64" s="90" t="str">
        <f>IF(_epmOfflineCondition_,"A/V Cost of Sales",IF(_xll.EVDES(H64,$B$1)="#NODATA","",_xll.EVDES(H64,$B$1)))</f>
        <v>A/V Cost of Sales</v>
      </c>
      <c r="O64" s="435"/>
      <c r="P64" s="250"/>
      <c r="Q64" s="250"/>
      <c r="R64" s="250"/>
      <c r="S64" s="250"/>
      <c r="T64" s="250"/>
      <c r="U64" s="250"/>
      <c r="V64" s="250"/>
      <c r="W64" s="250"/>
      <c r="X64" s="250"/>
      <c r="Y64" s="250"/>
      <c r="Z64" s="250"/>
      <c r="AA64" s="250">
        <f t="shared" si="17"/>
        <v>0</v>
      </c>
      <c r="AB64" s="436" t="str">
        <f>IF(_epmOfflineCondition_,"",IF(AA64=0,"",IFERROR(AA64/_xll.EVGTS($B$1,1,_xll.EVPRO($B$1,$H64,"COSBASIS"),$B$3,$B$5,$B$6,$B$7,$B$9,AA$16,AA$17,AA$11),"")))</f>
        <v/>
      </c>
      <c r="AC64" s="437"/>
      <c r="AD64" s="250"/>
      <c r="AE64" s="436" t="str">
        <f>IF(_epmOfflineCondition_,"",IF(AD64=0,"",IFERROR(AD64/_xll.EVGTS($B$1,1,_xll.EVPRO($B$1,$H64,"COSBASIS"),$B$3,$B$5,$B$6,$B$7,$B$9,AD$16,AD$17,AD$18),"")))</f>
        <v/>
      </c>
      <c r="AF64" s="438">
        <f t="shared" si="18"/>
        <v>0</v>
      </c>
      <c r="AG64" s="250">
        <v>471</v>
      </c>
      <c r="AH64" s="436">
        <f>IF(_epmOfflineCondition_,0.0681253100714086,IF(AG64=0,"",IFERROR(AG64/_xll.EVGTS($B$1,1,_xll.EVPRO($B$1,$H64,"COSBASIS"),$B$3,$B$5,$B$6,$B$7,$B$9,AG$16,AG$17,AG$18),"")))</f>
        <v>6.8125310071408596E-2</v>
      </c>
      <c r="AI64" s="439">
        <f t="shared" si="19"/>
        <v>-471</v>
      </c>
      <c r="AJ64" s="440">
        <f t="shared" si="20"/>
        <v>0</v>
      </c>
      <c r="AK64" s="441">
        <f t="shared" si="21"/>
        <v>0</v>
      </c>
      <c r="AL64" s="442">
        <f t="shared" si="22"/>
        <v>2.7396463471382037E-2</v>
      </c>
      <c r="AM64" s="443">
        <f t="shared" si="23"/>
        <v>0</v>
      </c>
      <c r="AN64" s="444">
        <f t="shared" si="24"/>
        <v>0</v>
      </c>
      <c r="AO64" s="11"/>
      <c r="AP64" s="11"/>
    </row>
    <row r="65" spans="1:42" x14ac:dyDescent="0.35">
      <c r="A65" s="11" t="s">
        <v>108</v>
      </c>
      <c r="B65" s="11"/>
      <c r="C65" s="106" t="s">
        <v>101</v>
      </c>
      <c r="D65" s="11" t="s">
        <v>106</v>
      </c>
      <c r="E65" s="11"/>
      <c r="F65" s="11" t="s">
        <v>98</v>
      </c>
      <c r="G65" s="11"/>
      <c r="H65" s="396" t="s">
        <v>638</v>
      </c>
      <c r="I65" s="122" t="str">
        <f>IF(_epmOfflineCondition_,"N",_xll.EVPRO($B$1,$H65,"STYLE"))</f>
        <v>N</v>
      </c>
      <c r="J65" s="122" t="str">
        <f>IF(_epmOfflineCondition_,"N",_xll.EVPRO($B$1,$H65,"CALC"))</f>
        <v>N</v>
      </c>
      <c r="K65" s="179" t="str">
        <f t="shared" si="16"/>
        <v/>
      </c>
      <c r="L65" s="90" t="str">
        <f>IF(_epmOfflineCondition_,"568350",_xll.EVPRO($B$1,H65,"JDEID"))</f>
        <v>568350</v>
      </c>
      <c r="M65" s="90" t="str">
        <f>IF(_epmOfflineCondition_,"306099",IF(AND(I65="N",J65="N"),_xll.EVPRO($B$1,H65,"PSFTID"),""))</f>
        <v>306099</v>
      </c>
      <c r="N65" s="90" t="str">
        <f>IF(_epmOfflineCondition_,"Public Room Rental",IF(_xll.EVDES(H65,$B$1)="#NODATA","",_xll.EVDES(H65,$B$1)))</f>
        <v>Public Room Rental</v>
      </c>
      <c r="O65" s="435"/>
      <c r="P65" s="250"/>
      <c r="Q65" s="250"/>
      <c r="R65" s="250"/>
      <c r="S65" s="250"/>
      <c r="T65" s="250"/>
      <c r="U65" s="250"/>
      <c r="V65" s="250"/>
      <c r="W65" s="250"/>
      <c r="X65" s="250"/>
      <c r="Y65" s="250"/>
      <c r="Z65" s="250"/>
      <c r="AA65" s="250">
        <f t="shared" si="17"/>
        <v>0</v>
      </c>
      <c r="AB65" s="436" t="str">
        <f>IF(_epmOfflineCondition_,"",IF(AA65=0,"",IFERROR(AA65/_xll.EVGTS($B$1,1,_xll.EVPRO($B$1,$H65,"COSBASIS"),$B$3,$B$5,$B$6,$B$7,$B$9,AA$16,AA$17,AA$11),"")))</f>
        <v/>
      </c>
      <c r="AC65" s="437"/>
      <c r="AD65" s="250"/>
      <c r="AE65" s="436" t="str">
        <f>IF(_epmOfflineCondition_,"",IF(AD65=0,"",IFERROR(AD65/_xll.EVGTS($B$1,1,_xll.EVPRO($B$1,$H65,"COSBASIS"),$B$3,$B$5,$B$6,$B$7,$B$9,AD$16,AD$17,AD$18),"")))</f>
        <v/>
      </c>
      <c r="AF65" s="438">
        <f t="shared" si="18"/>
        <v>0</v>
      </c>
      <c r="AG65" s="250"/>
      <c r="AH65" s="436" t="str">
        <f>IF(_epmOfflineCondition_,"",IF(AG65=0,"",IFERROR(AG65/_xll.EVGTS($B$1,1,_xll.EVPRO($B$1,$H65,"COSBASIS"),$B$3,$B$5,$B$6,$B$7,$B$9,AG$16,AG$17,AG$18),"")))</f>
        <v/>
      </c>
      <c r="AI65" s="439">
        <f t="shared" si="19"/>
        <v>0</v>
      </c>
      <c r="AJ65" s="440">
        <f t="shared" si="20"/>
        <v>0</v>
      </c>
      <c r="AK65" s="441">
        <f t="shared" si="21"/>
        <v>0</v>
      </c>
      <c r="AL65" s="442">
        <f t="shared" si="22"/>
        <v>0</v>
      </c>
      <c r="AM65" s="443">
        <f t="shared" si="23"/>
        <v>0</v>
      </c>
      <c r="AN65" s="444">
        <f t="shared" si="24"/>
        <v>0</v>
      </c>
      <c r="AO65" s="11"/>
      <c r="AP65" s="11"/>
    </row>
    <row r="66" spans="1:42" x14ac:dyDescent="0.35">
      <c r="A66" s="11" t="s">
        <v>108</v>
      </c>
      <c r="B66" s="11"/>
      <c r="C66" s="196" t="s">
        <v>101</v>
      </c>
      <c r="D66" s="11" t="s">
        <v>107</v>
      </c>
      <c r="E66" s="11"/>
      <c r="F66" s="11" t="s">
        <v>99</v>
      </c>
      <c r="G66" s="11"/>
      <c r="H66" s="396" t="s">
        <v>639</v>
      </c>
      <c r="I66" s="122" t="str">
        <f>IF(_epmOfflineCondition_,"T5",_xll.EVPRO($B$1,$H66,"STYLE"))</f>
        <v>T5</v>
      </c>
      <c r="J66" s="122" t="str">
        <f>IF(_epmOfflineCondition_,"Y",_xll.EVPRO($B$1,$H66,"CALC"))</f>
        <v>Y</v>
      </c>
      <c r="K66" s="179" t="str">
        <f t="shared" si="16"/>
        <v>&gt;</v>
      </c>
      <c r="L66" s="90" t="str">
        <f>IF(_epmOfflineCondition_,"",_xll.EVPRO($B$1,H66,"JDEID"))</f>
        <v/>
      </c>
      <c r="M66" s="90" t="str">
        <f>IF(_epmOfflineCondition_,"",IF(AND(I66="N",J66="N"),_xll.EVPRO($B$1,H66,"PSFTID"),""))</f>
        <v/>
      </c>
      <c r="N66" s="90" t="str">
        <f>IF(_epmOfflineCondition_,"Miscellaneous Cost",IF(_xll.EVDES(H66,$B$1)="#NODATA","",_xll.EVDES(H66,$B$1)))</f>
        <v>Miscellaneous Cost</v>
      </c>
      <c r="O66" s="445"/>
      <c r="P66" s="251"/>
      <c r="Q66" s="251"/>
      <c r="R66" s="251"/>
      <c r="S66" s="251">
        <v>-87.53</v>
      </c>
      <c r="T66" s="251">
        <v>110.94</v>
      </c>
      <c r="U66" s="251">
        <v>10.47</v>
      </c>
      <c r="V66" s="251"/>
      <c r="W66" s="251"/>
      <c r="X66" s="251"/>
      <c r="Y66" s="251">
        <v>23.41</v>
      </c>
      <c r="Z66" s="251">
        <v>50.82</v>
      </c>
      <c r="AA66" s="251">
        <f t="shared" si="17"/>
        <v>108.10999999999999</v>
      </c>
      <c r="AB66" s="446">
        <f>IF(_epmOfflineCondition_,0.0515543559639677,IF(AA66=0,"",IFERROR(AA66/_xll.EVGTS($B$1,1,_xll.EVPRO($B$1,$H66,"COSBASIS"),$B$3,$B$5,$B$6,$B$7,$B$9,AA$16,AA$17,AA$11),"")))</f>
        <v>5.15543559639677E-2</v>
      </c>
      <c r="AC66" s="437"/>
      <c r="AD66" s="251">
        <v>2436.8735000000001</v>
      </c>
      <c r="AE66" s="446">
        <f>IF(_epmOfflineCondition_,0.382,IF(AD66=0,"",IFERROR(AD66/_xll.EVGTS($B$1,1,_xll.EVPRO($B$1,$H66,"COSBASIS"),$B$3,$B$5,$B$6,$B$7,$B$9,AD$16,AD$17,AD$18),"")))</f>
        <v>0.38200000000000001</v>
      </c>
      <c r="AF66" s="447">
        <f t="shared" si="18"/>
        <v>-2328.7635</v>
      </c>
      <c r="AG66" s="251">
        <v>1489.4</v>
      </c>
      <c r="AH66" s="446">
        <f>IF(_epmOfflineCondition_,0.299891673344797,IF(AG66=0,"",IFERROR(AG66/_xll.EVGTS($B$1,1,_xll.EVPRO($B$1,$H66,"COSBASIS"),$B$3,$B$5,$B$6,$B$7,$B$9,AG$16,AG$17,AG$18),"")))</f>
        <v>0.29989167334479699</v>
      </c>
      <c r="AI66" s="448">
        <f t="shared" si="19"/>
        <v>-1381.2900000000002</v>
      </c>
      <c r="AJ66" s="449">
        <f t="shared" si="20"/>
        <v>2.5463410038391782E-3</v>
      </c>
      <c r="AK66" s="450">
        <f t="shared" si="21"/>
        <v>6.4060385657072325E-2</v>
      </c>
      <c r="AL66" s="451">
        <f t="shared" si="22"/>
        <v>8.6633317822242914E-2</v>
      </c>
      <c r="AM66" s="452" t="str">
        <f t="shared" si="23"/>
        <v>-33.04 pts.</v>
      </c>
      <c r="AN66" s="453" t="str">
        <f t="shared" si="24"/>
        <v>-24.83 pts.</v>
      </c>
      <c r="AO66" s="11"/>
      <c r="AP66" s="11"/>
    </row>
    <row r="67" spans="1:42" x14ac:dyDescent="0.35">
      <c r="A67" s="11"/>
      <c r="B67" s="11"/>
      <c r="C67" s="11"/>
      <c r="D67" s="11"/>
      <c r="E67" s="11"/>
      <c r="F67" s="11"/>
      <c r="G67" s="11"/>
      <c r="H67" s="396" t="s">
        <v>288</v>
      </c>
      <c r="I67" s="188" t="str">
        <f>IF(_epmOfflineCondition_,"T4",_xll.EVPRO($B$1,$H67,"STYLE"))</f>
        <v>T4</v>
      </c>
      <c r="J67" s="188" t="str">
        <f>IF(_epmOfflineCondition_,"Y",_xll.EVPRO($B$1,$H67,"CALC"))</f>
        <v>Y</v>
      </c>
      <c r="K67" s="189" t="str">
        <f t="shared" si="16"/>
        <v/>
      </c>
      <c r="L67" s="190" t="str">
        <f>IF(_epmOfflineCondition_,"",_xll.EVPRO($B$1,H67,"JDEID"))</f>
        <v/>
      </c>
      <c r="M67" s="190" t="str">
        <f>IF(_epmOfflineCondition_,"",IF(AND(I67="N",J67="N"),_xll.EVPRO($B$1,H67,"PSFTID"),""))</f>
        <v/>
      </c>
      <c r="N67" s="190" t="str">
        <f>IF(_epmOfflineCondition_,"Total Cost of Other Revenue",IF(_xll.EVDES(H67,$B$1)="#NODATA","",_xll.EVDES(H67,$B$1)))</f>
        <v>Total Cost of Other Revenue</v>
      </c>
      <c r="O67" s="463"/>
      <c r="P67" s="238"/>
      <c r="Q67" s="238"/>
      <c r="R67" s="238"/>
      <c r="S67" s="238">
        <v>-87.53</v>
      </c>
      <c r="T67" s="238">
        <v>110.94</v>
      </c>
      <c r="U67" s="238">
        <v>10.47</v>
      </c>
      <c r="V67" s="238"/>
      <c r="W67" s="238"/>
      <c r="X67" s="238"/>
      <c r="Y67" s="238">
        <v>23.41</v>
      </c>
      <c r="Z67" s="238">
        <v>50.82</v>
      </c>
      <c r="AA67" s="238">
        <f t="shared" si="17"/>
        <v>108.10999999999999</v>
      </c>
      <c r="AB67" s="239">
        <f>IF(_epmOfflineCondition_,0.000424550309879314,IF(AA67=0,"",IFERROR(AA67/_xll.EVGTS($B$1,1,_xll.EVPRO($B$1,$H67,"COSBASIS"),$B$3,$B$5,$B$6,$B$7,$B$9,AA$16,AA$17,AA$11),"")))</f>
        <v>4.2455030987931399E-4</v>
      </c>
      <c r="AC67" s="240"/>
      <c r="AD67" s="238">
        <v>2436.8735000000001</v>
      </c>
      <c r="AE67" s="239">
        <f>IF(_epmOfflineCondition_,0.00886788098439558,IF(AD67=0,"",IFERROR(AD67/_xll.EVGTS($B$1,1,_xll.EVPRO($B$1,$H67,"COSBASIS"),$B$3,$B$5,$B$6,$B$7,$B$9,AD$16,AD$17,AD$18),"")))</f>
        <v>8.8678809843955805E-3</v>
      </c>
      <c r="AF67" s="241">
        <f t="shared" si="18"/>
        <v>-2328.7635</v>
      </c>
      <c r="AG67" s="238">
        <v>1960.4</v>
      </c>
      <c r="AH67" s="239">
        <f>IF(_epmOfflineCondition_,0.016156851678717,IF(AG67=0,"",IFERROR(AG67/_xll.EVGTS($B$1,1,_xll.EVPRO($B$1,$H67,"COSBASIS"),$B$3,$B$5,$B$6,$B$7,$B$9,AG$16,AG$17,AG$18),"")))</f>
        <v>1.6156851678716999E-2</v>
      </c>
      <c r="AI67" s="464">
        <f t="shared" si="19"/>
        <v>-1852.2900000000002</v>
      </c>
      <c r="AJ67" s="242">
        <f t="shared" si="20"/>
        <v>2.5463410038391782E-3</v>
      </c>
      <c r="AK67" s="243">
        <f t="shared" si="21"/>
        <v>6.4060385657072325E-2</v>
      </c>
      <c r="AL67" s="245">
        <f t="shared" si="22"/>
        <v>0.11402978129362494</v>
      </c>
      <c r="AM67" s="431" t="str">
        <f t="shared" si="23"/>
        <v>-0.84 pts.</v>
      </c>
      <c r="AN67" s="465" t="str">
        <f t="shared" si="24"/>
        <v>-1.57 pts.</v>
      </c>
      <c r="AO67" s="11"/>
      <c r="AP67" s="11"/>
    </row>
    <row r="68" spans="1:42" x14ac:dyDescent="0.35">
      <c r="A68" s="11"/>
      <c r="B68" s="11"/>
      <c r="C68" s="208"/>
      <c r="D68" s="11"/>
      <c r="E68" s="11"/>
      <c r="F68" s="11"/>
      <c r="G68" s="11"/>
      <c r="H68" s="396" t="s">
        <v>289</v>
      </c>
      <c r="I68" s="188" t="str">
        <f>IF(_epmOfflineCondition_,"T3",_xll.EVPRO($B$1,$H68,"STYLE"))</f>
        <v>T3</v>
      </c>
      <c r="J68" s="188" t="str">
        <f>IF(_epmOfflineCondition_,"Y",_xll.EVPRO($B$1,$H68,"CALC"))</f>
        <v>Y</v>
      </c>
      <c r="K68" s="189" t="str">
        <f t="shared" si="16"/>
        <v/>
      </c>
      <c r="L68" s="190" t="str">
        <f>IF(_epmOfflineCondition_,"500001",_xll.EVPRO($B$1,H68,"JDEID"))</f>
        <v>500001</v>
      </c>
      <c r="M68" s="190" t="str">
        <f>IF(_epmOfflineCondition_,"",IF(AND(I68="N",J68="N"),_xll.EVPRO($B$1,H68,"PSFTID"),""))</f>
        <v/>
      </c>
      <c r="N68" s="190" t="str">
        <f>IF(_epmOfflineCondition_,"Total Cost of Sales",IF(_xll.EVDES(H68,$B$1)="#NODATA","",_xll.EVDES(H68,$B$1)))</f>
        <v>Total Cost of Sales</v>
      </c>
      <c r="O68" s="454">
        <v>16688.580000000002</v>
      </c>
      <c r="P68" s="225">
        <v>24626.69</v>
      </c>
      <c r="Q68" s="225">
        <v>37266.44</v>
      </c>
      <c r="R68" s="225">
        <v>41573.769999999997</v>
      </c>
      <c r="S68" s="225">
        <v>40200.519999999997</v>
      </c>
      <c r="T68" s="225">
        <v>31095.119999999999</v>
      </c>
      <c r="U68" s="225">
        <v>34472.18</v>
      </c>
      <c r="V68" s="225">
        <v>25141.49</v>
      </c>
      <c r="W68" s="225">
        <v>20715.759999999998</v>
      </c>
      <c r="X68" s="225">
        <v>28206.560000000001</v>
      </c>
      <c r="Y68" s="225">
        <v>33172.89</v>
      </c>
      <c r="Z68" s="225">
        <v>47154.76</v>
      </c>
      <c r="AA68" s="225">
        <f t="shared" si="17"/>
        <v>380314.76</v>
      </c>
      <c r="AB68" s="226">
        <f>IF(_epmOfflineCondition_,0.240106095122782,IF(AA68=0,"",IFERROR(AA68/_xll.EVGTS($B$1,1,_xll.EVPRO($B$1,$H68,"COSBASIS"),$B$3,$B$5,$B$6,$B$7,$B$9,AA$16,AA$17,AA$11),"")))</f>
        <v>0.240106095122782</v>
      </c>
      <c r="AC68" s="227"/>
      <c r="AD68" s="225">
        <v>337465.15850000002</v>
      </c>
      <c r="AE68" s="226">
        <f>IF(_epmOfflineCondition_,0.221229957260398,IF(AD68=0,"",IFERROR(AD68/_xll.EVGTS($B$1,1,_xll.EVPRO($B$1,$H68,"COSBASIS"),$B$3,$B$5,$B$6,$B$7,$B$9,AD$16,AD$17,AD$18),"")))</f>
        <v>0.22122995726039801</v>
      </c>
      <c r="AF68" s="228">
        <f t="shared" si="18"/>
        <v>42849.60149999999</v>
      </c>
      <c r="AG68" s="225">
        <v>177381.86</v>
      </c>
      <c r="AH68" s="226">
        <f>IF(_epmOfflineCondition_,0.289255509816948,IF(AG68=0,"",IFERROR(AG68/_xll.EVGTS($B$1,1,_xll.EVPRO($B$1,$H68,"COSBASIS"),$B$3,$B$5,$B$6,$B$7,$B$9,AG$16,AG$17,AG$18),"")))</f>
        <v>0.28925550981694798</v>
      </c>
      <c r="AI68" s="455">
        <f t="shared" si="19"/>
        <v>202932.90000000002</v>
      </c>
      <c r="AJ68" s="229">
        <f t="shared" si="20"/>
        <v>8.9576456179193062</v>
      </c>
      <c r="AK68" s="230">
        <f t="shared" si="21"/>
        <v>8.8712640189714556</v>
      </c>
      <c r="AL68" s="232">
        <f t="shared" si="22"/>
        <v>10.317697766402977</v>
      </c>
      <c r="AM68" s="427" t="str">
        <f t="shared" si="23"/>
        <v>1.89 pts.</v>
      </c>
      <c r="AN68" s="456" t="str">
        <f t="shared" si="24"/>
        <v>-4.91 pts.</v>
      </c>
      <c r="AO68" s="11"/>
      <c r="AP68" s="11"/>
    </row>
    <row r="69" spans="1:42" x14ac:dyDescent="0.35">
      <c r="A69" s="61" t="str">
        <f>IF(_epmOfflineCondition_,"Evdre:Ok",_xll.EVDRE($B$1,A72:B79,A82:B88))</f>
        <v>Evdre:Ok</v>
      </c>
      <c r="B69" s="11"/>
      <c r="C69" s="11"/>
      <c r="D69" s="11"/>
      <c r="E69" s="11"/>
      <c r="F69" s="11"/>
      <c r="G69" s="11"/>
      <c r="H69" s="396" t="s">
        <v>175</v>
      </c>
      <c r="I69" s="89" t="str">
        <f>IF(_epmOfflineCondition_,"B1",_xll.EVPRO($B$1,$H69,"STYLE"))</f>
        <v>B1</v>
      </c>
      <c r="J69" s="89" t="str">
        <f>IF(_epmOfflineCondition_,"Y",_xll.EVPRO($B$1,$H69,"CALC"))</f>
        <v>Y</v>
      </c>
      <c r="K69" s="265" t="str">
        <f t="shared" si="16"/>
        <v/>
      </c>
      <c r="L69" s="265"/>
      <c r="M69" s="265"/>
      <c r="N69" s="106" t="str">
        <f>IF(_epmOfflineCondition_,"BLANKROW",IF(_xll.EVDES(H69,$B$1)="#NODATA","",_xll.EVDES(H69,$B$1)))</f>
        <v>BLANKROW</v>
      </c>
      <c r="O69" s="205"/>
      <c r="P69" s="205"/>
      <c r="Q69" s="205"/>
      <c r="R69" s="205"/>
      <c r="S69" s="205"/>
      <c r="T69" s="205"/>
      <c r="U69" s="205"/>
      <c r="V69" s="205"/>
      <c r="W69" s="205"/>
      <c r="X69" s="205"/>
      <c r="Y69" s="205"/>
      <c r="Z69" s="205"/>
      <c r="AA69" s="205"/>
      <c r="AB69" s="206" t="str">
        <f>IF(_epmOfflineCondition_,"",IF(O69=0,"",IFERROR(O69/_xll.EVGTS($B$1,1,INDEX($C$141:$C$164,MATCH($H69,$A$141:$A$164,0)),$B$3,$B$5,$B$6,$B$7,$B$9,O$16,O$17,O$18),"")))</f>
        <v/>
      </c>
      <c r="AC69" s="11"/>
      <c r="AD69" s="205"/>
      <c r="AE69" s="206" t="str">
        <f>IF(_epmOfflineCondition_,"",IF(AD69=0,"",IFERROR(AD69/_xll.EVGTS($B$1,1,INDEX($C$141:$C$164,MATCH($H69,$A$141:$A$164,0)),$B$3,$B$5,$B$6,$B$7,$B$9,AD$16,AD$17,AD$18),"")))</f>
        <v/>
      </c>
      <c r="AF69" s="207" t="str">
        <f t="shared" si="18"/>
        <v/>
      </c>
      <c r="AG69" s="205"/>
      <c r="AH69" s="206" t="str">
        <f>IF(_epmOfflineCondition_,"",IF(AG69=0,"",IFERROR(AG69/_xll.EVGTS($B$1,1,INDEX($C$141:$C$164,MATCH($H69,$A$141:$A$164,0)),$B$3,$B$5,$B$6,$B$7,$B$9,AG$16,AG$17,AG$18),"")))</f>
        <v/>
      </c>
      <c r="AI69" s="207" t="str">
        <f t="shared" si="19"/>
        <v/>
      </c>
      <c r="AJ69" s="11"/>
      <c r="AK69" s="11"/>
      <c r="AL69" s="11"/>
      <c r="AM69" s="11"/>
      <c r="AN69" s="11"/>
      <c r="AO69" s="11"/>
      <c r="AP69" s="11"/>
    </row>
    <row r="70" spans="1:42" x14ac:dyDescent="0.35">
      <c r="A70" s="11"/>
      <c r="B70" s="11"/>
      <c r="C70" s="11"/>
      <c r="D70" s="11"/>
      <c r="E70" s="11"/>
      <c r="F70" s="11"/>
      <c r="G70" s="11"/>
      <c r="H70" s="396" t="s">
        <v>292</v>
      </c>
      <c r="I70" s="89" t="str">
        <f>IF(_epmOfflineCondition_,"T3",_xll.EVPRO($B$1,$H70,"STYLE"))</f>
        <v>T3</v>
      </c>
      <c r="J70" s="89" t="str">
        <f>IF(_epmOfflineCondition_,"Y",_xll.EVPRO($B$1,$H70,"CALC"))</f>
        <v>Y</v>
      </c>
      <c r="K70" s="265" t="str">
        <f t="shared" si="16"/>
        <v/>
      </c>
      <c r="L70" s="265"/>
      <c r="M70" s="265"/>
      <c r="N70" s="106" t="str">
        <f>IF(_epmOfflineCondition_,"Gross Profit",IF(_xll.EVDES(H70,$B$1)="#NODATA","",_xll.EVDES(H70,$B$1)))</f>
        <v>Gross Profit</v>
      </c>
      <c r="O70" s="123">
        <f t="shared" ref="O70:Z70" si="25">SUMIF($H$35:$H$68,"400000",O35:O68)-SUMIF($H$35:$H$68,"500001",O35:O68)</f>
        <v>48700.299999999996</v>
      </c>
      <c r="P70" s="123">
        <f t="shared" si="25"/>
        <v>89911.989999999991</v>
      </c>
      <c r="Q70" s="123">
        <f t="shared" si="25"/>
        <v>105459.9</v>
      </c>
      <c r="R70" s="123">
        <f t="shared" si="25"/>
        <v>116011.04000000001</v>
      </c>
      <c r="S70" s="123">
        <f t="shared" si="25"/>
        <v>103160.09</v>
      </c>
      <c r="T70" s="123">
        <f t="shared" si="25"/>
        <v>106666.67000000001</v>
      </c>
      <c r="U70" s="123">
        <f t="shared" si="25"/>
        <v>115784.68</v>
      </c>
      <c r="V70" s="123">
        <f t="shared" si="25"/>
        <v>74077.599999999991</v>
      </c>
      <c r="W70" s="123">
        <f t="shared" si="25"/>
        <v>69114.69</v>
      </c>
      <c r="X70" s="123">
        <f t="shared" si="25"/>
        <v>90160.53</v>
      </c>
      <c r="Y70" s="123">
        <f t="shared" si="25"/>
        <v>117936.06999999999</v>
      </c>
      <c r="Z70" s="123">
        <f t="shared" si="25"/>
        <v>166646.31</v>
      </c>
      <c r="AA70" s="123">
        <f>SUM(O70:Z70)</f>
        <v>1203629.8699999999</v>
      </c>
      <c r="AB70" s="192">
        <f>IF(AA70=0,"",IFERROR(AA70/AA$19,""))</f>
        <v>0.75989390487721775</v>
      </c>
      <c r="AC70" s="11"/>
      <c r="AD70" s="123">
        <f>SUMIF($H$35:$H$68,"400000",AD35:AD68)-SUMIF($H$35:$H$68,"500001",AD35:AD68)</f>
        <v>1187939.27894148</v>
      </c>
      <c r="AE70" s="192">
        <f>IF(AD70=0,"",IFERROR(AD70/AD$19,""))</f>
        <v>0.77877004273960193</v>
      </c>
      <c r="AF70" s="125">
        <f t="shared" si="18"/>
        <v>15690.591058519902</v>
      </c>
      <c r="AG70" s="123">
        <f>SUMIF($H$35:$H$68,"400000",AG35:AG68)-SUMIF($H$35:$H$68,"500001",AG35:AG68)</f>
        <v>435854.03</v>
      </c>
      <c r="AH70" s="192">
        <f>IF(AG70=0,"",IFERROR(AG70/AG$19,""))</f>
        <v>0.71074449018305175</v>
      </c>
      <c r="AI70" s="125">
        <f t="shared" si="19"/>
        <v>767775.83999999985</v>
      </c>
      <c r="AJ70" s="193">
        <f>IFERROR(AA70/AA$20,0)</f>
        <v>28.349385731445931</v>
      </c>
      <c r="AK70" s="194">
        <f>IFERROR(AD70/AD$20,0)</f>
        <v>31.228477122909997</v>
      </c>
      <c r="AL70" s="195">
        <f>IFERROR(AG70/AG$20,0)</f>
        <v>25.352142275476968</v>
      </c>
      <c r="AM70" s="407" t="str">
        <f>+IFERROR(ROUND(($AB70-AE70)*100,2)&amp;" pts.",0)</f>
        <v>-1.89 pts.</v>
      </c>
      <c r="AN70" s="408" t="str">
        <f>+IFERROR(ROUND(($AB70-AH70)*100,2)&amp;" pts.",0)</f>
        <v>4.91 pts.</v>
      </c>
      <c r="AO70" s="11"/>
      <c r="AP70" s="11"/>
    </row>
    <row r="71" spans="1:42" x14ac:dyDescent="0.35">
      <c r="A71" s="62" t="s">
        <v>0</v>
      </c>
      <c r="B71" s="63" t="s">
        <v>1</v>
      </c>
      <c r="C71" s="11"/>
      <c r="D71" s="11"/>
      <c r="E71" s="11"/>
      <c r="F71" s="11"/>
      <c r="G71" s="11"/>
      <c r="H71" s="11"/>
      <c r="I71" s="59"/>
      <c r="J71" s="59"/>
      <c r="K71" s="11"/>
      <c r="L71" s="11"/>
      <c r="M71" s="11"/>
      <c r="N71" s="11"/>
      <c r="O71" s="393"/>
      <c r="P71" s="394"/>
      <c r="Q71" s="394"/>
      <c r="R71" s="394"/>
      <c r="S71" s="394"/>
      <c r="T71" s="394"/>
      <c r="U71" s="394"/>
      <c r="V71" s="394"/>
      <c r="W71" s="394"/>
      <c r="X71" s="394"/>
      <c r="Y71" s="394"/>
      <c r="Z71" s="394"/>
      <c r="AA71" s="394"/>
      <c r="AB71" s="118"/>
      <c r="AC71" s="11"/>
      <c r="AD71" s="393"/>
      <c r="AE71" s="204"/>
      <c r="AF71" s="118"/>
      <c r="AG71" s="393"/>
      <c r="AH71" s="204"/>
      <c r="AI71" s="118"/>
      <c r="AJ71" s="11"/>
      <c r="AK71" s="11"/>
      <c r="AL71" s="11"/>
      <c r="AM71" s="11"/>
      <c r="AN71" s="11"/>
      <c r="AO71" s="11"/>
      <c r="AP71" s="11"/>
    </row>
    <row r="72" spans="1:42" x14ac:dyDescent="0.35">
      <c r="A72" s="65" t="s">
        <v>2</v>
      </c>
      <c r="B72" s="66" t="str">
        <f>IF(_epmOfflineCondition_,"'FB_Cons'!$B$2:$B$10",_xll.EVRNG($B$2:$B$10))</f>
        <v>'FB_Cons'!$B$2:$B$10</v>
      </c>
      <c r="C72" s="11"/>
      <c r="D72" s="11"/>
      <c r="E72" s="11"/>
      <c r="F72" s="11"/>
      <c r="G72" s="11"/>
      <c r="H72" s="11" t="s">
        <v>73</v>
      </c>
      <c r="I72" s="59" t="str">
        <f>IF(_epmOfflineCondition_,"B1",_xll.EVPRO($B$1,$H72,"STYLE"))</f>
        <v>B1</v>
      </c>
      <c r="J72" s="59" t="str">
        <f>IF(_epmOfflineCondition_,"Y",_xll.EVPRO($B$1,$H72,"CALC"))</f>
        <v>Y</v>
      </c>
      <c r="K72" s="11"/>
      <c r="L72" s="11"/>
      <c r="M72" s="11"/>
      <c r="N72" s="105" t="str">
        <f>IF(_epmOfflineCondition_,"Labor &amp; Related Expenses",IF(_xll.EVDES(H72,$B$1)="#NODATA","",_xll.EVDES(H72,$B$1)))</f>
        <v>Labor &amp; Related Expenses</v>
      </c>
      <c r="O72" s="203"/>
      <c r="P72" s="204"/>
      <c r="Q72" s="204"/>
      <c r="R72" s="204"/>
      <c r="S72" s="204"/>
      <c r="T72" s="204"/>
      <c r="U72" s="204"/>
      <c r="V72" s="204"/>
      <c r="W72" s="204"/>
      <c r="X72" s="204"/>
      <c r="Y72" s="204"/>
      <c r="Z72" s="204"/>
      <c r="AA72" s="204"/>
      <c r="AB72" s="410"/>
      <c r="AC72" s="11"/>
      <c r="AD72" s="411"/>
      <c r="AE72" s="412"/>
      <c r="AF72" s="118"/>
      <c r="AG72" s="204"/>
      <c r="AH72" s="412"/>
      <c r="AI72" s="118"/>
      <c r="AJ72" s="11"/>
      <c r="AK72" s="11"/>
      <c r="AL72" s="11"/>
      <c r="AM72" s="11"/>
      <c r="AN72" s="11"/>
      <c r="AO72" s="11"/>
      <c r="AP72" s="11"/>
    </row>
    <row r="73" spans="1:42" x14ac:dyDescent="0.35">
      <c r="A73" s="65" t="s">
        <v>3</v>
      </c>
      <c r="B73" s="66" t="str">
        <f>IF(_epmOfflineCondition_,"'FB_Cons'!$O$16:$AN$18",_xll.EVRNG($O$16:$AN$18))</f>
        <v>'FB_Cons'!$O$16:$AN$18</v>
      </c>
      <c r="C73" s="11"/>
      <c r="D73" s="11"/>
      <c r="E73" s="11"/>
      <c r="F73" s="11"/>
      <c r="G73" s="11"/>
      <c r="H73" s="11" t="s">
        <v>74</v>
      </c>
      <c r="I73" s="59" t="str">
        <f>IF(_epmOfflineCondition_,"B1",_xll.EVPRO($B$1,$H73,"STYLE"))</f>
        <v>B1</v>
      </c>
      <c r="J73" s="59" t="str">
        <f>IF(_epmOfflineCondition_,"Y",_xll.EVPRO($B$1,$H73,"CALC"))</f>
        <v>Y</v>
      </c>
      <c r="K73" s="11"/>
      <c r="L73" s="11"/>
      <c r="M73" s="11"/>
      <c r="N73" s="53" t="str">
        <f>IF(_epmOfflineCondition_,"Salaries &amp; Wages",IF(_xll.EVDES(H73,$B$1)="#NODATA","",_xll.EVDES(H73,$B$1)))</f>
        <v>Salaries &amp; Wages</v>
      </c>
      <c r="O73" s="119"/>
      <c r="P73" s="120"/>
      <c r="Q73" s="120"/>
      <c r="R73" s="120"/>
      <c r="S73" s="120"/>
      <c r="T73" s="120"/>
      <c r="U73" s="120"/>
      <c r="V73" s="120"/>
      <c r="W73" s="120"/>
      <c r="X73" s="120"/>
      <c r="Y73" s="120"/>
      <c r="Z73" s="120"/>
      <c r="AA73" s="120"/>
      <c r="AB73" s="121"/>
      <c r="AC73" s="11"/>
      <c r="AD73" s="119"/>
      <c r="AE73" s="120"/>
      <c r="AF73" s="121"/>
      <c r="AG73" s="120"/>
      <c r="AH73" s="120"/>
      <c r="AI73" s="121"/>
      <c r="AJ73" s="11"/>
      <c r="AK73" s="11"/>
      <c r="AL73" s="11"/>
      <c r="AM73" s="11"/>
      <c r="AN73" s="11"/>
      <c r="AO73" s="11"/>
      <c r="AP73" s="11"/>
    </row>
    <row r="74" spans="1:42" x14ac:dyDescent="0.35">
      <c r="A74" s="65" t="s">
        <v>4</v>
      </c>
      <c r="B74" s="66" t="str">
        <f>IF(_epmOfflineCondition_,"'FB_Cons'!$H$74:$H$75,'FB_Cons'!$H$77:$H$89,'FB_Cons'!$H$92:$H$115",_xll.EVRNG(H74:H75,H77:H89,H92:H115))</f>
        <v>'FB_Cons'!$H$74:$H$75,'FB_Cons'!$H$77:$H$89,'FB_Cons'!$H$92:$H$115</v>
      </c>
      <c r="C74" s="11"/>
      <c r="D74" s="11"/>
      <c r="E74" s="11"/>
      <c r="F74" s="11"/>
      <c r="G74" s="11"/>
      <c r="H74" s="396" t="s">
        <v>881</v>
      </c>
      <c r="I74" s="122" t="str">
        <f>IF(_epmOfflineCondition_,"T3",_xll.EVPRO($B$1,$H74,"STYLE"))</f>
        <v>T3</v>
      </c>
      <c r="J74" s="122" t="str">
        <f>IF(_epmOfflineCondition_,"Y",_xll.EVPRO($B$1,$H74,"CALC"))</f>
        <v>Y</v>
      </c>
      <c r="K74" s="179" t="str">
        <f t="shared" ref="K74:K89" si="26">IF(AND(I74&gt;="T3"),"&gt;","")</f>
        <v>&gt;</v>
      </c>
      <c r="L74" s="90" t="str">
        <f>IF(_epmOfflineCondition_,"",_xll.EVPRO($B$1,H74,"JDEID"))</f>
        <v/>
      </c>
      <c r="M74" s="90" t="str">
        <f>IF(_epmOfflineCondition_,"",IF(AND(I74="N",J74="N"),_xll.EVPRO($B$1,H74,"PSFTID"),""))</f>
        <v/>
      </c>
      <c r="N74" s="90" t="str">
        <f>IF(_epmOfflineCondition_,"Management - F&amp;B Service",IF(_xll.EVDES(H74,$B$1)="#NODATA","",_xll.EVDES(H74,$B$1)))</f>
        <v>Management - F&amp;B Service</v>
      </c>
      <c r="O74" s="210"/>
      <c r="P74" s="210">
        <v>2416.67</v>
      </c>
      <c r="Q74" s="210">
        <v>4833.34</v>
      </c>
      <c r="R74" s="210">
        <v>2416.67</v>
      </c>
      <c r="S74" s="210">
        <v>11916.68</v>
      </c>
      <c r="T74" s="210">
        <v>7448.73</v>
      </c>
      <c r="U74" s="210">
        <v>9397.39</v>
      </c>
      <c r="V74" s="210">
        <v>11500</v>
      </c>
      <c r="W74" s="210">
        <v>11277.01</v>
      </c>
      <c r="X74" s="210">
        <v>11500</v>
      </c>
      <c r="Y74" s="210">
        <v>10969.45</v>
      </c>
      <c r="Z74" s="210">
        <v>10438.67</v>
      </c>
      <c r="AA74" s="250">
        <f t="shared" ref="AA74:AA89" si="27">IF($I74="B1","",SUM(O74:Z74))</f>
        <v>94114.609999999986</v>
      </c>
      <c r="AB74" s="211">
        <f t="shared" ref="AB74:AB89" si="28">IF(AA74=0,"",IFERROR(AA74/AA$19,""))</f>
        <v>5.9417866140939524E-2</v>
      </c>
      <c r="AC74" s="140"/>
      <c r="AD74" s="210">
        <v>71169.403846185</v>
      </c>
      <c r="AE74" s="211">
        <f t="shared" ref="AE74:AE89" si="29">IF(AD74=0,"",IFERROR(AD74/AD$19,""))</f>
        <v>4.6656088116247732E-2</v>
      </c>
      <c r="AF74" s="253">
        <f t="shared" ref="AF74:AF89" si="30">IF(AND($AA74="",AD74=""),"",$AA74-AD74)</f>
        <v>22945.206153814986</v>
      </c>
      <c r="AG74" s="210">
        <v>33980.11</v>
      </c>
      <c r="AH74" s="211">
        <f t="shared" ref="AH74:AH89" si="31">IF(AG74=0,"",IFERROR(AG74/AG$19,""))</f>
        <v>5.5411156708391612E-2</v>
      </c>
      <c r="AI74" s="253">
        <f t="shared" ref="AI74:AI89" si="32">IF(AND($AA74="",AG74=""),"",$AA74-AG74)</f>
        <v>60134.499999999985</v>
      </c>
      <c r="AJ74" s="212">
        <f t="shared" ref="AJ74:AJ89" si="33">IFERROR(AA74/AA$20,0)</f>
        <v>2.2167041948324182</v>
      </c>
      <c r="AK74" s="213">
        <f t="shared" ref="AK74:AK89" si="34">IFERROR(AD74/AD$20,0)</f>
        <v>1.8708970561543457</v>
      </c>
      <c r="AL74" s="215">
        <f t="shared" ref="AL74:AL89" si="35">IFERROR(AG74/AG$20,0)</f>
        <v>1.9765070963238716</v>
      </c>
      <c r="AM74" s="423" t="str">
        <f t="shared" ref="AM74:AM89" si="36">+IFERROR(ROUND(($AB74-AE74)*100,2)&amp;" pts.",0)</f>
        <v>1.28 pts.</v>
      </c>
      <c r="AN74" s="424" t="str">
        <f t="shared" ref="AN74:AN89" si="37">+IFERROR(ROUND(($AB74-AH74)*100,2)&amp;" pts.",0)</f>
        <v>0.4 pts.</v>
      </c>
      <c r="AO74" s="11"/>
      <c r="AP74" s="11"/>
    </row>
    <row r="75" spans="1:42" x14ac:dyDescent="0.35">
      <c r="A75" s="65" t="s">
        <v>5</v>
      </c>
      <c r="B75" s="66"/>
      <c r="C75" s="11"/>
      <c r="D75" s="11"/>
      <c r="E75" s="11"/>
      <c r="F75" s="11"/>
      <c r="G75" s="11"/>
      <c r="H75" s="396" t="s">
        <v>882</v>
      </c>
      <c r="I75" s="122" t="str">
        <f>IF(_epmOfflineCondition_,"T3",_xll.EVPRO($B$1,$H75,"STYLE"))</f>
        <v>T3</v>
      </c>
      <c r="J75" s="122" t="str">
        <f>IF(_epmOfflineCondition_,"Y",_xll.EVPRO($B$1,$H75,"CALC"))</f>
        <v>Y</v>
      </c>
      <c r="K75" s="179" t="str">
        <f t="shared" si="26"/>
        <v>&gt;</v>
      </c>
      <c r="L75" s="90" t="str">
        <f>IF(_epmOfflineCondition_,"",_xll.EVPRO($B$1,H75,"JDEID"))</f>
        <v/>
      </c>
      <c r="M75" s="90" t="str">
        <f>IF(_epmOfflineCondition_,"",IF(AND(I75="N",J75="N"),_xll.EVPRO($B$1,H75,"PSFTID"),""))</f>
        <v/>
      </c>
      <c r="N75" s="90" t="str">
        <f>IF(_epmOfflineCondition_,"Management - F&amp;B Kitchen",IF(_xll.EVDES(H75,$B$1)="#NODATA","",_xll.EVDES(H75,$B$1)))</f>
        <v>Management - F&amp;B Kitchen</v>
      </c>
      <c r="O75" s="210">
        <v>6746.36</v>
      </c>
      <c r="P75" s="210">
        <v>11959.01</v>
      </c>
      <c r="Q75" s="210">
        <v>11959.02</v>
      </c>
      <c r="R75" s="210">
        <v>13464.5</v>
      </c>
      <c r="S75" s="210">
        <v>11969.7</v>
      </c>
      <c r="T75" s="210">
        <v>8900.33</v>
      </c>
      <c r="U75" s="210">
        <v>9903.65</v>
      </c>
      <c r="V75" s="210">
        <v>7750</v>
      </c>
      <c r="W75" s="210">
        <v>12916.66</v>
      </c>
      <c r="X75" s="210">
        <v>12916.66</v>
      </c>
      <c r="Y75" s="210">
        <v>12570.65</v>
      </c>
      <c r="Z75" s="210">
        <v>11974.6</v>
      </c>
      <c r="AA75" s="250">
        <f t="shared" si="27"/>
        <v>133031.13999999998</v>
      </c>
      <c r="AB75" s="211">
        <f t="shared" si="28"/>
        <v>8.3987241397447066E-2</v>
      </c>
      <c r="AC75" s="140"/>
      <c r="AD75" s="210">
        <v>125764.314793917</v>
      </c>
      <c r="AE75" s="211">
        <f t="shared" si="29"/>
        <v>8.2446537919384916E-2</v>
      </c>
      <c r="AF75" s="253">
        <f t="shared" si="30"/>
        <v>7266.8252060829836</v>
      </c>
      <c r="AG75" s="210">
        <v>75505.91</v>
      </c>
      <c r="AH75" s="211">
        <f t="shared" si="31"/>
        <v>0.123127023762422</v>
      </c>
      <c r="AI75" s="253">
        <f t="shared" si="32"/>
        <v>57525.229999999981</v>
      </c>
      <c r="AJ75" s="212">
        <f t="shared" si="33"/>
        <v>3.1333146477612641</v>
      </c>
      <c r="AK75" s="213">
        <f t="shared" si="34"/>
        <v>3.3060848286116489</v>
      </c>
      <c r="AL75" s="215">
        <f t="shared" si="35"/>
        <v>4.391921242438344</v>
      </c>
      <c r="AM75" s="423" t="str">
        <f t="shared" si="36"/>
        <v>0.15 pts.</v>
      </c>
      <c r="AN75" s="424" t="str">
        <f t="shared" si="37"/>
        <v>-3.91 pts.</v>
      </c>
      <c r="AO75" s="11"/>
      <c r="AP75" s="11"/>
    </row>
    <row r="76" spans="1:42" x14ac:dyDescent="0.35">
      <c r="A76" s="65" t="s">
        <v>6</v>
      </c>
      <c r="B76" s="66"/>
      <c r="C76" s="11"/>
      <c r="D76" s="11"/>
      <c r="E76" s="11"/>
      <c r="F76" s="11"/>
      <c r="G76" s="11"/>
      <c r="H76" s="396" t="s">
        <v>75</v>
      </c>
      <c r="I76" s="89" t="str">
        <f>IF(_epmOfflineCondition_,"B1",_xll.EVPRO($B$1,$H76,"STYLE"))</f>
        <v>B1</v>
      </c>
      <c r="J76" s="89" t="str">
        <f>IF(_epmOfflineCondition_,"Y",_xll.EVPRO($B$1,$H76,"CALC"))</f>
        <v>Y</v>
      </c>
      <c r="K76" s="265" t="str">
        <f t="shared" si="26"/>
        <v/>
      </c>
      <c r="L76" s="106" t="str">
        <f>IF(_epmOfflineCondition_,"",_xll.EVPRO($B$1,H76,"JDEID"))</f>
        <v/>
      </c>
      <c r="M76" s="90" t="str">
        <f>IF(_epmOfflineCondition_,"",IF(AND(I76="N",J76="N"),_xll.EVPRO($B$1,H76,"PSFTID"),""))</f>
        <v/>
      </c>
      <c r="N76" s="106" t="str">
        <f>IF(_epmOfflineCondition_,"Non-Management",IF(_xll.EVDES(H76,$B$1)="#NODATA","",_xll.EVDES(H76,$B$1)))</f>
        <v>Non-Management</v>
      </c>
      <c r="O76" s="197"/>
      <c r="P76" s="197"/>
      <c r="Q76" s="197"/>
      <c r="R76" s="197"/>
      <c r="S76" s="197"/>
      <c r="T76" s="197"/>
      <c r="U76" s="197"/>
      <c r="V76" s="197"/>
      <c r="W76" s="197"/>
      <c r="X76" s="197"/>
      <c r="Y76" s="197"/>
      <c r="Z76" s="197"/>
      <c r="AA76" s="180" t="str">
        <f t="shared" si="27"/>
        <v/>
      </c>
      <c r="AB76" s="198" t="str">
        <f t="shared" si="28"/>
        <v/>
      </c>
      <c r="AC76" s="11"/>
      <c r="AD76" s="197"/>
      <c r="AE76" s="198" t="str">
        <f t="shared" si="29"/>
        <v/>
      </c>
      <c r="AF76" s="199" t="str">
        <f t="shared" si="30"/>
        <v/>
      </c>
      <c r="AG76" s="197"/>
      <c r="AH76" s="198" t="str">
        <f t="shared" si="31"/>
        <v/>
      </c>
      <c r="AI76" s="199" t="str">
        <f t="shared" si="32"/>
        <v/>
      </c>
      <c r="AJ76" s="181">
        <f t="shared" si="33"/>
        <v>0</v>
      </c>
      <c r="AK76" s="182">
        <f t="shared" si="34"/>
        <v>0</v>
      </c>
      <c r="AL76" s="184">
        <f t="shared" si="35"/>
        <v>0</v>
      </c>
      <c r="AM76" s="385">
        <f t="shared" si="36"/>
        <v>0</v>
      </c>
      <c r="AN76" s="386">
        <f t="shared" si="37"/>
        <v>0</v>
      </c>
      <c r="AO76" s="11"/>
      <c r="AP76" s="11"/>
    </row>
    <row r="77" spans="1:42" x14ac:dyDescent="0.35">
      <c r="A77" s="65" t="s">
        <v>7</v>
      </c>
      <c r="B77" s="66" t="str">
        <f>IF(_epmOfflineCondition_,"'FB_Cons'!$A$91:$F$97",_xll.EVRNG(A91:F97))</f>
        <v>'FB_Cons'!$A$91:$F$97</v>
      </c>
      <c r="C77" s="11"/>
      <c r="D77" s="11"/>
      <c r="E77" s="11"/>
      <c r="F77" s="11"/>
      <c r="G77" s="11"/>
      <c r="H77" s="396" t="s">
        <v>863</v>
      </c>
      <c r="I77" s="122" t="str">
        <f>IF(_epmOfflineCondition_,"T3",_xll.EVPRO($B$1,$H77,"STYLE"))</f>
        <v>T3</v>
      </c>
      <c r="J77" s="122" t="str">
        <f>IF(_epmOfflineCondition_,"Y",_xll.EVPRO($B$1,$H77,"CALC"))</f>
        <v>Y</v>
      </c>
      <c r="K77" s="179" t="str">
        <f t="shared" si="26"/>
        <v>&gt;</v>
      </c>
      <c r="L77" s="90" t="str">
        <f>IF(_epmOfflineCondition_,"",_xll.EVPRO($B$1,H77,"JDEID"))</f>
        <v/>
      </c>
      <c r="M77" s="90" t="str">
        <f>IF(_epmOfflineCondition_,"",IF(AND(I77="N",J77="N"),_xll.EVPRO($B$1,H77,"PSFTID"),""))</f>
        <v/>
      </c>
      <c r="N77" s="90" t="str">
        <f>IF(_epmOfflineCondition_,"Banquet &amp; Conf/Catering Service",IF(_xll.EVDES(H77,$B$1)="#NODATA","",_xll.EVDES(H77,$B$1)))</f>
        <v>Banquet &amp; Conf/Catering Service</v>
      </c>
      <c r="O77" s="216"/>
      <c r="P77" s="216"/>
      <c r="Q77" s="216"/>
      <c r="R77" s="216"/>
      <c r="S77" s="216"/>
      <c r="T77" s="216"/>
      <c r="U77" s="216"/>
      <c r="V77" s="216"/>
      <c r="W77" s="216"/>
      <c r="X77" s="216">
        <v>188.46</v>
      </c>
      <c r="Y77" s="216">
        <v>591.55999999999995</v>
      </c>
      <c r="Z77" s="216">
        <v>186.72</v>
      </c>
      <c r="AA77" s="251">
        <f t="shared" si="27"/>
        <v>966.74</v>
      </c>
      <c r="AB77" s="218">
        <f t="shared" si="28"/>
        <v>6.1033699138839212E-4</v>
      </c>
      <c r="AC77" s="140"/>
      <c r="AD77" s="216"/>
      <c r="AE77" s="218" t="str">
        <f t="shared" si="29"/>
        <v/>
      </c>
      <c r="AF77" s="233">
        <f t="shared" si="30"/>
        <v>966.74</v>
      </c>
      <c r="AG77" s="216">
        <v>2046.46</v>
      </c>
      <c r="AH77" s="218">
        <f t="shared" si="31"/>
        <v>3.3371497548846988E-3</v>
      </c>
      <c r="AI77" s="233">
        <f t="shared" si="32"/>
        <v>-1079.72</v>
      </c>
      <c r="AJ77" s="212">
        <f t="shared" si="33"/>
        <v>2.2769861271404009E-2</v>
      </c>
      <c r="AK77" s="213">
        <f t="shared" si="34"/>
        <v>0</v>
      </c>
      <c r="AL77" s="215">
        <f t="shared" si="35"/>
        <v>0.11903559795253607</v>
      </c>
      <c r="AM77" s="423">
        <f t="shared" si="36"/>
        <v>0</v>
      </c>
      <c r="AN77" s="424" t="str">
        <f t="shared" si="37"/>
        <v>-0.27 pts.</v>
      </c>
      <c r="AO77" s="11"/>
      <c r="AP77" s="11"/>
    </row>
    <row r="78" spans="1:42" x14ac:dyDescent="0.35">
      <c r="A78" s="65" t="s">
        <v>47</v>
      </c>
      <c r="B78" s="66" t="str">
        <f>IF(_epmOfflineCondition_,"'FB_Cons'!$A$114:$B$135",_xll.EVRNG($A$114:$B$135))</f>
        <v>'FB_Cons'!$A$114:$B$135</v>
      </c>
      <c r="C78" s="11"/>
      <c r="D78" s="11"/>
      <c r="E78" s="11"/>
      <c r="F78" s="11"/>
      <c r="G78" s="11"/>
      <c r="H78" s="396" t="s">
        <v>864</v>
      </c>
      <c r="I78" s="122" t="str">
        <f>IF(_epmOfflineCondition_,"T3",_xll.EVPRO($B$1,$H78,"STYLE"))</f>
        <v>T3</v>
      </c>
      <c r="J78" s="122" t="str">
        <f>IF(_epmOfflineCondition_,"Y",_xll.EVPRO($B$1,$H78,"CALC"))</f>
        <v>Y</v>
      </c>
      <c r="K78" s="179" t="str">
        <f t="shared" si="26"/>
        <v>&gt;</v>
      </c>
      <c r="L78" s="90" t="str">
        <f>IF(_epmOfflineCondition_,"",_xll.EVPRO($B$1,H78,"JDEID"))</f>
        <v/>
      </c>
      <c r="M78" s="90" t="str">
        <f>IF(_epmOfflineCondition_,"",IF(AND(I78="N",J78="N"),_xll.EVPRO($B$1,H78,"PSFTID"),""))</f>
        <v/>
      </c>
      <c r="N78" s="90" t="str">
        <f>IF(_epmOfflineCondition_,"F&amp;B Kitchen",IF(_xll.EVDES(H78,$B$1)="#NODATA","",_xll.EVDES(H78,$B$1)))</f>
        <v>F&amp;B Kitchen</v>
      </c>
      <c r="O78" s="216">
        <v>9417.81</v>
      </c>
      <c r="P78" s="216">
        <v>5730.75</v>
      </c>
      <c r="Q78" s="216">
        <v>6412.04</v>
      </c>
      <c r="R78" s="216">
        <v>4482.1000000000004</v>
      </c>
      <c r="S78" s="216">
        <v>5504</v>
      </c>
      <c r="T78" s="216">
        <v>4989</v>
      </c>
      <c r="U78" s="216">
        <v>5550.15</v>
      </c>
      <c r="V78" s="216">
        <v>4028.84</v>
      </c>
      <c r="W78" s="216">
        <v>2203.27</v>
      </c>
      <c r="X78" s="216">
        <v>3338.12</v>
      </c>
      <c r="Y78" s="216">
        <v>5844.33</v>
      </c>
      <c r="Z78" s="216">
        <v>4233.49</v>
      </c>
      <c r="AA78" s="251">
        <f t="shared" si="27"/>
        <v>61733.9</v>
      </c>
      <c r="AB78" s="218">
        <f t="shared" si="28"/>
        <v>3.8974784112245135E-2</v>
      </c>
      <c r="AC78" s="140"/>
      <c r="AD78" s="216">
        <v>126062.742857144</v>
      </c>
      <c r="AE78" s="218">
        <f t="shared" si="29"/>
        <v>8.2642176568324163E-2</v>
      </c>
      <c r="AF78" s="233">
        <f t="shared" si="30"/>
        <v>-64328.842857143994</v>
      </c>
      <c r="AG78" s="216">
        <v>56608.9</v>
      </c>
      <c r="AH78" s="218">
        <f t="shared" si="31"/>
        <v>9.2311785600154614E-2</v>
      </c>
      <c r="AI78" s="233">
        <f t="shared" si="32"/>
        <v>5125</v>
      </c>
      <c r="AJ78" s="212">
        <f t="shared" si="33"/>
        <v>1.4540334927102716</v>
      </c>
      <c r="AK78" s="213">
        <f t="shared" si="34"/>
        <v>3.3139298877914602</v>
      </c>
      <c r="AL78" s="215">
        <f t="shared" si="35"/>
        <v>3.2927466263378316</v>
      </c>
      <c r="AM78" s="423" t="str">
        <f t="shared" si="36"/>
        <v>-4.37 pts.</v>
      </c>
      <c r="AN78" s="424" t="str">
        <f t="shared" si="37"/>
        <v>-5.33 pts.</v>
      </c>
      <c r="AO78" s="11"/>
      <c r="AP78" s="11"/>
    </row>
    <row r="79" spans="1:42" x14ac:dyDescent="0.35">
      <c r="A79" s="65" t="s">
        <v>8</v>
      </c>
      <c r="B79" s="66"/>
      <c r="C79" s="11"/>
      <c r="D79" s="11"/>
      <c r="E79" s="11"/>
      <c r="F79" s="11"/>
      <c r="G79" s="11"/>
      <c r="H79" s="396" t="s">
        <v>865</v>
      </c>
      <c r="I79" s="122" t="str">
        <f>IF(_epmOfflineCondition_,"T3",_xll.EVPRO($B$1,$H79,"STYLE"))</f>
        <v>T3</v>
      </c>
      <c r="J79" s="122" t="str">
        <f>IF(_epmOfflineCondition_,"Y",_xll.EVPRO($B$1,$H79,"CALC"))</f>
        <v>Y</v>
      </c>
      <c r="K79" s="179" t="str">
        <f t="shared" si="26"/>
        <v>&gt;</v>
      </c>
      <c r="L79" s="90" t="str">
        <f>IF(_epmOfflineCondition_,"",_xll.EVPRO($B$1,H79,"JDEID"))</f>
        <v/>
      </c>
      <c r="M79" s="90" t="str">
        <f>IF(_epmOfflineCondition_,"",IF(AND(I79="N",J79="N"),_xll.EVPRO($B$1,H79,"PSFTID"),""))</f>
        <v/>
      </c>
      <c r="N79" s="90" t="str">
        <f>IF(_epmOfflineCondition_,"F&amp;B Venues",IF(_xll.EVDES(H79,$B$1)="#NODATA","",_xll.EVDES(H79,$B$1)))</f>
        <v>F&amp;B Venues</v>
      </c>
      <c r="O79" s="216">
        <v>6425.58</v>
      </c>
      <c r="P79" s="216">
        <v>10053</v>
      </c>
      <c r="Q79" s="216">
        <v>11067.92</v>
      </c>
      <c r="R79" s="216">
        <v>10248.879999999999</v>
      </c>
      <c r="S79" s="216">
        <v>9976.9</v>
      </c>
      <c r="T79" s="216">
        <v>10009.92</v>
      </c>
      <c r="U79" s="216">
        <v>14048.09</v>
      </c>
      <c r="V79" s="216">
        <v>10996.64</v>
      </c>
      <c r="W79" s="216">
        <v>9461.2000000000007</v>
      </c>
      <c r="X79" s="216">
        <v>12542.35</v>
      </c>
      <c r="Y79" s="216">
        <v>12381.1</v>
      </c>
      <c r="Z79" s="216">
        <v>13092.57</v>
      </c>
      <c r="AA79" s="251">
        <f t="shared" si="27"/>
        <v>130304.15</v>
      </c>
      <c r="AB79" s="218">
        <f t="shared" si="28"/>
        <v>8.2265596620003045E-2</v>
      </c>
      <c r="AC79" s="140"/>
      <c r="AD79" s="216">
        <v>152074.15542857099</v>
      </c>
      <c r="AE79" s="218">
        <f t="shared" si="29"/>
        <v>9.9694318238408228E-2</v>
      </c>
      <c r="AF79" s="233">
        <f t="shared" si="30"/>
        <v>-21770.005428570992</v>
      </c>
      <c r="AG79" s="216">
        <v>93034.42</v>
      </c>
      <c r="AH79" s="218">
        <f t="shared" si="31"/>
        <v>0.15171065737851711</v>
      </c>
      <c r="AI79" s="233">
        <f t="shared" si="32"/>
        <v>37269.729999999996</v>
      </c>
      <c r="AJ79" s="221">
        <f t="shared" si="33"/>
        <v>3.0690851920766891</v>
      </c>
      <c r="AK79" s="222">
        <f t="shared" si="34"/>
        <v>3.9977163546765211</v>
      </c>
      <c r="AL79" s="224">
        <f t="shared" si="35"/>
        <v>5.4114948813401584</v>
      </c>
      <c r="AM79" s="425" t="str">
        <f t="shared" si="36"/>
        <v>-1.74 pts.</v>
      </c>
      <c r="AN79" s="426" t="str">
        <f t="shared" si="37"/>
        <v>-6.94 pts.</v>
      </c>
      <c r="AO79" s="11"/>
      <c r="AP79" s="11"/>
    </row>
    <row r="80" spans="1:42" x14ac:dyDescent="0.35">
      <c r="A80" s="11"/>
      <c r="B80" s="11"/>
      <c r="C80" s="11"/>
      <c r="D80" s="11"/>
      <c r="E80" s="11"/>
      <c r="F80" s="11"/>
      <c r="G80" s="11"/>
      <c r="H80" s="396" t="s">
        <v>848</v>
      </c>
      <c r="I80" s="188" t="str">
        <f>IF(_epmOfflineCondition_,"T2",_xll.EVPRO($B$1,$H80,"STYLE"))</f>
        <v>T2</v>
      </c>
      <c r="J80" s="188" t="str">
        <f>IF(_epmOfflineCondition_,"Y",_xll.EVPRO($B$1,$H80,"CALC"))</f>
        <v>Y</v>
      </c>
      <c r="K80" s="189" t="str">
        <f t="shared" si="26"/>
        <v/>
      </c>
      <c r="L80" s="190" t="str">
        <f>IF(_epmOfflineCondition_,"",_xll.EVPRO($B$1,H80,"JDEID"))</f>
        <v/>
      </c>
      <c r="M80" s="190" t="str">
        <f>IF(_epmOfflineCondition_,"",IF(AND(I80="N",J80="N"),_xll.EVPRO($B$1,H80,"PSFTID"),""))</f>
        <v/>
      </c>
      <c r="N80" s="190" t="str">
        <f>IF(_epmOfflineCondition_,"Total Salaries and Wages",IF(_xll.EVDES(H80,$B$1)="#NODATA","",_xll.EVDES(H80,$B$1)))</f>
        <v>Total Salaries and Wages</v>
      </c>
      <c r="O80" s="225">
        <v>22589.75</v>
      </c>
      <c r="P80" s="225">
        <v>30159.43</v>
      </c>
      <c r="Q80" s="225">
        <v>34272.32</v>
      </c>
      <c r="R80" s="225">
        <v>30612.15</v>
      </c>
      <c r="S80" s="225">
        <v>39367.279999999999</v>
      </c>
      <c r="T80" s="225">
        <v>31347.98</v>
      </c>
      <c r="U80" s="225">
        <v>38899.279999999999</v>
      </c>
      <c r="V80" s="225">
        <v>34275.480000000003</v>
      </c>
      <c r="W80" s="225">
        <v>35858.14</v>
      </c>
      <c r="X80" s="225">
        <v>40485.589999999997</v>
      </c>
      <c r="Y80" s="225">
        <v>42357.09</v>
      </c>
      <c r="Z80" s="225">
        <v>39926.050000000003</v>
      </c>
      <c r="AA80" s="225">
        <f t="shared" si="27"/>
        <v>420150.54</v>
      </c>
      <c r="AB80" s="226">
        <f t="shared" si="28"/>
        <v>0.26525582526202318</v>
      </c>
      <c r="AC80" s="227"/>
      <c r="AD80" s="225">
        <v>475070.61692581599</v>
      </c>
      <c r="AE80" s="226">
        <f t="shared" si="29"/>
        <v>0.31143912084236441</v>
      </c>
      <c r="AF80" s="228">
        <f t="shared" si="30"/>
        <v>-54920.076925816014</v>
      </c>
      <c r="AG80" s="225">
        <v>261175.8</v>
      </c>
      <c r="AH80" s="226">
        <f t="shared" si="31"/>
        <v>0.42589777320437</v>
      </c>
      <c r="AI80" s="228">
        <f t="shared" si="32"/>
        <v>158974.74</v>
      </c>
      <c r="AJ80" s="229">
        <f t="shared" si="33"/>
        <v>9.8959073886520468</v>
      </c>
      <c r="AK80" s="230">
        <f t="shared" si="34"/>
        <v>12.48862812723395</v>
      </c>
      <c r="AL80" s="232">
        <f t="shared" si="35"/>
        <v>15.19170544439274</v>
      </c>
      <c r="AM80" s="427" t="str">
        <f t="shared" si="36"/>
        <v>-4.62 pts.</v>
      </c>
      <c r="AN80" s="428" t="str">
        <f t="shared" si="37"/>
        <v>-16.06 pts.</v>
      </c>
      <c r="AO80" s="11"/>
      <c r="AP80" s="11"/>
    </row>
    <row r="81" spans="1:42" x14ac:dyDescent="0.35">
      <c r="A81" s="62" t="s">
        <v>9</v>
      </c>
      <c r="B81" s="63" t="s">
        <v>10</v>
      </c>
      <c r="C81" s="11"/>
      <c r="D81" s="11"/>
      <c r="E81" s="11"/>
      <c r="F81" s="11"/>
      <c r="G81" s="11"/>
      <c r="H81" s="396" t="s">
        <v>866</v>
      </c>
      <c r="I81" s="122" t="str">
        <f>IF(_epmOfflineCondition_,"T3",_xll.EVPRO($B$1,$H81,"STYLE"))</f>
        <v>T3</v>
      </c>
      <c r="J81" s="122" t="str">
        <f>IF(_epmOfflineCondition_,"Y",_xll.EVPRO($B$1,$H81,"CALC"))</f>
        <v>Y</v>
      </c>
      <c r="K81" s="179" t="str">
        <f t="shared" si="26"/>
        <v>&gt;</v>
      </c>
      <c r="L81" s="90" t="str">
        <f>IF(_epmOfflineCondition_,"",_xll.EVPRO($B$1,H81,"JDEID"))</f>
        <v/>
      </c>
      <c r="M81" s="90" t="str">
        <f>IF(_epmOfflineCondition_,"",IF(AND(I81="N",J81="N"),_xll.EVPRO($B$1,H81,"PSFTID"),""))</f>
        <v/>
      </c>
      <c r="N81" s="90" t="str">
        <f>IF(_epmOfflineCondition_,"Service Charge Distribution",IF(_xll.EVDES(H81,$B$1)="#NODATA","",_xll.EVDES(H81,$B$1)))</f>
        <v>Service Charge Distribution</v>
      </c>
      <c r="O81" s="216">
        <v>8233.32</v>
      </c>
      <c r="P81" s="216">
        <v>17100.22</v>
      </c>
      <c r="Q81" s="216">
        <v>20505.53</v>
      </c>
      <c r="R81" s="216">
        <v>24858.79</v>
      </c>
      <c r="S81" s="216">
        <v>20028.11</v>
      </c>
      <c r="T81" s="216">
        <v>19873.02</v>
      </c>
      <c r="U81" s="216">
        <v>21617.11</v>
      </c>
      <c r="V81" s="216">
        <v>14447</v>
      </c>
      <c r="W81" s="216">
        <v>12320.08</v>
      </c>
      <c r="X81" s="216">
        <v>17430.810000000001</v>
      </c>
      <c r="Y81" s="216">
        <v>22498.95</v>
      </c>
      <c r="Z81" s="216">
        <v>30245.95</v>
      </c>
      <c r="AA81" s="216">
        <f t="shared" si="27"/>
        <v>229158.89</v>
      </c>
      <c r="AB81" s="218">
        <f t="shared" si="28"/>
        <v>0.14467607368320698</v>
      </c>
      <c r="AC81" s="140"/>
      <c r="AD81" s="216">
        <v>207036.904969839</v>
      </c>
      <c r="AE81" s="218">
        <f t="shared" si="29"/>
        <v>0.13572590972469992</v>
      </c>
      <c r="AF81" s="233">
        <f t="shared" si="30"/>
        <v>22121.985030161013</v>
      </c>
      <c r="AG81" s="216">
        <v>82783.960000000006</v>
      </c>
      <c r="AH81" s="218">
        <f t="shared" si="31"/>
        <v>0.13499529520361245</v>
      </c>
      <c r="AI81" s="233">
        <f t="shared" si="32"/>
        <v>146374.93</v>
      </c>
      <c r="AJ81" s="234">
        <f t="shared" si="33"/>
        <v>5.3974348164024777</v>
      </c>
      <c r="AK81" s="235">
        <f t="shared" si="34"/>
        <v>5.4425738462068383</v>
      </c>
      <c r="AL81" s="237">
        <f t="shared" si="35"/>
        <v>4.8152605863192184</v>
      </c>
      <c r="AM81" s="429" t="str">
        <f t="shared" si="36"/>
        <v>0.9 pts.</v>
      </c>
      <c r="AN81" s="430" t="str">
        <f t="shared" si="37"/>
        <v>0.97 pts.</v>
      </c>
      <c r="AO81" s="11"/>
      <c r="AP81" s="11"/>
    </row>
    <row r="82" spans="1:42" x14ac:dyDescent="0.35">
      <c r="A82" s="65" t="s">
        <v>11</v>
      </c>
      <c r="B82" s="66" t="s">
        <v>21</v>
      </c>
      <c r="C82" s="11"/>
      <c r="D82" s="11"/>
      <c r="E82" s="11"/>
      <c r="F82" s="11"/>
      <c r="G82" s="11"/>
      <c r="H82" s="396" t="s">
        <v>867</v>
      </c>
      <c r="I82" s="122" t="str">
        <f>IF(_epmOfflineCondition_,"T3",_xll.EVPRO($B$1,$H82,"STYLE"))</f>
        <v>T3</v>
      </c>
      <c r="J82" s="122" t="str">
        <f>IF(_epmOfflineCondition_,"Y",_xll.EVPRO($B$1,$H82,"CALC"))</f>
        <v>Y</v>
      </c>
      <c r="K82" s="179" t="str">
        <f t="shared" si="26"/>
        <v>&gt;</v>
      </c>
      <c r="L82" s="90" t="str">
        <f>IF(_epmOfflineCondition_,"",_xll.EVPRO($B$1,H82,"JDEID"))</f>
        <v/>
      </c>
      <c r="M82" s="90" t="str">
        <f>IF(_epmOfflineCondition_,"",IF(AND(I82="N",J82="N"),_xll.EVPRO($B$1,H82,"PSFTID"),""))</f>
        <v/>
      </c>
      <c r="N82" s="90" t="str">
        <f>IF(_epmOfflineCondition_,"Contracted &amp; Leased Labor",IF(_xll.EVDES(H82,$B$1)="#NODATA","",_xll.EVDES(H82,$B$1)))</f>
        <v>Contracted &amp; Leased Labor</v>
      </c>
      <c r="O82" s="216">
        <v>2535.25</v>
      </c>
      <c r="P82" s="216">
        <v>10328</v>
      </c>
      <c r="Q82" s="216">
        <v>9839.27</v>
      </c>
      <c r="R82" s="216">
        <v>39465.410000000003</v>
      </c>
      <c r="S82" s="216">
        <v>24087.32</v>
      </c>
      <c r="T82" s="216">
        <v>21239.88</v>
      </c>
      <c r="U82" s="216">
        <v>31334.65</v>
      </c>
      <c r="V82" s="216">
        <v>38300.839999999997</v>
      </c>
      <c r="W82" s="216">
        <v>39249.65</v>
      </c>
      <c r="X82" s="216">
        <v>25735.29</v>
      </c>
      <c r="Y82" s="216">
        <v>31977.62</v>
      </c>
      <c r="Z82" s="216">
        <v>40641.519999999997</v>
      </c>
      <c r="AA82" s="251">
        <f t="shared" si="27"/>
        <v>314734.7</v>
      </c>
      <c r="AB82" s="218">
        <f t="shared" si="28"/>
        <v>0.19870309481714649</v>
      </c>
      <c r="AC82" s="140"/>
      <c r="AD82" s="216"/>
      <c r="AE82" s="218" t="str">
        <f t="shared" si="29"/>
        <v/>
      </c>
      <c r="AF82" s="233">
        <f t="shared" si="30"/>
        <v>314734.7</v>
      </c>
      <c r="AG82" s="216">
        <v>88972.15</v>
      </c>
      <c r="AH82" s="218">
        <f t="shared" si="31"/>
        <v>0.14508633863552897</v>
      </c>
      <c r="AI82" s="233">
        <f t="shared" si="32"/>
        <v>225762.55000000002</v>
      </c>
      <c r="AJ82" s="212">
        <f t="shared" si="33"/>
        <v>7.413022587559178</v>
      </c>
      <c r="AK82" s="213">
        <f t="shared" si="34"/>
        <v>0</v>
      </c>
      <c r="AL82" s="215">
        <f t="shared" si="35"/>
        <v>5.1752064913913447</v>
      </c>
      <c r="AM82" s="423">
        <f t="shared" si="36"/>
        <v>0</v>
      </c>
      <c r="AN82" s="424" t="str">
        <f t="shared" si="37"/>
        <v>5.36 pts.</v>
      </c>
      <c r="AO82" s="11"/>
      <c r="AP82" s="11"/>
    </row>
    <row r="83" spans="1:42" x14ac:dyDescent="0.35">
      <c r="A83" s="65" t="s">
        <v>12</v>
      </c>
      <c r="B83" s="66" t="s">
        <v>22</v>
      </c>
      <c r="C83" s="11"/>
      <c r="D83" s="11"/>
      <c r="E83" s="11"/>
      <c r="F83" s="11"/>
      <c r="G83" s="11"/>
      <c r="H83" s="396" t="s">
        <v>849</v>
      </c>
      <c r="I83" s="122" t="str">
        <f>IF(_epmOfflineCondition_,"T3",_xll.EVPRO($B$1,$H83,"STYLE"))</f>
        <v>T3</v>
      </c>
      <c r="J83" s="122" t="str">
        <f>IF(_epmOfflineCondition_,"Y",_xll.EVPRO($B$1,$H83,"CALC"))</f>
        <v>Y</v>
      </c>
      <c r="K83" s="179" t="str">
        <f t="shared" si="26"/>
        <v>&gt;</v>
      </c>
      <c r="L83" s="90" t="str">
        <f>IF(_epmOfflineCondition_,"",_xll.EVPRO($B$1,H83,"JDEID"))</f>
        <v/>
      </c>
      <c r="M83" s="90" t="str">
        <f>IF(_epmOfflineCondition_,"",IF(AND(I83="N",J83="N"),_xll.EVPRO($B$1,H83,"PSFTID"),""))</f>
        <v/>
      </c>
      <c r="N83" s="90" t="str">
        <f>IF(_epmOfflineCondition_,"Bonuses &amp; Incentives",IF(_xll.EVDES(H83,$B$1)="#NODATA","",_xll.EVDES(H83,$B$1)))</f>
        <v>Bonuses &amp; Incentives</v>
      </c>
      <c r="O83" s="216">
        <v>860.03</v>
      </c>
      <c r="P83" s="216">
        <v>1643.47</v>
      </c>
      <c r="Q83" s="216">
        <v>1643.47</v>
      </c>
      <c r="R83" s="216">
        <v>-1970.17</v>
      </c>
      <c r="S83" s="216">
        <v>1843.47</v>
      </c>
      <c r="T83" s="216">
        <v>714.27</v>
      </c>
      <c r="U83" s="216">
        <v>2417.54</v>
      </c>
      <c r="V83" s="216">
        <v>2279.89</v>
      </c>
      <c r="W83" s="216">
        <v>2963.17</v>
      </c>
      <c r="X83" s="216">
        <v>3378.12</v>
      </c>
      <c r="Y83" s="216">
        <v>5432.46</v>
      </c>
      <c r="Z83" s="216">
        <v>1766.17</v>
      </c>
      <c r="AA83" s="251">
        <f t="shared" si="27"/>
        <v>22971.89</v>
      </c>
      <c r="AB83" s="218">
        <f t="shared" si="28"/>
        <v>1.4502962770864028E-2</v>
      </c>
      <c r="AC83" s="140"/>
      <c r="AD83" s="216">
        <v>25139.375928560599</v>
      </c>
      <c r="AE83" s="218">
        <f t="shared" si="29"/>
        <v>1.6480465974470483E-2</v>
      </c>
      <c r="AF83" s="233">
        <f t="shared" si="30"/>
        <v>-2167.4859285605999</v>
      </c>
      <c r="AG83" s="216">
        <v>1759.15</v>
      </c>
      <c r="AH83" s="218">
        <f t="shared" si="31"/>
        <v>2.8686351022279536E-3</v>
      </c>
      <c r="AI83" s="233">
        <f t="shared" si="32"/>
        <v>21212.739999999998</v>
      </c>
      <c r="AJ83" s="221">
        <f t="shared" si="33"/>
        <v>0.54106248675130131</v>
      </c>
      <c r="AK83" s="222">
        <f t="shared" si="34"/>
        <v>0.66086241947385149</v>
      </c>
      <c r="AL83" s="224">
        <f t="shared" si="35"/>
        <v>0.10232375523499303</v>
      </c>
      <c r="AM83" s="425" t="str">
        <f t="shared" si="36"/>
        <v>-0.2 pts.</v>
      </c>
      <c r="AN83" s="426" t="str">
        <f t="shared" si="37"/>
        <v>1.16 pts.</v>
      </c>
      <c r="AO83" s="11"/>
      <c r="AP83" s="11"/>
    </row>
    <row r="84" spans="1:42" x14ac:dyDescent="0.35">
      <c r="A84" s="65" t="s">
        <v>13</v>
      </c>
      <c r="B84" s="66" t="s">
        <v>737</v>
      </c>
      <c r="C84" s="11"/>
      <c r="D84" s="11"/>
      <c r="E84" s="11"/>
      <c r="F84" s="11"/>
      <c r="G84" s="11"/>
      <c r="H84" s="396" t="s">
        <v>850</v>
      </c>
      <c r="I84" s="188" t="str">
        <f>IF(_epmOfflineCondition_,"T2",_xll.EVPRO($B$1,$H84,"STYLE"))</f>
        <v>T2</v>
      </c>
      <c r="J84" s="188" t="str">
        <f>IF(_epmOfflineCondition_,"Y",_xll.EVPRO($B$1,$H84,"CALC"))</f>
        <v>Y</v>
      </c>
      <c r="K84" s="189" t="str">
        <f t="shared" si="26"/>
        <v/>
      </c>
      <c r="L84" s="190" t="str">
        <f>IF(_epmOfflineCondition_,"",_xll.EVPRO($B$1,H84,"JDEID"))</f>
        <v/>
      </c>
      <c r="M84" s="190" t="str">
        <f>IF(_epmOfflineCondition_,"",IF(AND(I84="N",J84="N"),_xll.EVPRO($B$1,H84,"PSFTID"),""))</f>
        <v/>
      </c>
      <c r="N84" s="190" t="str">
        <f>IF(_epmOfflineCondition_,"Total Labor Expense",IF(_xll.EVDES(H84,$B$1)="#NODATA","",_xll.EVDES(H84,$B$1)))</f>
        <v>Total Labor Expense</v>
      </c>
      <c r="O84" s="225">
        <v>34218.35</v>
      </c>
      <c r="P84" s="225">
        <v>59231.12</v>
      </c>
      <c r="Q84" s="225">
        <v>66260.59</v>
      </c>
      <c r="R84" s="225">
        <v>92966.18</v>
      </c>
      <c r="S84" s="225">
        <v>85326.18</v>
      </c>
      <c r="T84" s="225">
        <v>73175.149999999994</v>
      </c>
      <c r="U84" s="225">
        <v>94268.58</v>
      </c>
      <c r="V84" s="225">
        <v>89303.21</v>
      </c>
      <c r="W84" s="225">
        <v>90391.039999999994</v>
      </c>
      <c r="X84" s="225">
        <v>87029.81</v>
      </c>
      <c r="Y84" s="225">
        <v>102266.12</v>
      </c>
      <c r="Z84" s="225">
        <v>112579.69</v>
      </c>
      <c r="AA84" s="225">
        <f t="shared" si="27"/>
        <v>987016.02</v>
      </c>
      <c r="AB84" s="226">
        <f t="shared" si="28"/>
        <v>0.62313795653324067</v>
      </c>
      <c r="AC84" s="227"/>
      <c r="AD84" s="225">
        <v>707246.89782421605</v>
      </c>
      <c r="AE84" s="226">
        <f t="shared" si="29"/>
        <v>0.46364549654153508</v>
      </c>
      <c r="AF84" s="228">
        <f t="shared" si="30"/>
        <v>279769.12217578397</v>
      </c>
      <c r="AG84" s="225">
        <v>434691.06</v>
      </c>
      <c r="AH84" s="226">
        <f t="shared" si="31"/>
        <v>0.70884804214573938</v>
      </c>
      <c r="AI84" s="228">
        <f t="shared" si="32"/>
        <v>552324.96</v>
      </c>
      <c r="AJ84" s="229">
        <f t="shared" si="33"/>
        <v>23.247427279365006</v>
      </c>
      <c r="AK84" s="230">
        <f t="shared" si="34"/>
        <v>18.592064392914651</v>
      </c>
      <c r="AL84" s="232">
        <f t="shared" si="35"/>
        <v>25.284496277338295</v>
      </c>
      <c r="AM84" s="427" t="str">
        <f t="shared" si="36"/>
        <v>15.95 pts.</v>
      </c>
      <c r="AN84" s="428" t="str">
        <f t="shared" si="37"/>
        <v>-8.57 pts.</v>
      </c>
      <c r="AO84" s="11"/>
      <c r="AP84" s="11"/>
    </row>
    <row r="85" spans="1:42" x14ac:dyDescent="0.35">
      <c r="A85" s="65" t="s">
        <v>14</v>
      </c>
      <c r="B85" s="66"/>
      <c r="C85" s="11"/>
      <c r="D85" s="11"/>
      <c r="E85" s="11"/>
      <c r="F85" s="11"/>
      <c r="G85" s="11"/>
      <c r="H85" s="396" t="s">
        <v>851</v>
      </c>
      <c r="I85" s="122" t="str">
        <f>IF(_epmOfflineCondition_,"T3",_xll.EVPRO($B$1,$H85,"STYLE"))</f>
        <v>T3</v>
      </c>
      <c r="J85" s="122" t="str">
        <f>IF(_epmOfflineCondition_,"Y",_xll.EVPRO($B$1,$H85,"CALC"))</f>
        <v>Y</v>
      </c>
      <c r="K85" s="179" t="str">
        <f t="shared" si="26"/>
        <v>&gt;</v>
      </c>
      <c r="L85" s="90" t="str">
        <f>IF(_epmOfflineCondition_,"",_xll.EVPRO($B$1,H85,"JDEID"))</f>
        <v/>
      </c>
      <c r="M85" s="90" t="str">
        <f>IF(_epmOfflineCondition_,"",IF(AND(I85="N",J85="N"),_xll.EVPRO($B$1,H85,"PSFTID"),""))</f>
        <v/>
      </c>
      <c r="N85" s="90" t="str">
        <f>IF(_epmOfflineCondition_,"Payroll Taxes",IF(_xll.EVDES(H85,$B$1)="#NODATA","",_xll.EVDES(H85,$B$1)))</f>
        <v>Payroll Taxes</v>
      </c>
      <c r="O85" s="216">
        <v>3620.64</v>
      </c>
      <c r="P85" s="216">
        <v>4494.1000000000004</v>
      </c>
      <c r="Q85" s="216">
        <v>5142.57</v>
      </c>
      <c r="R85" s="216">
        <v>5336.91</v>
      </c>
      <c r="S85" s="216">
        <v>5311.15</v>
      </c>
      <c r="T85" s="216">
        <v>4746.26</v>
      </c>
      <c r="U85" s="216">
        <v>5746.61</v>
      </c>
      <c r="V85" s="216">
        <v>3521.82</v>
      </c>
      <c r="W85" s="216">
        <v>4518.37</v>
      </c>
      <c r="X85" s="216">
        <v>4156.7700000000004</v>
      </c>
      <c r="Y85" s="216">
        <v>5101.43</v>
      </c>
      <c r="Z85" s="216">
        <v>5245.82</v>
      </c>
      <c r="AA85" s="216">
        <f t="shared" si="27"/>
        <v>56942.450000000012</v>
      </c>
      <c r="AB85" s="218">
        <f t="shared" si="28"/>
        <v>3.5949773067509315E-2</v>
      </c>
      <c r="AC85" s="140"/>
      <c r="AD85" s="216">
        <v>49131.281820916302</v>
      </c>
      <c r="AE85" s="218">
        <f t="shared" si="29"/>
        <v>3.2208692078622037E-2</v>
      </c>
      <c r="AF85" s="233">
        <f t="shared" si="30"/>
        <v>7811.1681790837101</v>
      </c>
      <c r="AG85" s="216">
        <v>34557.07</v>
      </c>
      <c r="AH85" s="218">
        <f t="shared" si="31"/>
        <v>5.635200183733538E-2</v>
      </c>
      <c r="AI85" s="233">
        <f t="shared" si="32"/>
        <v>22385.380000000012</v>
      </c>
      <c r="AJ85" s="234">
        <f t="shared" si="33"/>
        <v>1.3411793108321364</v>
      </c>
      <c r="AK85" s="235">
        <f t="shared" si="34"/>
        <v>1.2915602148713115</v>
      </c>
      <c r="AL85" s="237">
        <f t="shared" si="35"/>
        <v>2.0100668915774778</v>
      </c>
      <c r="AM85" s="429" t="str">
        <f t="shared" si="36"/>
        <v>0.37 pts.</v>
      </c>
      <c r="AN85" s="430" t="str">
        <f t="shared" si="37"/>
        <v>-2.04 pts.</v>
      </c>
      <c r="AO85" s="11"/>
      <c r="AP85" s="11"/>
    </row>
    <row r="86" spans="1:42" x14ac:dyDescent="0.35">
      <c r="A86" s="65" t="s">
        <v>15</v>
      </c>
      <c r="B86" s="66"/>
      <c r="C86" s="11"/>
      <c r="D86" s="11"/>
      <c r="E86" s="11"/>
      <c r="F86" s="11"/>
      <c r="G86" s="11"/>
      <c r="H86" s="396" t="s">
        <v>852</v>
      </c>
      <c r="I86" s="122" t="str">
        <f>IF(_epmOfflineCondition_,"T3",_xll.EVPRO($B$1,$H86,"STYLE"))</f>
        <v>T3</v>
      </c>
      <c r="J86" s="122" t="str">
        <f>IF(_epmOfflineCondition_,"Y",_xll.EVPRO($B$1,$H86,"CALC"))</f>
        <v>Y</v>
      </c>
      <c r="K86" s="179" t="str">
        <f t="shared" si="26"/>
        <v>&gt;</v>
      </c>
      <c r="L86" s="90" t="str">
        <f>IF(_epmOfflineCondition_,"",_xll.EVPRO($B$1,H86,"JDEID"))</f>
        <v/>
      </c>
      <c r="M86" s="90" t="str">
        <f>IF(_epmOfflineCondition_,"",IF(AND(I86="N",J86="N"),_xll.EVPRO($B$1,H86,"PSFTID"),""))</f>
        <v/>
      </c>
      <c r="N86" s="90" t="str">
        <f>IF(_epmOfflineCondition_,"Supplemental Pay",IF(_xll.EVDES(H86,$B$1)="#NODATA","",_xll.EVDES(H86,$B$1)))</f>
        <v>Supplemental Pay</v>
      </c>
      <c r="O86" s="216">
        <v>891.15</v>
      </c>
      <c r="P86" s="216">
        <v>1083.8399999999999</v>
      </c>
      <c r="Q86" s="216">
        <v>698.52</v>
      </c>
      <c r="R86" s="216">
        <v>374.43</v>
      </c>
      <c r="S86" s="216">
        <v>1634</v>
      </c>
      <c r="T86" s="216">
        <v>3651.93</v>
      </c>
      <c r="U86" s="216">
        <v>557.30999999999995</v>
      </c>
      <c r="V86" s="216">
        <v>1228.51</v>
      </c>
      <c r="W86" s="216">
        <v>547.30999999999995</v>
      </c>
      <c r="X86" s="216">
        <v>1734.56</v>
      </c>
      <c r="Y86" s="216">
        <v>1290.6400000000001</v>
      </c>
      <c r="Z86" s="216">
        <v>2861.25</v>
      </c>
      <c r="AA86" s="251">
        <f t="shared" si="27"/>
        <v>16553.449999999997</v>
      </c>
      <c r="AB86" s="218">
        <f t="shared" si="28"/>
        <v>1.0450775668843927E-2</v>
      </c>
      <c r="AC86" s="140"/>
      <c r="AD86" s="216">
        <v>15625.961923106801</v>
      </c>
      <c r="AE86" s="218">
        <f t="shared" si="29"/>
        <v>1.0243815698685004E-2</v>
      </c>
      <c r="AF86" s="233">
        <f t="shared" si="30"/>
        <v>927.48807689319619</v>
      </c>
      <c r="AG86" s="216">
        <v>3810.29</v>
      </c>
      <c r="AH86" s="218">
        <f t="shared" si="31"/>
        <v>6.2134165043732188E-3</v>
      </c>
      <c r="AI86" s="233">
        <f t="shared" si="32"/>
        <v>12743.159999999996</v>
      </c>
      <c r="AJ86" s="212">
        <f t="shared" si="33"/>
        <v>0.38988741550274386</v>
      </c>
      <c r="AK86" s="213">
        <f t="shared" si="34"/>
        <v>0.41077435782241017</v>
      </c>
      <c r="AL86" s="215">
        <f t="shared" si="35"/>
        <v>0.22163157282456958</v>
      </c>
      <c r="AM86" s="423" t="str">
        <f t="shared" si="36"/>
        <v>0.02 pts.</v>
      </c>
      <c r="AN86" s="424" t="str">
        <f t="shared" si="37"/>
        <v>0.42 pts.</v>
      </c>
      <c r="AO86" s="11"/>
      <c r="AP86" s="11"/>
    </row>
    <row r="87" spans="1:42" x14ac:dyDescent="0.35">
      <c r="A87" s="65" t="s">
        <v>16</v>
      </c>
      <c r="B87" s="66" t="s">
        <v>78</v>
      </c>
      <c r="C87" s="11"/>
      <c r="D87" s="11"/>
      <c r="E87" s="11"/>
      <c r="F87" s="11"/>
      <c r="G87" s="11"/>
      <c r="H87" s="396" t="s">
        <v>853</v>
      </c>
      <c r="I87" s="122" t="str">
        <f>IF(_epmOfflineCondition_,"T3",_xll.EVPRO($B$1,$H87,"STYLE"))</f>
        <v>T3</v>
      </c>
      <c r="J87" s="122" t="str">
        <f>IF(_epmOfflineCondition_,"Y",_xll.EVPRO($B$1,$H87,"CALC"))</f>
        <v>Y</v>
      </c>
      <c r="K87" s="179" t="str">
        <f t="shared" si="26"/>
        <v>&gt;</v>
      </c>
      <c r="L87" s="90" t="str">
        <f>IF(_epmOfflineCondition_,"",_xll.EVPRO($B$1,H87,"JDEID"))</f>
        <v/>
      </c>
      <c r="M87" s="90" t="str">
        <f>IF(_epmOfflineCondition_,"",IF(AND(I87="N",J87="N"),_xll.EVPRO($B$1,H87,"PSFTID"),""))</f>
        <v/>
      </c>
      <c r="N87" s="90" t="str">
        <f>IF(_epmOfflineCondition_,"Employee Benefits",IF(_xll.EVDES(H87,$B$1)="#NODATA","",_xll.EVDES(H87,$B$1)))</f>
        <v>Employee Benefits</v>
      </c>
      <c r="O87" s="216">
        <v>3416.94</v>
      </c>
      <c r="P87" s="216">
        <v>2439.66</v>
      </c>
      <c r="Q87" s="216">
        <v>2923.08</v>
      </c>
      <c r="R87" s="216">
        <v>2146.0500000000002</v>
      </c>
      <c r="S87" s="216">
        <v>2345.12</v>
      </c>
      <c r="T87" s="216">
        <v>1590.21</v>
      </c>
      <c r="U87" s="216">
        <v>3179.19</v>
      </c>
      <c r="V87" s="216">
        <v>2733.88</v>
      </c>
      <c r="W87" s="216">
        <v>2565.89</v>
      </c>
      <c r="X87" s="216">
        <v>3799.96</v>
      </c>
      <c r="Y87" s="216">
        <v>3424.04</v>
      </c>
      <c r="Z87" s="216">
        <v>2472.86</v>
      </c>
      <c r="AA87" s="251">
        <f t="shared" si="27"/>
        <v>33036.879999999997</v>
      </c>
      <c r="AB87" s="218">
        <f t="shared" si="28"/>
        <v>2.0857345246973687E-2</v>
      </c>
      <c r="AC87" s="140"/>
      <c r="AD87" s="216">
        <v>34235.533281766802</v>
      </c>
      <c r="AE87" s="218">
        <f t="shared" si="29"/>
        <v>2.2443577874461374E-2</v>
      </c>
      <c r="AF87" s="233">
        <f t="shared" si="30"/>
        <v>-1198.6532817668049</v>
      </c>
      <c r="AG87" s="216">
        <v>35482.550000000003</v>
      </c>
      <c r="AH87" s="218">
        <f t="shared" si="31"/>
        <v>5.7861176390051144E-2</v>
      </c>
      <c r="AI87" s="233">
        <f t="shared" si="32"/>
        <v>-2445.6700000000055</v>
      </c>
      <c r="AJ87" s="221">
        <f t="shared" si="33"/>
        <v>0.77812563299338144</v>
      </c>
      <c r="AK87" s="222">
        <f t="shared" si="34"/>
        <v>0.89998166306355909</v>
      </c>
      <c r="AL87" s="224">
        <f t="shared" si="35"/>
        <v>2.063898906468125</v>
      </c>
      <c r="AM87" s="425" t="str">
        <f t="shared" si="36"/>
        <v>-0.16 pts.</v>
      </c>
      <c r="AN87" s="426" t="str">
        <f t="shared" si="37"/>
        <v>-3.7 pts.</v>
      </c>
      <c r="AO87" s="11"/>
      <c r="AP87" s="11"/>
    </row>
    <row r="88" spans="1:42" x14ac:dyDescent="0.35">
      <c r="A88" s="65" t="s">
        <v>17</v>
      </c>
      <c r="B88" s="66"/>
      <c r="C88" s="11"/>
      <c r="D88" s="11"/>
      <c r="E88" s="11"/>
      <c r="F88" s="11"/>
      <c r="G88" s="11"/>
      <c r="H88" s="396" t="s">
        <v>854</v>
      </c>
      <c r="I88" s="188" t="str">
        <f>IF(_epmOfflineCondition_,"T2",_xll.EVPRO($B$1,$H88,"STYLE"))</f>
        <v>T2</v>
      </c>
      <c r="J88" s="188" t="str">
        <f>IF(_epmOfflineCondition_,"Y",_xll.EVPRO($B$1,$H88,"CALC"))</f>
        <v>Y</v>
      </c>
      <c r="K88" s="189" t="str">
        <f t="shared" si="26"/>
        <v/>
      </c>
      <c r="L88" s="190" t="str">
        <f>IF(_epmOfflineCondition_,"",_xll.EVPRO($B$1,H88,"JDEID"))</f>
        <v/>
      </c>
      <c r="M88" s="190" t="str">
        <f>IF(_epmOfflineCondition_,"",IF(AND(I88="N",J88="N"),_xll.EVPRO($B$1,H88,"PSFTID"),""))</f>
        <v/>
      </c>
      <c r="N88" s="190" t="str">
        <f>IF(_epmOfflineCondition_,"Total Payroll Related",IF(_xll.EVDES(H88,$B$1)="#NODATA","",_xll.EVDES(H88,$B$1)))</f>
        <v>Total Payroll Related</v>
      </c>
      <c r="O88" s="238">
        <v>7928.73</v>
      </c>
      <c r="P88" s="238">
        <v>8017.6</v>
      </c>
      <c r="Q88" s="238">
        <v>8764.17</v>
      </c>
      <c r="R88" s="238">
        <v>7857.39</v>
      </c>
      <c r="S88" s="238">
        <v>9290.27</v>
      </c>
      <c r="T88" s="238">
        <v>9988.4</v>
      </c>
      <c r="U88" s="238">
        <v>9483.11</v>
      </c>
      <c r="V88" s="238">
        <v>7484.21</v>
      </c>
      <c r="W88" s="238">
        <v>7631.57</v>
      </c>
      <c r="X88" s="238">
        <v>9691.2900000000009</v>
      </c>
      <c r="Y88" s="238">
        <v>9816.11</v>
      </c>
      <c r="Z88" s="238">
        <v>10579.93</v>
      </c>
      <c r="AA88" s="238">
        <f t="shared" si="27"/>
        <v>106532.78000000003</v>
      </c>
      <c r="AB88" s="239">
        <f t="shared" si="28"/>
        <v>6.7257893983326947E-2</v>
      </c>
      <c r="AC88" s="240"/>
      <c r="AD88" s="238">
        <v>98992.777025789997</v>
      </c>
      <c r="AE88" s="239">
        <f t="shared" si="29"/>
        <v>6.4896085651768479E-2</v>
      </c>
      <c r="AF88" s="241">
        <f t="shared" si="30"/>
        <v>7540.0029742100305</v>
      </c>
      <c r="AG88" s="238">
        <v>73849.91</v>
      </c>
      <c r="AH88" s="239">
        <f t="shared" si="31"/>
        <v>0.12042659473175975</v>
      </c>
      <c r="AI88" s="241">
        <f t="shared" si="32"/>
        <v>32682.870000000024</v>
      </c>
      <c r="AJ88" s="242">
        <f t="shared" si="33"/>
        <v>2.5091923593282623</v>
      </c>
      <c r="AK88" s="243">
        <f t="shared" si="34"/>
        <v>2.6023162357572831</v>
      </c>
      <c r="AL88" s="245">
        <f t="shared" si="35"/>
        <v>4.2955973708701727</v>
      </c>
      <c r="AM88" s="431" t="str">
        <f t="shared" si="36"/>
        <v>0.24 pts.</v>
      </c>
      <c r="AN88" s="432" t="str">
        <f t="shared" si="37"/>
        <v>-5.32 pts.</v>
      </c>
      <c r="AO88" s="11"/>
      <c r="AP88" s="11"/>
    </row>
    <row r="89" spans="1:42" x14ac:dyDescent="0.35">
      <c r="A89" s="11"/>
      <c r="B89" s="11"/>
      <c r="C89" s="11"/>
      <c r="D89" s="11"/>
      <c r="E89" s="11"/>
      <c r="F89" s="11"/>
      <c r="G89" s="11"/>
      <c r="H89" s="396" t="s">
        <v>76</v>
      </c>
      <c r="I89" s="188" t="str">
        <f>IF(_epmOfflineCondition_,"T1",_xll.EVPRO($B$1,$H89,"STYLE"))</f>
        <v>T1</v>
      </c>
      <c r="J89" s="188" t="str">
        <f>IF(_epmOfflineCondition_,"Y",_xll.EVPRO($B$1,$H89,"CALC"))</f>
        <v>Y</v>
      </c>
      <c r="K89" s="189" t="str">
        <f t="shared" si="26"/>
        <v/>
      </c>
      <c r="L89" s="190" t="str">
        <f>IF(_epmOfflineCondition_,"600000",_xll.EVPRO($B$1,H89,"JDEID"))</f>
        <v>600000</v>
      </c>
      <c r="M89" s="190" t="str">
        <f>IF(_epmOfflineCondition_,"",IF(AND(I89="N",J89="N"),_xll.EVPRO($B$1,H89,"PSFTID"),""))</f>
        <v/>
      </c>
      <c r="N89" s="190" t="str">
        <f>IF(_epmOfflineCondition_,"Total Labor &amp; Related Exp",IF(_xll.EVDES(H89,$B$1)="#NODATA","",_xll.EVDES(H89,$B$1)))</f>
        <v>Total Labor &amp; Related Exp</v>
      </c>
      <c r="O89" s="238">
        <v>42147.08</v>
      </c>
      <c r="P89" s="238">
        <v>67248.72</v>
      </c>
      <c r="Q89" s="238">
        <v>75024.759999999995</v>
      </c>
      <c r="R89" s="238">
        <v>100823.57</v>
      </c>
      <c r="S89" s="238">
        <v>94616.45</v>
      </c>
      <c r="T89" s="238">
        <v>83163.55</v>
      </c>
      <c r="U89" s="238">
        <v>103751.69</v>
      </c>
      <c r="V89" s="238">
        <v>96787.42</v>
      </c>
      <c r="W89" s="238">
        <v>98022.61</v>
      </c>
      <c r="X89" s="238">
        <v>96721.1</v>
      </c>
      <c r="Y89" s="238">
        <v>112082.23</v>
      </c>
      <c r="Z89" s="238">
        <v>123159.62</v>
      </c>
      <c r="AA89" s="238">
        <f t="shared" si="27"/>
        <v>1093548.8</v>
      </c>
      <c r="AB89" s="239">
        <f t="shared" si="28"/>
        <v>0.6903958505165676</v>
      </c>
      <c r="AC89" s="240"/>
      <c r="AD89" s="238">
        <v>806239.67485000601</v>
      </c>
      <c r="AE89" s="239">
        <f t="shared" si="29"/>
        <v>0.52854158219330349</v>
      </c>
      <c r="AF89" s="241">
        <f t="shared" si="30"/>
        <v>287309.12514999404</v>
      </c>
      <c r="AG89" s="238">
        <v>508540.97</v>
      </c>
      <c r="AH89" s="239">
        <f t="shared" si="31"/>
        <v>0.82927463687749903</v>
      </c>
      <c r="AI89" s="241">
        <f t="shared" si="32"/>
        <v>585007.83000000007</v>
      </c>
      <c r="AJ89" s="246">
        <f t="shared" si="33"/>
        <v>25.756619638693266</v>
      </c>
      <c r="AK89" s="247">
        <f t="shared" si="34"/>
        <v>21.194380628671933</v>
      </c>
      <c r="AL89" s="249">
        <f t="shared" si="35"/>
        <v>29.580093648208468</v>
      </c>
      <c r="AM89" s="433" t="str">
        <f t="shared" si="36"/>
        <v>16.19 pts.</v>
      </c>
      <c r="AN89" s="434" t="str">
        <f t="shared" si="37"/>
        <v>-13.89 pts.</v>
      </c>
      <c r="AO89" s="11"/>
      <c r="AP89" s="11"/>
    </row>
    <row r="90" spans="1:42" x14ac:dyDescent="0.35">
      <c r="A90" s="97" t="s">
        <v>92</v>
      </c>
      <c r="B90" s="98" t="s">
        <v>93</v>
      </c>
      <c r="C90" s="98" t="s">
        <v>94</v>
      </c>
      <c r="D90" s="98" t="s">
        <v>95</v>
      </c>
      <c r="E90" s="98" t="s">
        <v>96</v>
      </c>
      <c r="F90" s="99" t="s">
        <v>97</v>
      </c>
      <c r="G90" s="11"/>
      <c r="H90" s="11"/>
      <c r="I90" s="59"/>
      <c r="J90" s="59"/>
      <c r="K90" s="11"/>
      <c r="L90" s="11"/>
      <c r="M90" s="11"/>
      <c r="N90" s="11"/>
      <c r="O90" s="413"/>
      <c r="P90" s="414"/>
      <c r="Q90" s="414"/>
      <c r="R90" s="414"/>
      <c r="S90" s="414"/>
      <c r="T90" s="414"/>
      <c r="U90" s="414"/>
      <c r="V90" s="414"/>
      <c r="W90" s="414"/>
      <c r="X90" s="414"/>
      <c r="Y90" s="414"/>
      <c r="Z90" s="414"/>
      <c r="AA90" s="414"/>
      <c r="AB90" s="131"/>
      <c r="AC90" s="11"/>
      <c r="AD90" s="413"/>
      <c r="AE90" s="130"/>
      <c r="AF90" s="131"/>
      <c r="AG90" s="413"/>
      <c r="AH90" s="130"/>
      <c r="AI90" s="131"/>
      <c r="AJ90" s="11"/>
      <c r="AK90" s="11"/>
      <c r="AL90" s="11"/>
      <c r="AM90" s="11"/>
      <c r="AN90" s="11"/>
      <c r="AO90" s="11"/>
      <c r="AP90" s="11"/>
    </row>
    <row r="91" spans="1:42" x14ac:dyDescent="0.35">
      <c r="A91" s="11"/>
      <c r="B91" s="11"/>
      <c r="C91" s="11"/>
      <c r="D91" s="11"/>
      <c r="E91" s="11"/>
      <c r="F91" s="11"/>
      <c r="G91" s="11"/>
      <c r="H91" s="11" t="s">
        <v>82</v>
      </c>
      <c r="I91" s="59" t="str">
        <f>IF(_epmOfflineCondition_,"B1",_xll.EVPRO($B$1,$H91,"STYLE"))</f>
        <v>B1</v>
      </c>
      <c r="J91" s="59" t="str">
        <f>IF(_epmOfflineCondition_,"Y",_xll.EVPRO($B$1,$H91,"CALC"))</f>
        <v>Y</v>
      </c>
      <c r="K91" s="11"/>
      <c r="L91" s="11"/>
      <c r="M91" s="11"/>
      <c r="N91" s="105" t="str">
        <f>IF(_epmOfflineCondition_,"Other Expenses",IF(_xll.EVDES(H91,$B$1)="#NODATA","",_xll.EVDES(H91,$B$1)))</f>
        <v>Other Expenses</v>
      </c>
      <c r="O91" s="119"/>
      <c r="P91" s="120"/>
      <c r="Q91" s="120"/>
      <c r="R91" s="120"/>
      <c r="S91" s="120"/>
      <c r="T91" s="120"/>
      <c r="U91" s="120"/>
      <c r="V91" s="120"/>
      <c r="W91" s="120"/>
      <c r="X91" s="120"/>
      <c r="Y91" s="120"/>
      <c r="Z91" s="120"/>
      <c r="AA91" s="120"/>
      <c r="AB91" s="121"/>
      <c r="AC91" s="11"/>
      <c r="AD91" s="119"/>
      <c r="AE91" s="120"/>
      <c r="AF91" s="121"/>
      <c r="AG91" s="119"/>
      <c r="AH91" s="120"/>
      <c r="AI91" s="121"/>
      <c r="AJ91" s="11"/>
      <c r="AK91" s="11"/>
      <c r="AL91" s="11"/>
      <c r="AM91" s="11"/>
      <c r="AN91" s="11"/>
      <c r="AO91" s="11"/>
      <c r="AP91" s="11"/>
    </row>
    <row r="92" spans="1:42" x14ac:dyDescent="0.35">
      <c r="A92" s="11" t="s">
        <v>108</v>
      </c>
      <c r="B92" s="11"/>
      <c r="C92" s="104" t="s">
        <v>101</v>
      </c>
      <c r="D92" s="11" t="s">
        <v>106</v>
      </c>
      <c r="E92" s="11"/>
      <c r="F92" s="11" t="s">
        <v>98</v>
      </c>
      <c r="G92" s="11"/>
      <c r="H92" s="396" t="s">
        <v>828</v>
      </c>
      <c r="I92" s="122" t="str">
        <f>IF(_epmOfflineCondition_,"N",_xll.EVPRO($B$1,$H92,"STYLE"))</f>
        <v>N</v>
      </c>
      <c r="J92" s="122" t="str">
        <f>IF(_epmOfflineCondition_,"N",_xll.EVPRO($B$1,$H92,"CALC"))</f>
        <v>N</v>
      </c>
      <c r="K92" s="179" t="str">
        <f t="shared" ref="K92:K115" si="38">IF(AND(I92&lt;&gt;"B1",J92="Y"),"&gt;","")</f>
        <v/>
      </c>
      <c r="L92" s="90" t="str">
        <f>IF(_epmOfflineCondition_,"701100",_xll.EVPRO($B$1,H92,"JDEID"))</f>
        <v>701100</v>
      </c>
      <c r="M92" s="90" t="str">
        <f>IF(_epmOfflineCondition_,"690015",IF(AND(I92="N",J92="N"),_xll.EVPRO($B$1,H92,"PSFTID"),""))</f>
        <v>690015</v>
      </c>
      <c r="N92" s="90" t="str">
        <f>IF(_epmOfflineCondition_,"Dues and Subscriptions",IF(_xll.EVDES(H92,$B$1)="#NODATA","",_xll.EVDES(H92,$B$1)))</f>
        <v>Dues and Subscriptions</v>
      </c>
      <c r="O92" s="210">
        <v>81</v>
      </c>
      <c r="P92" s="210">
        <v>619</v>
      </c>
      <c r="Q92" s="210">
        <v>461.4</v>
      </c>
      <c r="R92" s="210"/>
      <c r="S92" s="210"/>
      <c r="T92" s="210">
        <v>405.2</v>
      </c>
      <c r="U92" s="210"/>
      <c r="V92" s="210"/>
      <c r="W92" s="210">
        <v>1050</v>
      </c>
      <c r="X92" s="210">
        <v>414</v>
      </c>
      <c r="Y92" s="210">
        <v>414</v>
      </c>
      <c r="Z92" s="210">
        <v>467.05</v>
      </c>
      <c r="AA92" s="250">
        <f t="shared" ref="AA92:AA116" si="39">IF($I92="B1","",SUM(O92:Z92))</f>
        <v>3911.6500000000005</v>
      </c>
      <c r="AB92" s="211">
        <f t="shared" ref="AB92:AB116" si="40">IF(AA92=0,"",IFERROR(AA92/AA$19,""))</f>
        <v>2.4695623356480586E-3</v>
      </c>
      <c r="AC92" s="140"/>
      <c r="AD92" s="210">
        <v>972</v>
      </c>
      <c r="AE92" s="211">
        <f t="shared" ref="AE92:AE116" si="41">IF(AD92=0,"",IFERROR(AD92/AD$19,""))</f>
        <v>6.3720805849385722E-4</v>
      </c>
      <c r="AF92" s="253">
        <f t="shared" ref="AF92:AF116" si="42">IF(AND($AA92="",AD92=""),"",$AA92-AD92)</f>
        <v>2939.6500000000005</v>
      </c>
      <c r="AG92" s="210">
        <v>90</v>
      </c>
      <c r="AH92" s="211">
        <f t="shared" ref="AH92:AH116" si="43">IF(AG92=0,"",IFERROR(AG92/AG$19,""))</f>
        <v>1.4676244731860033E-4</v>
      </c>
      <c r="AI92" s="253">
        <f t="shared" ref="AI92:AI116" si="44">IF(AND($AA92="",AG92=""),"",$AA92-AG92)</f>
        <v>3821.6500000000005</v>
      </c>
      <c r="AJ92" s="212">
        <f t="shared" ref="AJ92:AJ116" si="45">IFERROR(AA92/AA$20,0)</f>
        <v>9.2132039475233782E-2</v>
      </c>
      <c r="AK92" s="213">
        <f t="shared" ref="AK92:AK116" si="46">IFERROR(AD92/AD$20,0)</f>
        <v>2.5551878199124533E-2</v>
      </c>
      <c r="AL92" s="215">
        <f t="shared" ref="AL92:AL116" si="47">IFERROR(AG92/AG$20,0)</f>
        <v>5.234993020009307E-3</v>
      </c>
      <c r="AM92" s="423" t="str">
        <f t="shared" ref="AM92:AM116" si="48">+IFERROR(ROUND(($AB92-AE92)*100,2)&amp;" pts.",0)</f>
        <v>0.18 pts.</v>
      </c>
      <c r="AN92" s="424" t="str">
        <f t="shared" ref="AN92:AN116" si="49">+IFERROR(ROUND(($AB92-AH92)*100,2)&amp;" pts.",0)</f>
        <v>0.23 pts.</v>
      </c>
      <c r="AO92" s="11"/>
      <c r="AP92" s="11"/>
    </row>
    <row r="93" spans="1:42" x14ac:dyDescent="0.35">
      <c r="A93" s="11" t="s">
        <v>100</v>
      </c>
      <c r="B93" s="11"/>
      <c r="C93" s="53" t="s">
        <v>101</v>
      </c>
      <c r="D93" s="11" t="s">
        <v>106</v>
      </c>
      <c r="E93" s="11"/>
      <c r="F93" s="11" t="s">
        <v>98</v>
      </c>
      <c r="G93" s="76"/>
      <c r="H93" s="396" t="s">
        <v>856</v>
      </c>
      <c r="I93" s="122" t="str">
        <f>IF(_epmOfflineCondition_,"N",_xll.EVPRO($B$1,$H93,"STYLE"))</f>
        <v>N</v>
      </c>
      <c r="J93" s="122" t="str">
        <f>IF(_epmOfflineCondition_,"N",_xll.EVPRO($B$1,$H93,"CALC"))</f>
        <v>N</v>
      </c>
      <c r="K93" s="179" t="str">
        <f t="shared" si="38"/>
        <v/>
      </c>
      <c r="L93" s="90" t="str">
        <f>IF(_epmOfflineCondition_,"701300",_xll.EVPRO($B$1,H93,"JDEID"))</f>
        <v>701300</v>
      </c>
      <c r="M93" s="90" t="str">
        <f>IF(_epmOfflineCondition_,"690205",IF(AND(I93="N",J93="N"),_xll.EVPRO($B$1,H93,"PSFTID"),""))</f>
        <v>690205</v>
      </c>
      <c r="N93" s="90" t="str">
        <f>IF(_epmOfflineCondition_,"Printing &amp; Stationery",IF(_xll.EVDES(H93,$B$1)="#NODATA","",_xll.EVDES(H93,$B$1)))</f>
        <v>Printing &amp; Stationery</v>
      </c>
      <c r="O93" s="210"/>
      <c r="P93" s="210"/>
      <c r="Q93" s="210">
        <v>75.36</v>
      </c>
      <c r="R93" s="210"/>
      <c r="S93" s="210">
        <v>255.93</v>
      </c>
      <c r="T93" s="210">
        <v>-76.86</v>
      </c>
      <c r="U93" s="210">
        <v>526.98</v>
      </c>
      <c r="V93" s="210">
        <v>122.58</v>
      </c>
      <c r="W93" s="210">
        <v>490</v>
      </c>
      <c r="X93" s="210">
        <v>74.569999999999993</v>
      </c>
      <c r="Y93" s="210">
        <v>320.36</v>
      </c>
      <c r="Z93" s="210">
        <v>503.03</v>
      </c>
      <c r="AA93" s="250">
        <f t="shared" si="39"/>
        <v>2291.9499999999998</v>
      </c>
      <c r="AB93" s="211">
        <f t="shared" si="40"/>
        <v>1.446988711972842E-3</v>
      </c>
      <c r="AC93" s="140"/>
      <c r="AD93" s="210">
        <v>4190.8</v>
      </c>
      <c r="AE93" s="211">
        <f t="shared" si="41"/>
        <v>2.7473369666008818E-3</v>
      </c>
      <c r="AF93" s="253">
        <f t="shared" si="42"/>
        <v>-1898.8500000000004</v>
      </c>
      <c r="AG93" s="210">
        <v>696.47</v>
      </c>
      <c r="AH93" s="211">
        <f t="shared" si="43"/>
        <v>1.1357293520442844E-3</v>
      </c>
      <c r="AI93" s="253">
        <f t="shared" si="44"/>
        <v>1595.4799999999998</v>
      </c>
      <c r="AJ93" s="212">
        <f t="shared" si="45"/>
        <v>5.3982853239748448E-2</v>
      </c>
      <c r="AK93" s="213">
        <f t="shared" si="46"/>
        <v>0.11016750119021718</v>
      </c>
      <c r="AL93" s="215">
        <f t="shared" si="47"/>
        <v>4.0511284318287578E-2</v>
      </c>
      <c r="AM93" s="423" t="str">
        <f t="shared" si="48"/>
        <v>-0.13 pts.</v>
      </c>
      <c r="AN93" s="424" t="str">
        <f t="shared" si="49"/>
        <v>0.03 pts.</v>
      </c>
      <c r="AO93" s="11"/>
      <c r="AP93" s="11"/>
    </row>
    <row r="94" spans="1:42" x14ac:dyDescent="0.35">
      <c r="A94" s="11" t="s">
        <v>109</v>
      </c>
      <c r="B94" s="11"/>
      <c r="C94" s="106" t="s">
        <v>101</v>
      </c>
      <c r="D94" s="11" t="s">
        <v>106</v>
      </c>
      <c r="E94" s="11"/>
      <c r="F94" s="11" t="s">
        <v>98</v>
      </c>
      <c r="G94" s="11"/>
      <c r="H94" s="396" t="s">
        <v>831</v>
      </c>
      <c r="I94" s="122" t="str">
        <f>IF(_epmOfflineCondition_,"T4",_xll.EVPRO($B$1,$H94,"STYLE"))</f>
        <v>T4</v>
      </c>
      <c r="J94" s="122" t="str">
        <f>IF(_epmOfflineCondition_,"Y",_xll.EVPRO($B$1,$H94,"CALC"))</f>
        <v>Y</v>
      </c>
      <c r="K94" s="179" t="str">
        <f t="shared" si="38"/>
        <v>&gt;</v>
      </c>
      <c r="L94" s="90" t="str">
        <f>IF(_epmOfflineCondition_,"701500",_xll.EVPRO($B$1,H94,"JDEID"))</f>
        <v>701500</v>
      </c>
      <c r="M94" s="90" t="str">
        <f>IF(_epmOfflineCondition_,"",IF(AND(I94="N",J94="N"),_xll.EVPRO($B$1,H94,"PSFTID"),""))</f>
        <v/>
      </c>
      <c r="N94" s="90" t="str">
        <f>IF(_epmOfflineCondition_,"Operating Supplies",IF(_xll.EVDES(H94,$B$1)="#NODATA","",_xll.EVDES(H94,$B$1)))</f>
        <v>Operating Supplies</v>
      </c>
      <c r="O94" s="210">
        <v>440.48</v>
      </c>
      <c r="P94" s="210">
        <v>1427.57</v>
      </c>
      <c r="Q94" s="210">
        <v>2667.28</v>
      </c>
      <c r="R94" s="210">
        <v>2459.3000000000002</v>
      </c>
      <c r="S94" s="210">
        <v>354.95</v>
      </c>
      <c r="T94" s="210">
        <v>1102.77</v>
      </c>
      <c r="U94" s="210">
        <v>2915</v>
      </c>
      <c r="V94" s="210">
        <v>2282.85</v>
      </c>
      <c r="W94" s="210">
        <v>3406.56</v>
      </c>
      <c r="X94" s="210">
        <v>1909.8</v>
      </c>
      <c r="Y94" s="210">
        <v>2669.51</v>
      </c>
      <c r="Z94" s="210">
        <v>3215.5</v>
      </c>
      <c r="AA94" s="250">
        <f t="shared" si="39"/>
        <v>24851.57</v>
      </c>
      <c r="AB94" s="211">
        <f t="shared" si="40"/>
        <v>1.5689670919873E-2</v>
      </c>
      <c r="AC94" s="140"/>
      <c r="AD94" s="210">
        <v>20308.2</v>
      </c>
      <c r="AE94" s="211">
        <f t="shared" si="41"/>
        <v>1.3313321701136782E-2</v>
      </c>
      <c r="AF94" s="253">
        <f t="shared" si="42"/>
        <v>4543.369999999999</v>
      </c>
      <c r="AG94" s="210">
        <v>11941.75</v>
      </c>
      <c r="AH94" s="211">
        <f t="shared" si="43"/>
        <v>1.9473338391854396E-2</v>
      </c>
      <c r="AI94" s="253">
        <f t="shared" si="44"/>
        <v>12909.82</v>
      </c>
      <c r="AJ94" s="212">
        <f t="shared" si="45"/>
        <v>0.58533504486892618</v>
      </c>
      <c r="AK94" s="213">
        <f t="shared" si="46"/>
        <v>0.53386075395417776</v>
      </c>
      <c r="AL94" s="215">
        <f t="shared" si="47"/>
        <v>0.69461086551884599</v>
      </c>
      <c r="AM94" s="423" t="str">
        <f t="shared" si="48"/>
        <v>0.24 pts.</v>
      </c>
      <c r="AN94" s="424" t="str">
        <f t="shared" si="49"/>
        <v>-0.38 pts.</v>
      </c>
      <c r="AO94" s="11"/>
      <c r="AP94" s="11"/>
    </row>
    <row r="95" spans="1:42" x14ac:dyDescent="0.35">
      <c r="A95" s="11" t="s">
        <v>109</v>
      </c>
      <c r="B95" s="11"/>
      <c r="C95" s="196" t="s">
        <v>101</v>
      </c>
      <c r="D95" s="11" t="s">
        <v>107</v>
      </c>
      <c r="E95" s="11"/>
      <c r="F95" s="11" t="s">
        <v>99</v>
      </c>
      <c r="G95" s="11"/>
      <c r="H95" s="396" t="s">
        <v>857</v>
      </c>
      <c r="I95" s="122" t="str">
        <f>IF(_epmOfflineCondition_,"N",_xll.EVPRO($B$1,$H95,"STYLE"))</f>
        <v>N</v>
      </c>
      <c r="J95" s="122" t="str">
        <f>IF(_epmOfflineCondition_,"N",_xll.EVPRO($B$1,$H95,"CALC"))</f>
        <v>N</v>
      </c>
      <c r="K95" s="179" t="str">
        <f t="shared" si="38"/>
        <v/>
      </c>
      <c r="L95" s="90" t="str">
        <f>IF(_epmOfflineCondition_,"701600",_xll.EVPRO($B$1,H95,"JDEID"))</f>
        <v>701600</v>
      </c>
      <c r="M95" s="90" t="str">
        <f>IF(_epmOfflineCondition_,"590015",IF(AND(I95="N",J95="N"),_xll.EVPRO($B$1,H95,"PSFTID"),""))</f>
        <v>590015</v>
      </c>
      <c r="N95" s="90" t="str">
        <f>IF(_epmOfflineCondition_,"Cleaning Supplies",IF(_xll.EVDES(H95,$B$1)="#NODATA","",_xll.EVDES(H95,$B$1)))</f>
        <v>Cleaning Supplies</v>
      </c>
      <c r="O95" s="210">
        <v>732.85</v>
      </c>
      <c r="P95" s="210">
        <v>1096.5899999999999</v>
      </c>
      <c r="Q95" s="210">
        <v>2172.84</v>
      </c>
      <c r="R95" s="210">
        <v>1106.03</v>
      </c>
      <c r="S95" s="210">
        <v>1981.5</v>
      </c>
      <c r="T95" s="210">
        <v>927.67</v>
      </c>
      <c r="U95" s="210">
        <v>-458.48</v>
      </c>
      <c r="V95" s="210">
        <v>270.63</v>
      </c>
      <c r="W95" s="210">
        <v>66.040000000000006</v>
      </c>
      <c r="X95" s="210">
        <v>396.99</v>
      </c>
      <c r="Y95" s="210">
        <v>1054.99</v>
      </c>
      <c r="Z95" s="210">
        <v>1326.65</v>
      </c>
      <c r="AA95" s="250">
        <f t="shared" si="39"/>
        <v>10674.3</v>
      </c>
      <c r="AB95" s="211">
        <f t="shared" si="40"/>
        <v>6.739061326910145E-3</v>
      </c>
      <c r="AC95" s="140"/>
      <c r="AD95" s="210">
        <v>12485.34</v>
      </c>
      <c r="AE95" s="211">
        <f t="shared" si="41"/>
        <v>8.1849375113535964E-3</v>
      </c>
      <c r="AF95" s="253">
        <f t="shared" si="42"/>
        <v>-1811.0400000000009</v>
      </c>
      <c r="AG95" s="210">
        <v>3780.26</v>
      </c>
      <c r="AH95" s="211">
        <f t="shared" si="43"/>
        <v>6.1644467677845795E-3</v>
      </c>
      <c r="AI95" s="253">
        <f t="shared" si="44"/>
        <v>6894.0399999999991</v>
      </c>
      <c r="AJ95" s="212">
        <f t="shared" si="45"/>
        <v>0.25141437218833168</v>
      </c>
      <c r="AK95" s="213">
        <f t="shared" si="46"/>
        <v>0.3282138754677546</v>
      </c>
      <c r="AL95" s="215">
        <f t="shared" si="47"/>
        <v>0.21988483015355981</v>
      </c>
      <c r="AM95" s="423" t="str">
        <f t="shared" si="48"/>
        <v>-0.14 pts.</v>
      </c>
      <c r="AN95" s="424" t="str">
        <f t="shared" si="49"/>
        <v>0.06 pts.</v>
      </c>
      <c r="AO95" s="11"/>
      <c r="AP95" s="11"/>
    </row>
    <row r="96" spans="1:42" x14ac:dyDescent="0.35">
      <c r="A96" s="11" t="s">
        <v>110</v>
      </c>
      <c r="B96" s="11"/>
      <c r="C96" s="106" t="s">
        <v>101</v>
      </c>
      <c r="D96" s="11" t="s">
        <v>106</v>
      </c>
      <c r="E96" s="11"/>
      <c r="F96" s="11" t="s">
        <v>98</v>
      </c>
      <c r="G96" s="11"/>
      <c r="H96" s="396" t="s">
        <v>858</v>
      </c>
      <c r="I96" s="122" t="str">
        <f>IF(_epmOfflineCondition_,"N",_xll.EVPRO($B$1,$H96,"STYLE"))</f>
        <v>N</v>
      </c>
      <c r="J96" s="122" t="str">
        <f>IF(_epmOfflineCondition_,"N",_xll.EVPRO($B$1,$H96,"CALC"))</f>
        <v>N</v>
      </c>
      <c r="K96" s="179" t="str">
        <f t="shared" si="38"/>
        <v/>
      </c>
      <c r="L96" s="90" t="str">
        <f>IF(_epmOfflineCondition_,"701700",_xll.EVPRO($B$1,H96,"JDEID"))</f>
        <v>701700</v>
      </c>
      <c r="M96" s="90" t="str">
        <f>IF(_epmOfflineCondition_,"590026",IF(AND(I96="N",J96="N"),_xll.EVPRO($B$1,H96,"PSFTID"),""))</f>
        <v>590026</v>
      </c>
      <c r="N96" s="90" t="str">
        <f>IF(_epmOfflineCondition_,"Dishwashing Supplies",IF(_xll.EVDES(H96,$B$1)="#NODATA","",_xll.EVDES(H96,$B$1)))</f>
        <v>Dishwashing Supplies</v>
      </c>
      <c r="O96" s="210">
        <v>633.77</v>
      </c>
      <c r="P96" s="210">
        <v>750.53</v>
      </c>
      <c r="Q96" s="210">
        <v>584.63</v>
      </c>
      <c r="R96" s="210">
        <v>563.34</v>
      </c>
      <c r="S96" s="210">
        <v>403.52</v>
      </c>
      <c r="T96" s="210">
        <v>585.32000000000005</v>
      </c>
      <c r="U96" s="210">
        <v>561.30999999999995</v>
      </c>
      <c r="V96" s="210">
        <v>507.7</v>
      </c>
      <c r="W96" s="210">
        <v>125.85</v>
      </c>
      <c r="X96" s="210">
        <v>643.03</v>
      </c>
      <c r="Y96" s="210">
        <v>750.94</v>
      </c>
      <c r="Z96" s="210">
        <v>665.39</v>
      </c>
      <c r="AA96" s="250">
        <f t="shared" si="39"/>
        <v>6775.3300000000008</v>
      </c>
      <c r="AB96" s="211">
        <f t="shared" si="40"/>
        <v>4.2775043215999287E-3</v>
      </c>
      <c r="AC96" s="140"/>
      <c r="AD96" s="210">
        <v>7214.62</v>
      </c>
      <c r="AE96" s="211">
        <f t="shared" si="41"/>
        <v>4.729644035978346E-3</v>
      </c>
      <c r="AF96" s="253">
        <f t="shared" si="42"/>
        <v>-439.28999999999905</v>
      </c>
      <c r="AG96" s="210">
        <v>673.94</v>
      </c>
      <c r="AH96" s="211">
        <f t="shared" si="43"/>
        <v>1.0989898193988613E-3</v>
      </c>
      <c r="AI96" s="253">
        <f t="shared" si="44"/>
        <v>6101.3900000000012</v>
      </c>
      <c r="AJ96" s="212">
        <f t="shared" si="45"/>
        <v>0.15958098782297386</v>
      </c>
      <c r="AK96" s="213">
        <f t="shared" si="46"/>
        <v>0.18965750153597513</v>
      </c>
      <c r="AL96" s="215">
        <f t="shared" si="47"/>
        <v>3.9200791065611917E-2</v>
      </c>
      <c r="AM96" s="423" t="str">
        <f t="shared" si="48"/>
        <v>-0.05 pts.</v>
      </c>
      <c r="AN96" s="424" t="str">
        <f t="shared" si="49"/>
        <v>0.32 pts.</v>
      </c>
      <c r="AO96" s="11"/>
      <c r="AP96" s="11"/>
    </row>
    <row r="97" spans="1:42" x14ac:dyDescent="0.35">
      <c r="A97" s="11" t="s">
        <v>110</v>
      </c>
      <c r="B97" s="11"/>
      <c r="C97" s="109" t="s">
        <v>101</v>
      </c>
      <c r="D97" s="11" t="s">
        <v>107</v>
      </c>
      <c r="E97" s="11"/>
      <c r="F97" s="11" t="s">
        <v>99</v>
      </c>
      <c r="G97" s="11"/>
      <c r="H97" s="396" t="s">
        <v>859</v>
      </c>
      <c r="I97" s="122" t="str">
        <f>IF(_epmOfflineCondition_,"N",_xll.EVPRO($B$1,$H97,"STYLE"))</f>
        <v>N</v>
      </c>
      <c r="J97" s="122" t="str">
        <f>IF(_epmOfflineCondition_,"N",_xll.EVPRO($B$1,$H97,"CALC"))</f>
        <v>N</v>
      </c>
      <c r="K97" s="179" t="str">
        <f t="shared" si="38"/>
        <v/>
      </c>
      <c r="L97" s="90" t="str">
        <f>IF(_epmOfflineCondition_,"702000",_xll.EVPRO($B$1,H97,"JDEID"))</f>
        <v>702000</v>
      </c>
      <c r="M97" s="90" t="str">
        <f>IF(_epmOfflineCondition_,"590031",IF(AND(I97="N",J97="N"),_xll.EVPRO($B$1,H97,"PSFTID"),""))</f>
        <v>590031</v>
      </c>
      <c r="N97" s="90" t="str">
        <f>IF(_epmOfflineCondition_,"Paper and Plastics",IF(_xll.EVDES(H97,$B$1)="#NODATA","",_xll.EVDES(H97,$B$1)))</f>
        <v>Paper and Plastics</v>
      </c>
      <c r="O97" s="210">
        <v>2692.21</v>
      </c>
      <c r="P97" s="210">
        <v>861.7</v>
      </c>
      <c r="Q97" s="210">
        <v>2677.97</v>
      </c>
      <c r="R97" s="210">
        <v>1913.82</v>
      </c>
      <c r="S97" s="210">
        <v>2178.3200000000002</v>
      </c>
      <c r="T97" s="210">
        <v>2143.2800000000002</v>
      </c>
      <c r="U97" s="210">
        <v>3091.5</v>
      </c>
      <c r="V97" s="210">
        <v>407.41</v>
      </c>
      <c r="W97" s="210">
        <v>1650.78</v>
      </c>
      <c r="X97" s="210">
        <v>2263.4899999999998</v>
      </c>
      <c r="Y97" s="210">
        <v>1861.46</v>
      </c>
      <c r="Z97" s="210">
        <v>1890.89</v>
      </c>
      <c r="AA97" s="250">
        <f t="shared" si="39"/>
        <v>23632.829999999994</v>
      </c>
      <c r="AB97" s="211">
        <f t="shared" si="40"/>
        <v>1.4920237458048009E-2</v>
      </c>
      <c r="AC97" s="140"/>
      <c r="AD97" s="210">
        <v>15461.52</v>
      </c>
      <c r="AE97" s="211">
        <f t="shared" si="41"/>
        <v>1.0136013519098708E-2</v>
      </c>
      <c r="AF97" s="253">
        <f t="shared" si="42"/>
        <v>8171.309999999994</v>
      </c>
      <c r="AG97" s="210">
        <v>5904.23</v>
      </c>
      <c r="AH97" s="211">
        <f t="shared" si="43"/>
        <v>9.6279916036877741E-3</v>
      </c>
      <c r="AI97" s="253">
        <f t="shared" si="44"/>
        <v>17728.599999999995</v>
      </c>
      <c r="AJ97" s="212">
        <f t="shared" si="45"/>
        <v>0.55662976658737062</v>
      </c>
      <c r="AK97" s="213">
        <f t="shared" si="46"/>
        <v>0.40645151832646909</v>
      </c>
      <c r="AL97" s="215">
        <f t="shared" si="47"/>
        <v>0.34342892042810608</v>
      </c>
      <c r="AM97" s="423" t="str">
        <f t="shared" si="48"/>
        <v>0.48 pts.</v>
      </c>
      <c r="AN97" s="424" t="str">
        <f t="shared" si="49"/>
        <v>0.53 pts.</v>
      </c>
      <c r="AO97" s="11"/>
      <c r="AP97" s="11"/>
    </row>
    <row r="98" spans="1:42" x14ac:dyDescent="0.35">
      <c r="A98" s="11"/>
      <c r="B98" s="11"/>
      <c r="C98" s="208"/>
      <c r="D98" s="11"/>
      <c r="E98" s="11"/>
      <c r="F98" s="11"/>
      <c r="G98" s="11"/>
      <c r="H98" s="396" t="s">
        <v>871</v>
      </c>
      <c r="I98" s="122" t="str">
        <f>IF(_epmOfflineCondition_,"N",_xll.EVPRO($B$1,$H98,"STYLE"))</f>
        <v>N</v>
      </c>
      <c r="J98" s="122" t="str">
        <f>IF(_epmOfflineCondition_,"N",_xll.EVPRO($B$1,$H98,"CALC"))</f>
        <v>N</v>
      </c>
      <c r="K98" s="179" t="str">
        <f t="shared" si="38"/>
        <v/>
      </c>
      <c r="L98" s="90" t="str">
        <f>IF(_epmOfflineCondition_,"702300",_xll.EVPRO($B$1,H98,"JDEID"))</f>
        <v>702300</v>
      </c>
      <c r="M98" s="90" t="str">
        <f>IF(_epmOfflineCondition_,"590040",IF(AND(I98="N",J98="N"),_xll.EVPRO($B$1,H98,"PSFTID"),""))</f>
        <v>590040</v>
      </c>
      <c r="N98" s="90" t="str">
        <f>IF(_epmOfflineCondition_,"Decorations",IF(_xll.EVDES(H98,$B$1)="#NODATA","",_xll.EVDES(H98,$B$1)))</f>
        <v>Decorations</v>
      </c>
      <c r="O98" s="210"/>
      <c r="P98" s="210">
        <v>268.26</v>
      </c>
      <c r="Q98" s="210">
        <v>150.43</v>
      </c>
      <c r="R98" s="210">
        <v>473.9</v>
      </c>
      <c r="S98" s="210">
        <v>25.42</v>
      </c>
      <c r="T98" s="210"/>
      <c r="U98" s="210">
        <v>426.07</v>
      </c>
      <c r="V98" s="210">
        <v>171.16</v>
      </c>
      <c r="W98" s="210"/>
      <c r="X98" s="210">
        <v>72.89</v>
      </c>
      <c r="Y98" s="210">
        <v>373.77</v>
      </c>
      <c r="Z98" s="210">
        <v>85.13</v>
      </c>
      <c r="AA98" s="250">
        <f t="shared" si="39"/>
        <v>2047.0300000000002</v>
      </c>
      <c r="AB98" s="211">
        <f t="shared" si="40"/>
        <v>1.2923620947532743E-3</v>
      </c>
      <c r="AC98" s="140"/>
      <c r="AD98" s="210">
        <v>3480</v>
      </c>
      <c r="AE98" s="211">
        <f t="shared" si="41"/>
        <v>2.2813621847310936E-3</v>
      </c>
      <c r="AF98" s="253">
        <f t="shared" si="42"/>
        <v>-1432.9699999999998</v>
      </c>
      <c r="AG98" s="210">
        <v>1419.03</v>
      </c>
      <c r="AH98" s="211">
        <f t="shared" si="43"/>
        <v>2.3140035068723716E-3</v>
      </c>
      <c r="AI98" s="253">
        <f t="shared" si="44"/>
        <v>628.00000000000023</v>
      </c>
      <c r="AJ98" s="212">
        <f t="shared" si="45"/>
        <v>4.8214193183691738E-2</v>
      </c>
      <c r="AK98" s="213">
        <f t="shared" si="46"/>
        <v>9.1482033058594009E-2</v>
      </c>
      <c r="AL98" s="215">
        <f t="shared" si="47"/>
        <v>8.2540134946486737E-2</v>
      </c>
      <c r="AM98" s="423" t="str">
        <f t="shared" si="48"/>
        <v>-0.1 pts.</v>
      </c>
      <c r="AN98" s="424" t="str">
        <f t="shared" si="49"/>
        <v>-0.1 pts.</v>
      </c>
      <c r="AO98" s="11"/>
      <c r="AP98" s="11"/>
    </row>
    <row r="99" spans="1:42" x14ac:dyDescent="0.35">
      <c r="A99" s="11"/>
      <c r="B99" s="11"/>
      <c r="C99" s="208"/>
      <c r="D99" s="11"/>
      <c r="E99" s="11"/>
      <c r="F99" s="11"/>
      <c r="G99" s="11"/>
      <c r="H99" s="396" t="s">
        <v>872</v>
      </c>
      <c r="I99" s="122" t="str">
        <f>IF(_epmOfflineCondition_,"T4",_xll.EVPRO($B$1,$H99,"STYLE"))</f>
        <v>T4</v>
      </c>
      <c r="J99" s="122" t="str">
        <f>IF(_epmOfflineCondition_,"Y",_xll.EVPRO($B$1,$H99,"CALC"))</f>
        <v>Y</v>
      </c>
      <c r="K99" s="179" t="str">
        <f t="shared" si="38"/>
        <v>&gt;</v>
      </c>
      <c r="L99" s="90" t="str">
        <f>IF(_epmOfflineCondition_,"702500",_xll.EVPRO($B$1,H99,"JDEID"))</f>
        <v>702500</v>
      </c>
      <c r="M99" s="90" t="str">
        <f>IF(_epmOfflineCondition_,"",IF(AND(I99="N",J99="N"),_xll.EVPRO($B$1,H99,"PSFTID"),""))</f>
        <v/>
      </c>
      <c r="N99" s="90" t="str">
        <f>IF(_epmOfflineCondition_,"Laundry &amp; Dry Cleaning",IF(_xll.EVDES(H99,$B$1)="#NODATA","",_xll.EVDES(H99,$B$1)))</f>
        <v>Laundry &amp; Dry Cleaning</v>
      </c>
      <c r="O99" s="210"/>
      <c r="P99" s="210"/>
      <c r="Q99" s="210"/>
      <c r="R99" s="210"/>
      <c r="S99" s="210"/>
      <c r="T99" s="210"/>
      <c r="U99" s="210"/>
      <c r="V99" s="210"/>
      <c r="W99" s="210"/>
      <c r="X99" s="210"/>
      <c r="Y99" s="210">
        <v>26</v>
      </c>
      <c r="Z99" s="210">
        <v>-26</v>
      </c>
      <c r="AA99" s="250">
        <f t="shared" si="39"/>
        <v>0</v>
      </c>
      <c r="AB99" s="211" t="str">
        <f t="shared" si="40"/>
        <v/>
      </c>
      <c r="AC99" s="140"/>
      <c r="AD99" s="210"/>
      <c r="AE99" s="211" t="str">
        <f t="shared" si="41"/>
        <v/>
      </c>
      <c r="AF99" s="253">
        <f t="shared" si="42"/>
        <v>0</v>
      </c>
      <c r="AG99" s="210"/>
      <c r="AH99" s="211" t="str">
        <f t="shared" si="43"/>
        <v/>
      </c>
      <c r="AI99" s="253">
        <f t="shared" si="44"/>
        <v>0</v>
      </c>
      <c r="AJ99" s="212">
        <f t="shared" si="45"/>
        <v>0</v>
      </c>
      <c r="AK99" s="213">
        <f t="shared" si="46"/>
        <v>0</v>
      </c>
      <c r="AL99" s="215">
        <f t="shared" si="47"/>
        <v>0</v>
      </c>
      <c r="AM99" s="423">
        <f t="shared" si="48"/>
        <v>0</v>
      </c>
      <c r="AN99" s="424">
        <f t="shared" si="49"/>
        <v>0</v>
      </c>
      <c r="AO99" s="11"/>
      <c r="AP99" s="11"/>
    </row>
    <row r="100" spans="1:42" x14ac:dyDescent="0.35">
      <c r="A100" s="61" t="str">
        <f>IF(_epmOfflineCondition_,"Evdre:Ok",_xll.EVDRE($B$1,A103:B110))</f>
        <v>Evdre:Ok</v>
      </c>
      <c r="B100" s="11" t="s">
        <v>736</v>
      </c>
      <c r="C100" s="11"/>
      <c r="D100" s="11"/>
      <c r="E100" s="11"/>
      <c r="F100" s="11"/>
      <c r="G100" s="11"/>
      <c r="H100" s="396" t="s">
        <v>873</v>
      </c>
      <c r="I100" s="122" t="str">
        <f>IF(_epmOfflineCondition_,"N",_xll.EVPRO($B$1,$H100,"STYLE"))</f>
        <v>N</v>
      </c>
      <c r="J100" s="122" t="str">
        <f>IF(_epmOfflineCondition_,"N",_xll.EVPRO($B$1,$H100,"CALC"))</f>
        <v>N</v>
      </c>
      <c r="K100" s="179" t="str">
        <f t="shared" si="38"/>
        <v/>
      </c>
      <c r="L100" s="90" t="str">
        <f>IF(_epmOfflineCondition_,"702580",_xll.EVPRO($B$1,H100,"JDEID"))</f>
        <v>702580</v>
      </c>
      <c r="M100" s="90" t="str">
        <f>IF(_epmOfflineCondition_,"590166",IF(AND(I100="N",J100="N"),_xll.EVPRO($B$1,H100,"PSFTID"),""))</f>
        <v>590166</v>
      </c>
      <c r="N100" s="90" t="str">
        <f>IF(_epmOfflineCondition_,"Reservations",IF(_xll.EVDES(H100,$B$1)="#NODATA","",_xll.EVDES(H100,$B$1)))</f>
        <v>Reservations</v>
      </c>
      <c r="O100" s="210"/>
      <c r="P100" s="210">
        <v>593.55999999999995</v>
      </c>
      <c r="Q100" s="210">
        <v>121.75</v>
      </c>
      <c r="R100" s="210">
        <v>556.44000000000005</v>
      </c>
      <c r="S100" s="210"/>
      <c r="T100" s="210">
        <v>307</v>
      </c>
      <c r="U100" s="210">
        <v>390.6</v>
      </c>
      <c r="V100" s="210">
        <v>407.6</v>
      </c>
      <c r="W100" s="210">
        <v>479</v>
      </c>
      <c r="X100" s="210">
        <v>210</v>
      </c>
      <c r="Y100" s="210">
        <v>418</v>
      </c>
      <c r="Z100" s="210">
        <v>251</v>
      </c>
      <c r="AA100" s="250">
        <f t="shared" si="39"/>
        <v>3734.95</v>
      </c>
      <c r="AB100" s="211">
        <f t="shared" si="40"/>
        <v>2.3580054057823975E-3</v>
      </c>
      <c r="AC100" s="140"/>
      <c r="AD100" s="210">
        <v>450</v>
      </c>
      <c r="AE100" s="211">
        <f t="shared" si="41"/>
        <v>2.9500373078419315E-4</v>
      </c>
      <c r="AF100" s="253">
        <f t="shared" si="42"/>
        <v>3284.95</v>
      </c>
      <c r="AG100" s="210">
        <v>0</v>
      </c>
      <c r="AH100" s="211" t="str">
        <f t="shared" si="43"/>
        <v/>
      </c>
      <c r="AI100" s="253">
        <f t="shared" si="44"/>
        <v>3734.95</v>
      </c>
      <c r="AJ100" s="212">
        <f t="shared" si="45"/>
        <v>8.7970181595496619E-2</v>
      </c>
      <c r="AK100" s="213">
        <f t="shared" si="46"/>
        <v>1.1829573240335432E-2</v>
      </c>
      <c r="AL100" s="215">
        <f t="shared" si="47"/>
        <v>0</v>
      </c>
      <c r="AM100" s="423" t="str">
        <f t="shared" si="48"/>
        <v>0.21 pts.</v>
      </c>
      <c r="AN100" s="424">
        <f t="shared" si="49"/>
        <v>0</v>
      </c>
      <c r="AO100" s="11"/>
      <c r="AP100" s="11"/>
    </row>
    <row r="101" spans="1:42" x14ac:dyDescent="0.35">
      <c r="A101" s="11"/>
      <c r="B101" s="11"/>
      <c r="C101" s="11"/>
      <c r="D101" s="11"/>
      <c r="E101" s="11"/>
      <c r="F101" s="11"/>
      <c r="G101" s="11"/>
      <c r="H101" s="396" t="s">
        <v>832</v>
      </c>
      <c r="I101" s="122" t="str">
        <f>IF(_epmOfflineCondition_,"T4",_xll.EVPRO($B$1,$H101,"STYLE"))</f>
        <v>T4</v>
      </c>
      <c r="J101" s="122" t="str">
        <f>IF(_epmOfflineCondition_,"Y",_xll.EVPRO($B$1,$H101,"CALC"))</f>
        <v>Y</v>
      </c>
      <c r="K101" s="179" t="str">
        <f t="shared" si="38"/>
        <v>&gt;</v>
      </c>
      <c r="L101" s="90" t="str">
        <f>IF(_epmOfflineCondition_,"",_xll.EVPRO($B$1,H101,"JDEID"))</f>
        <v/>
      </c>
      <c r="M101" s="90" t="str">
        <f>IF(_epmOfflineCondition_,"",IF(AND(I101="N",J101="N"),_xll.EVPRO($B$1,H101,"PSFTID"),""))</f>
        <v/>
      </c>
      <c r="N101" s="90" t="str">
        <f>IF(_epmOfflineCondition_,"Contract Services",IF(_xll.EVDES(H101,$B$1)="#NODATA","",_xll.EVDES(H101,$B$1)))</f>
        <v>Contract Services</v>
      </c>
      <c r="O101" s="210"/>
      <c r="P101" s="210">
        <v>2105.7399999999998</v>
      </c>
      <c r="Q101" s="210">
        <v>4365</v>
      </c>
      <c r="R101" s="210">
        <v>3005.63</v>
      </c>
      <c r="S101" s="210">
        <v>2975</v>
      </c>
      <c r="T101" s="210">
        <v>2675</v>
      </c>
      <c r="U101" s="210">
        <v>3965</v>
      </c>
      <c r="V101" s="210">
        <v>2675</v>
      </c>
      <c r="W101" s="210">
        <v>2975</v>
      </c>
      <c r="X101" s="210">
        <v>11464.72</v>
      </c>
      <c r="Y101" s="210">
        <v>6990.75</v>
      </c>
      <c r="Z101" s="210">
        <v>9528.08</v>
      </c>
      <c r="AA101" s="250">
        <f t="shared" si="39"/>
        <v>52724.92</v>
      </c>
      <c r="AB101" s="211">
        <f t="shared" si="40"/>
        <v>3.3287097920840829E-2</v>
      </c>
      <c r="AC101" s="140"/>
      <c r="AD101" s="210">
        <v>35400</v>
      </c>
      <c r="AE101" s="211">
        <f t="shared" si="41"/>
        <v>2.3206960155023194E-2</v>
      </c>
      <c r="AF101" s="253">
        <f t="shared" si="42"/>
        <v>17324.919999999998</v>
      </c>
      <c r="AG101" s="210">
        <v>25550.43</v>
      </c>
      <c r="AH101" s="211">
        <f t="shared" si="43"/>
        <v>4.1664929298250955E-2</v>
      </c>
      <c r="AI101" s="253">
        <f t="shared" si="44"/>
        <v>27174.489999999998</v>
      </c>
      <c r="AJ101" s="212">
        <f t="shared" si="45"/>
        <v>1.2418428056621993</v>
      </c>
      <c r="AK101" s="213">
        <f t="shared" si="46"/>
        <v>0.93059309490638731</v>
      </c>
      <c r="AL101" s="215">
        <f t="shared" si="47"/>
        <v>1.4861813634248489</v>
      </c>
      <c r="AM101" s="423" t="str">
        <f t="shared" si="48"/>
        <v>1.01 pts.</v>
      </c>
      <c r="AN101" s="424" t="str">
        <f t="shared" si="49"/>
        <v>-0.84 pts.</v>
      </c>
      <c r="AO101" s="11"/>
      <c r="AP101" s="11"/>
    </row>
    <row r="102" spans="1:42" x14ac:dyDescent="0.35">
      <c r="A102" s="62" t="s">
        <v>0</v>
      </c>
      <c r="B102" s="63" t="s">
        <v>1</v>
      </c>
      <c r="C102" s="11"/>
      <c r="D102" s="11"/>
      <c r="E102" s="11"/>
      <c r="F102" s="11"/>
      <c r="G102" s="11"/>
      <c r="H102" s="396" t="s">
        <v>833</v>
      </c>
      <c r="I102" s="122" t="str">
        <f>IF(_epmOfflineCondition_,"T4",_xll.EVPRO($B$1,$H102,"STYLE"))</f>
        <v>T4</v>
      </c>
      <c r="J102" s="122" t="str">
        <f>IF(_epmOfflineCondition_,"Y",_xll.EVPRO($B$1,$H102,"CALC"))</f>
        <v>Y</v>
      </c>
      <c r="K102" s="179" t="str">
        <f t="shared" si="38"/>
        <v>&gt;</v>
      </c>
      <c r="L102" s="90" t="str">
        <f>IF(_epmOfflineCondition_,"",_xll.EVPRO($B$1,H102,"JDEID"))</f>
        <v/>
      </c>
      <c r="M102" s="90" t="str">
        <f>IF(_epmOfflineCondition_,"",IF(AND(I102="N",J102="N"),_xll.EVPRO($B$1,H102,"PSFTID"),""))</f>
        <v/>
      </c>
      <c r="N102" s="90" t="str">
        <f>IF(_epmOfflineCondition_,"Travel - Other",IF(_xll.EVDES(H102,$B$1)="#NODATA","",_xll.EVDES(H102,$B$1)))</f>
        <v>Travel - Other</v>
      </c>
      <c r="O102" s="210"/>
      <c r="P102" s="210">
        <v>80</v>
      </c>
      <c r="Q102" s="210">
        <v>38.14</v>
      </c>
      <c r="R102" s="210">
        <v>80.64</v>
      </c>
      <c r="S102" s="210">
        <v>674.66</v>
      </c>
      <c r="T102" s="210">
        <v>387.98</v>
      </c>
      <c r="U102" s="210">
        <v>-67.86</v>
      </c>
      <c r="V102" s="210">
        <v>-19.149999999999999</v>
      </c>
      <c r="W102" s="210"/>
      <c r="X102" s="210">
        <v>30</v>
      </c>
      <c r="Y102" s="210"/>
      <c r="Z102" s="210">
        <v>388.88</v>
      </c>
      <c r="AA102" s="250">
        <f t="shared" si="39"/>
        <v>1593.29</v>
      </c>
      <c r="AB102" s="211">
        <f t="shared" si="40"/>
        <v>1.0059000610393811E-3</v>
      </c>
      <c r="AC102" s="140"/>
      <c r="AD102" s="210"/>
      <c r="AE102" s="211" t="str">
        <f t="shared" si="41"/>
        <v/>
      </c>
      <c r="AF102" s="253">
        <f t="shared" si="42"/>
        <v>1593.29</v>
      </c>
      <c r="AG102" s="210">
        <v>1800.35</v>
      </c>
      <c r="AH102" s="211">
        <f t="shared" si="43"/>
        <v>2.9358196892226903E-3</v>
      </c>
      <c r="AI102" s="253">
        <f t="shared" si="44"/>
        <v>-207.05999999999995</v>
      </c>
      <c r="AJ102" s="212">
        <f t="shared" si="45"/>
        <v>3.75271451115246E-2</v>
      </c>
      <c r="AK102" s="213">
        <f t="shared" si="46"/>
        <v>0</v>
      </c>
      <c r="AL102" s="215">
        <f t="shared" si="47"/>
        <v>0.10472021870637506</v>
      </c>
      <c r="AM102" s="423">
        <f t="shared" si="48"/>
        <v>0</v>
      </c>
      <c r="AN102" s="424" t="str">
        <f t="shared" si="49"/>
        <v>-0.19 pts.</v>
      </c>
      <c r="AO102" s="11"/>
      <c r="AP102" s="11"/>
    </row>
    <row r="103" spans="1:42" x14ac:dyDescent="0.35">
      <c r="A103" s="65" t="s">
        <v>2</v>
      </c>
      <c r="B103" s="66" t="str">
        <f>IF(_epmOfflineCondition_,"'FB_Cons'!$B$2:$B$10",_xll.EVRNG($B$2:$B$10))</f>
        <v>'FB_Cons'!$B$2:$B$10</v>
      </c>
      <c r="C103" s="11"/>
      <c r="D103" s="11"/>
      <c r="E103" s="11"/>
      <c r="F103" s="11"/>
      <c r="G103" s="11"/>
      <c r="H103" s="396" t="s">
        <v>834</v>
      </c>
      <c r="I103" s="122" t="str">
        <f>IF(_epmOfflineCondition_,"T4",_xll.EVPRO($B$1,$H103,"STYLE"))</f>
        <v>T4</v>
      </c>
      <c r="J103" s="122" t="str">
        <f>IF(_epmOfflineCondition_,"Y",_xll.EVPRO($B$1,$H103,"CALC"))</f>
        <v>Y</v>
      </c>
      <c r="K103" s="179" t="str">
        <f t="shared" si="38"/>
        <v>&gt;</v>
      </c>
      <c r="L103" s="90" t="str">
        <f>IF(_epmOfflineCondition_,"702900",_xll.EVPRO($B$1,H103,"JDEID"))</f>
        <v>702900</v>
      </c>
      <c r="M103" s="90" t="str">
        <f>IF(_epmOfflineCondition_,"",IF(AND(I103="N",J103="N"),_xll.EVPRO($B$1,H103,"PSFTID"),""))</f>
        <v/>
      </c>
      <c r="N103" s="90" t="str">
        <f>IF(_epmOfflineCondition_,"Travel - Meals &amp; Entertainment",IF(_xll.EVDES(H103,$B$1)="#NODATA","",_xll.EVDES(H103,$B$1)))</f>
        <v>Travel - Meals &amp; Entertainment</v>
      </c>
      <c r="O103" s="210"/>
      <c r="P103" s="210">
        <v>345.95</v>
      </c>
      <c r="Q103" s="210">
        <v>9.1199999999999992</v>
      </c>
      <c r="R103" s="210">
        <v>333.25</v>
      </c>
      <c r="S103" s="210">
        <v>408.54</v>
      </c>
      <c r="T103" s="210">
        <v>308.89</v>
      </c>
      <c r="U103" s="210"/>
      <c r="V103" s="210"/>
      <c r="W103" s="210"/>
      <c r="X103" s="210"/>
      <c r="Y103" s="210"/>
      <c r="Z103" s="210">
        <v>111.89</v>
      </c>
      <c r="AA103" s="250">
        <f t="shared" si="39"/>
        <v>1517.64</v>
      </c>
      <c r="AB103" s="211">
        <f t="shared" si="40"/>
        <v>9.5813955314839503E-4</v>
      </c>
      <c r="AC103" s="140"/>
      <c r="AD103" s="210"/>
      <c r="AE103" s="211" t="str">
        <f t="shared" si="41"/>
        <v/>
      </c>
      <c r="AF103" s="253">
        <f t="shared" si="42"/>
        <v>1517.64</v>
      </c>
      <c r="AG103" s="210">
        <v>1149.3499999999999</v>
      </c>
      <c r="AH103" s="211">
        <f t="shared" si="43"/>
        <v>1.874237986951481E-3</v>
      </c>
      <c r="AI103" s="253">
        <f t="shared" si="44"/>
        <v>368.29000000000019</v>
      </c>
      <c r="AJ103" s="212">
        <f t="shared" si="45"/>
        <v>3.5745342346373978E-2</v>
      </c>
      <c r="AK103" s="213">
        <f t="shared" si="46"/>
        <v>0</v>
      </c>
      <c r="AL103" s="215">
        <f t="shared" si="47"/>
        <v>6.6853769194974405E-2</v>
      </c>
      <c r="AM103" s="423">
        <f t="shared" si="48"/>
        <v>0</v>
      </c>
      <c r="AN103" s="424" t="str">
        <f t="shared" si="49"/>
        <v>-0.09 pts.</v>
      </c>
      <c r="AO103" s="11"/>
      <c r="AP103" s="11"/>
    </row>
    <row r="104" spans="1:42" x14ac:dyDescent="0.35">
      <c r="A104" s="65" t="s">
        <v>3</v>
      </c>
      <c r="B104" s="66" t="str">
        <f>IF(_epmOfflineCondition_,"'FB_Cons'!$O$16:$AN$18",_xll.EVRNG($O$16:$AN$18))</f>
        <v>'FB_Cons'!$O$16:$AN$18</v>
      </c>
      <c r="C104" s="11"/>
      <c r="D104" s="11"/>
      <c r="E104" s="11"/>
      <c r="F104" s="11"/>
      <c r="G104" s="11"/>
      <c r="H104" s="396" t="s">
        <v>874</v>
      </c>
      <c r="I104" s="122" t="str">
        <f>IF(_epmOfflineCondition_,"T4",_xll.EVPRO($B$1,$H104,"STYLE"))</f>
        <v>T4</v>
      </c>
      <c r="J104" s="122" t="str">
        <f>IF(_epmOfflineCondition_,"Y",_xll.EVPRO($B$1,$H104,"CALC"))</f>
        <v>Y</v>
      </c>
      <c r="K104" s="179" t="str">
        <f t="shared" si="38"/>
        <v>&gt;</v>
      </c>
      <c r="L104" s="90" t="str">
        <f>IF(_epmOfflineCondition_,"703000",_xll.EVPRO($B$1,H104,"JDEID"))</f>
        <v>703000</v>
      </c>
      <c r="M104" s="90" t="str">
        <f>IF(_epmOfflineCondition_,"",IF(AND(I104="N",J104="N"),_xll.EVPRO($B$1,H104,"PSFTID"),""))</f>
        <v/>
      </c>
      <c r="N104" s="90" t="str">
        <f>IF(_epmOfflineCondition_,"Complimentary Services &amp; Gifts",IF(_xll.EVDES(H104,$B$1)="#NODATA","",_xll.EVDES(H104,$B$1)))</f>
        <v>Complimentary Services &amp; Gifts</v>
      </c>
      <c r="O104" s="210"/>
      <c r="P104" s="210"/>
      <c r="Q104" s="210"/>
      <c r="R104" s="210">
        <v>60.72</v>
      </c>
      <c r="S104" s="210">
        <v>29.98</v>
      </c>
      <c r="T104" s="210"/>
      <c r="U104" s="210"/>
      <c r="V104" s="210"/>
      <c r="W104" s="210">
        <v>332.5</v>
      </c>
      <c r="X104" s="210">
        <v>49.62</v>
      </c>
      <c r="Y104" s="210"/>
      <c r="Z104" s="210">
        <v>144.18</v>
      </c>
      <c r="AA104" s="250">
        <f t="shared" si="39"/>
        <v>617</v>
      </c>
      <c r="AB104" s="211">
        <f t="shared" si="40"/>
        <v>3.8953381848960212E-4</v>
      </c>
      <c r="AC104" s="140"/>
      <c r="AD104" s="210">
        <v>1800</v>
      </c>
      <c r="AE104" s="211">
        <f t="shared" si="41"/>
        <v>1.1800149231367726E-3</v>
      </c>
      <c r="AF104" s="253">
        <f t="shared" si="42"/>
        <v>-1183</v>
      </c>
      <c r="AG104" s="210">
        <v>62.27</v>
      </c>
      <c r="AH104" s="211">
        <f t="shared" si="43"/>
        <v>1.015433066058805E-4</v>
      </c>
      <c r="AI104" s="253">
        <f t="shared" si="44"/>
        <v>554.73</v>
      </c>
      <c r="AJ104" s="212">
        <f t="shared" si="45"/>
        <v>1.4532350378029536E-2</v>
      </c>
      <c r="AK104" s="213">
        <f t="shared" si="46"/>
        <v>4.7318292961341726E-2</v>
      </c>
      <c r="AL104" s="215">
        <f t="shared" si="47"/>
        <v>3.6220335039553282E-3</v>
      </c>
      <c r="AM104" s="423" t="str">
        <f t="shared" si="48"/>
        <v>-0.08 pts.</v>
      </c>
      <c r="AN104" s="424" t="str">
        <f t="shared" si="49"/>
        <v>0.03 pts.</v>
      </c>
      <c r="AO104" s="11"/>
      <c r="AP104" s="11"/>
    </row>
    <row r="105" spans="1:42" x14ac:dyDescent="0.35">
      <c r="A105" s="65" t="s">
        <v>4</v>
      </c>
      <c r="B105" s="66" t="str">
        <f>IF(_epmOfflineCondition_,"'FB_Cons'!$H$116:$H$119",_xll.EVRNG(H116:H119))</f>
        <v>'FB_Cons'!$H$116:$H$119</v>
      </c>
      <c r="C105" s="11"/>
      <c r="D105" s="11"/>
      <c r="E105" s="11"/>
      <c r="F105" s="11"/>
      <c r="G105" s="11"/>
      <c r="H105" s="396" t="s">
        <v>875</v>
      </c>
      <c r="I105" s="122" t="str">
        <f>IF(_epmOfflineCondition_,"N",_xll.EVPRO($B$1,$H105,"STYLE"))</f>
        <v>N</v>
      </c>
      <c r="J105" s="122" t="str">
        <f>IF(_epmOfflineCondition_,"N",_xll.EVPRO($B$1,$H105,"CALC"))</f>
        <v>N</v>
      </c>
      <c r="K105" s="179" t="str">
        <f t="shared" si="38"/>
        <v/>
      </c>
      <c r="L105" s="90" t="str">
        <f>IF(_epmOfflineCondition_,"703200",_xll.EVPRO($B$1,H105,"JDEID"))</f>
        <v>703200</v>
      </c>
      <c r="M105" s="90" t="str">
        <f>IF(_epmOfflineCondition_,"590035",IF(AND(I105="N",J105="N"),_xll.EVPRO($B$1,H105,"PSFTID"),""))</f>
        <v>590035</v>
      </c>
      <c r="N105" s="90" t="str">
        <f>IF(_epmOfflineCondition_,"Uniform Costs",IF(_xll.EVDES(H105,$B$1)="#NODATA","",_xll.EVDES(H105,$B$1)))</f>
        <v>Uniform Costs</v>
      </c>
      <c r="O105" s="210"/>
      <c r="P105" s="210"/>
      <c r="Q105" s="210"/>
      <c r="R105" s="210">
        <v>41.67</v>
      </c>
      <c r="S105" s="210"/>
      <c r="T105" s="210"/>
      <c r="U105" s="210">
        <v>581.23</v>
      </c>
      <c r="V105" s="210"/>
      <c r="W105" s="210"/>
      <c r="X105" s="210">
        <v>318.83</v>
      </c>
      <c r="Y105" s="210">
        <v>98.32</v>
      </c>
      <c r="Z105" s="210">
        <v>633.73</v>
      </c>
      <c r="AA105" s="250">
        <f t="shared" si="39"/>
        <v>1673.78</v>
      </c>
      <c r="AB105" s="211">
        <f t="shared" si="40"/>
        <v>1.05671623129907E-3</v>
      </c>
      <c r="AC105" s="140"/>
      <c r="AD105" s="210">
        <v>1400</v>
      </c>
      <c r="AE105" s="211">
        <f t="shared" si="41"/>
        <v>9.1778938466193427E-4</v>
      </c>
      <c r="AF105" s="253">
        <f t="shared" si="42"/>
        <v>273.77999999999997</v>
      </c>
      <c r="AG105" s="210">
        <v>890.36</v>
      </c>
      <c r="AH105" s="211">
        <f t="shared" si="43"/>
        <v>1.4519045843843224E-3</v>
      </c>
      <c r="AI105" s="253">
        <f t="shared" si="44"/>
        <v>783.42</v>
      </c>
      <c r="AJ105" s="212">
        <f t="shared" si="45"/>
        <v>3.9422945568457497E-2</v>
      </c>
      <c r="AK105" s="213">
        <f t="shared" si="46"/>
        <v>3.6803116747710231E-2</v>
      </c>
      <c r="AL105" s="215">
        <f t="shared" si="47"/>
        <v>5.1789204281060958E-2</v>
      </c>
      <c r="AM105" s="423" t="str">
        <f t="shared" si="48"/>
        <v>0.01 pts.</v>
      </c>
      <c r="AN105" s="424" t="str">
        <f t="shared" si="49"/>
        <v>-0.04 pts.</v>
      </c>
      <c r="AO105" s="11"/>
      <c r="AP105" s="11"/>
    </row>
    <row r="106" spans="1:42" x14ac:dyDescent="0.35">
      <c r="A106" s="65" t="s">
        <v>5</v>
      </c>
      <c r="B106" s="66"/>
      <c r="C106" s="11"/>
      <c r="D106" s="11"/>
      <c r="E106" s="11"/>
      <c r="F106" s="11"/>
      <c r="G106" s="11"/>
      <c r="H106" s="396" t="s">
        <v>876</v>
      </c>
      <c r="I106" s="122" t="str">
        <f>IF(_epmOfflineCondition_,"N",_xll.EVPRO($B$1,$H106,"STYLE"))</f>
        <v>N</v>
      </c>
      <c r="J106" s="122" t="str">
        <f>IF(_epmOfflineCondition_,"N",_xll.EVPRO($B$1,$H106,"CALC"))</f>
        <v>N</v>
      </c>
      <c r="K106" s="179" t="str">
        <f t="shared" si="38"/>
        <v/>
      </c>
      <c r="L106" s="90" t="str">
        <f>IF(_epmOfflineCondition_,"703300",_xll.EVPRO($B$1,H106,"JDEID"))</f>
        <v>703300</v>
      </c>
      <c r="M106" s="90" t="str">
        <f>IF(_epmOfflineCondition_,"590115",IF(AND(I106="N",J106="N"),_xll.EVPRO($B$1,H106,"PSFTID"),""))</f>
        <v>590115</v>
      </c>
      <c r="N106" s="90" t="str">
        <f>IF(_epmOfflineCondition_,"Uniforms Laundry",IF(_xll.EVDES(H106,$B$1)="#NODATA","",_xll.EVDES(H106,$B$1)))</f>
        <v>Uniforms Laundry</v>
      </c>
      <c r="O106" s="210"/>
      <c r="P106" s="210">
        <v>387.3</v>
      </c>
      <c r="Q106" s="210">
        <v>621.98</v>
      </c>
      <c r="R106" s="210">
        <v>247.4</v>
      </c>
      <c r="S106" s="210">
        <v>83.6</v>
      </c>
      <c r="T106" s="210">
        <v>0.4</v>
      </c>
      <c r="U106" s="210">
        <v>34.200000000000003</v>
      </c>
      <c r="V106" s="210">
        <v>138.19999999999999</v>
      </c>
      <c r="W106" s="210">
        <v>361</v>
      </c>
      <c r="X106" s="210">
        <v>372.4</v>
      </c>
      <c r="Y106" s="210">
        <v>376.5</v>
      </c>
      <c r="Z106" s="210">
        <v>376.5</v>
      </c>
      <c r="AA106" s="250">
        <f t="shared" si="39"/>
        <v>2999.48</v>
      </c>
      <c r="AB106" s="211">
        <f t="shared" si="40"/>
        <v>1.8936773061315911E-3</v>
      </c>
      <c r="AC106" s="140"/>
      <c r="AD106" s="210">
        <v>5989.6</v>
      </c>
      <c r="AE106" s="211">
        <f t="shared" si="41"/>
        <v>3.9265652131222298E-3</v>
      </c>
      <c r="AF106" s="253">
        <f t="shared" si="42"/>
        <v>-2990.1200000000003</v>
      </c>
      <c r="AG106" s="210">
        <v>2436.14</v>
      </c>
      <c r="AH106" s="211">
        <f t="shared" si="43"/>
        <v>3.9725985378970558E-3</v>
      </c>
      <c r="AI106" s="253">
        <f t="shared" si="44"/>
        <v>563.34000000000015</v>
      </c>
      <c r="AJ106" s="212">
        <f t="shared" si="45"/>
        <v>7.0647478625432789E-2</v>
      </c>
      <c r="AK106" s="213">
        <f t="shared" si="46"/>
        <v>0.15745424862291801</v>
      </c>
      <c r="AL106" s="215">
        <f t="shared" si="47"/>
        <v>0.14170195439739414</v>
      </c>
      <c r="AM106" s="423" t="str">
        <f t="shared" si="48"/>
        <v>-0.2 pts.</v>
      </c>
      <c r="AN106" s="424" t="str">
        <f t="shared" si="49"/>
        <v>-0.21 pts.</v>
      </c>
      <c r="AO106" s="11"/>
      <c r="AP106" s="11"/>
    </row>
    <row r="107" spans="1:42" x14ac:dyDescent="0.35">
      <c r="A107" s="65" t="s">
        <v>6</v>
      </c>
      <c r="B107" s="66"/>
      <c r="C107" s="11"/>
      <c r="D107" s="11"/>
      <c r="E107" s="11"/>
      <c r="F107" s="11"/>
      <c r="G107" s="11"/>
      <c r="H107" s="396" t="s">
        <v>860</v>
      </c>
      <c r="I107" s="122" t="str">
        <f>IF(_epmOfflineCondition_,"N",_xll.EVPRO($B$1,$H107,"STYLE"))</f>
        <v>N</v>
      </c>
      <c r="J107" s="122" t="str">
        <f>IF(_epmOfflineCondition_,"N",_xll.EVPRO($B$1,$H107,"CALC"))</f>
        <v>N</v>
      </c>
      <c r="K107" s="179" t="str">
        <f t="shared" si="38"/>
        <v/>
      </c>
      <c r="L107" s="90" t="str">
        <f>IF(_epmOfflineCondition_,"703400",_xll.EVPRO($B$1,H107,"JDEID"))</f>
        <v>703400</v>
      </c>
      <c r="M107" s="90" t="str">
        <f>IF(_epmOfflineCondition_,"590010",IF(AND(I107="N",J107="N"),_xll.EVPRO($B$1,H107,"PSFTID"),""))</f>
        <v>590010</v>
      </c>
      <c r="N107" s="90" t="str">
        <f>IF(_epmOfflineCondition_,"Linen",IF(_xll.EVDES(H107,$B$1)="#NODATA","",_xll.EVDES(H107,$B$1)))</f>
        <v>Linen</v>
      </c>
      <c r="O107" s="210">
        <v>586.62</v>
      </c>
      <c r="P107" s="210">
        <v>492.29</v>
      </c>
      <c r="Q107" s="210">
        <v>894.83</v>
      </c>
      <c r="R107" s="210">
        <v>940.51</v>
      </c>
      <c r="S107" s="210">
        <v>1153.56</v>
      </c>
      <c r="T107" s="210">
        <v>1976.12</v>
      </c>
      <c r="U107" s="210">
        <v>925.06</v>
      </c>
      <c r="V107" s="210">
        <v>2338.54</v>
      </c>
      <c r="W107" s="210">
        <v>1264.76</v>
      </c>
      <c r="X107" s="210">
        <v>1602.47</v>
      </c>
      <c r="Y107" s="210">
        <v>1235.74</v>
      </c>
      <c r="Z107" s="210">
        <v>3814.83</v>
      </c>
      <c r="AA107" s="250">
        <f t="shared" si="39"/>
        <v>17225.329999999998</v>
      </c>
      <c r="AB107" s="211">
        <f t="shared" si="40"/>
        <v>1.08749571631175E-2</v>
      </c>
      <c r="AC107" s="140"/>
      <c r="AD107" s="210">
        <v>12572.4</v>
      </c>
      <c r="AE107" s="211">
        <f t="shared" si="41"/>
        <v>8.2420108998026449E-3</v>
      </c>
      <c r="AF107" s="253">
        <f t="shared" si="42"/>
        <v>4652.9299999999985</v>
      </c>
      <c r="AG107" s="210">
        <v>6231.14</v>
      </c>
      <c r="AH107" s="211">
        <f t="shared" si="43"/>
        <v>1.0161081733164705E-2</v>
      </c>
      <c r="AI107" s="253">
        <f t="shared" si="44"/>
        <v>10994.189999999999</v>
      </c>
      <c r="AJ107" s="212">
        <f t="shared" si="45"/>
        <v>0.40571236780742864</v>
      </c>
      <c r="AK107" s="213">
        <f t="shared" si="46"/>
        <v>0.33050250357065147</v>
      </c>
      <c r="AL107" s="215">
        <f t="shared" si="47"/>
        <v>0.36244416007445324</v>
      </c>
      <c r="AM107" s="423" t="str">
        <f t="shared" si="48"/>
        <v>0.26 pts.</v>
      </c>
      <c r="AN107" s="424" t="str">
        <f t="shared" si="49"/>
        <v>0.07 pts.</v>
      </c>
      <c r="AO107" s="11"/>
      <c r="AP107" s="11"/>
    </row>
    <row r="108" spans="1:42" x14ac:dyDescent="0.35">
      <c r="A108" s="65" t="s">
        <v>7</v>
      </c>
      <c r="B108" s="66"/>
      <c r="C108" s="11"/>
      <c r="D108" s="11"/>
      <c r="E108" s="11"/>
      <c r="F108" s="11"/>
      <c r="G108" s="76"/>
      <c r="H108" s="396" t="s">
        <v>861</v>
      </c>
      <c r="I108" s="122" t="str">
        <f>IF(_epmOfflineCondition_,"N",_xll.EVPRO($B$1,$H108,"STYLE"))</f>
        <v>N</v>
      </c>
      <c r="J108" s="122" t="str">
        <f>IF(_epmOfflineCondition_,"N",_xll.EVPRO($B$1,$H108,"CALC"))</f>
        <v>N</v>
      </c>
      <c r="K108" s="179" t="str">
        <f t="shared" si="38"/>
        <v/>
      </c>
      <c r="L108" s="90" t="str">
        <f>IF(_epmOfflineCondition_,"703500",_xll.EVPRO($B$1,H108,"JDEID"))</f>
        <v>703500</v>
      </c>
      <c r="M108" s="90" t="str">
        <f>IF(_epmOfflineCondition_,"590004",IF(AND(I108="N",J108="N"),_xll.EVPRO($B$1,H108,"PSFTID"),""))</f>
        <v>590004</v>
      </c>
      <c r="N108" s="90" t="str">
        <f>IF(_epmOfflineCondition_,"China",IF(_xll.EVDES(H108,$B$1)="#NODATA","",_xll.EVDES(H108,$B$1)))</f>
        <v>China</v>
      </c>
      <c r="O108" s="210"/>
      <c r="P108" s="210"/>
      <c r="Q108" s="210"/>
      <c r="R108" s="210">
        <v>297.06</v>
      </c>
      <c r="S108" s="210"/>
      <c r="T108" s="210"/>
      <c r="U108" s="210"/>
      <c r="V108" s="210"/>
      <c r="W108" s="210"/>
      <c r="X108" s="210">
        <v>93.2</v>
      </c>
      <c r="Y108" s="210">
        <v>881.04</v>
      </c>
      <c r="Z108" s="210"/>
      <c r="AA108" s="250">
        <f t="shared" si="39"/>
        <v>1271.3</v>
      </c>
      <c r="AB108" s="211">
        <f t="shared" si="40"/>
        <v>8.0261643994462091E-4</v>
      </c>
      <c r="AC108" s="140"/>
      <c r="AD108" s="210"/>
      <c r="AE108" s="211" t="str">
        <f t="shared" si="41"/>
        <v/>
      </c>
      <c r="AF108" s="253">
        <f t="shared" si="42"/>
        <v>1271.3</v>
      </c>
      <c r="AG108" s="210"/>
      <c r="AH108" s="211" t="str">
        <f t="shared" si="43"/>
        <v/>
      </c>
      <c r="AI108" s="253">
        <f t="shared" si="44"/>
        <v>1271.3</v>
      </c>
      <c r="AJ108" s="212">
        <f t="shared" si="45"/>
        <v>2.99432366865299E-2</v>
      </c>
      <c r="AK108" s="213">
        <f t="shared" si="46"/>
        <v>0</v>
      </c>
      <c r="AL108" s="215">
        <f t="shared" si="47"/>
        <v>0</v>
      </c>
      <c r="AM108" s="423">
        <f t="shared" si="48"/>
        <v>0</v>
      </c>
      <c r="AN108" s="424">
        <f t="shared" si="49"/>
        <v>0</v>
      </c>
      <c r="AO108" s="11"/>
      <c r="AP108" s="11"/>
    </row>
    <row r="109" spans="1:42" x14ac:dyDescent="0.35">
      <c r="A109" s="65" t="s">
        <v>47</v>
      </c>
      <c r="B109" s="66" t="str">
        <f>IF(_epmOfflineCondition_,"'FB_Cons'!$A$114:$B$135",_xll.EVRNG($A$114:$B$135))</f>
        <v>'FB_Cons'!$A$114:$B$135</v>
      </c>
      <c r="C109" s="11"/>
      <c r="D109" s="11"/>
      <c r="E109" s="11"/>
      <c r="F109" s="11"/>
      <c r="G109" s="11"/>
      <c r="H109" s="396" t="s">
        <v>877</v>
      </c>
      <c r="I109" s="122" t="str">
        <f>IF(_epmOfflineCondition_,"N",_xll.EVPRO($B$1,$H109,"STYLE"))</f>
        <v>N</v>
      </c>
      <c r="J109" s="122" t="str">
        <f>IF(_epmOfflineCondition_,"N",_xll.EVPRO($B$1,$H109,"CALC"))</f>
        <v>N</v>
      </c>
      <c r="K109" s="179" t="str">
        <f t="shared" si="38"/>
        <v/>
      </c>
      <c r="L109" s="90" t="str">
        <f>IF(_epmOfflineCondition_,"703510",_xll.EVPRO($B$1,H109,"JDEID"))</f>
        <v>703510</v>
      </c>
      <c r="M109" s="90" t="str">
        <f>IF(_epmOfflineCondition_,"590003",IF(AND(I109="N",J109="N"),_xll.EVPRO($B$1,H109,"PSFTID"),""))</f>
        <v>590003</v>
      </c>
      <c r="N109" s="90" t="str">
        <f>IF(_epmOfflineCondition_,"Glassware",IF(_xll.EVDES(H109,$B$1)="#NODATA","",_xll.EVDES(H109,$B$1)))</f>
        <v>Glassware</v>
      </c>
      <c r="O109" s="210"/>
      <c r="P109" s="210"/>
      <c r="Q109" s="210"/>
      <c r="R109" s="210"/>
      <c r="S109" s="210"/>
      <c r="T109" s="210"/>
      <c r="U109" s="210">
        <v>803.86</v>
      </c>
      <c r="V109" s="210"/>
      <c r="W109" s="210"/>
      <c r="X109" s="210"/>
      <c r="Y109" s="210"/>
      <c r="Z109" s="210"/>
      <c r="AA109" s="250">
        <f t="shared" si="39"/>
        <v>803.86</v>
      </c>
      <c r="AB109" s="211">
        <f t="shared" si="40"/>
        <v>5.0750511398873837E-4</v>
      </c>
      <c r="AC109" s="140"/>
      <c r="AD109" s="210"/>
      <c r="AE109" s="211" t="str">
        <f t="shared" si="41"/>
        <v/>
      </c>
      <c r="AF109" s="253">
        <f t="shared" si="42"/>
        <v>803.86</v>
      </c>
      <c r="AG109" s="210">
        <v>1081.58</v>
      </c>
      <c r="AH109" s="211">
        <f t="shared" si="43"/>
        <v>1.7637258641205751E-3</v>
      </c>
      <c r="AI109" s="253">
        <f t="shared" si="44"/>
        <v>-277.71999999999991</v>
      </c>
      <c r="AJ109" s="212">
        <f t="shared" si="45"/>
        <v>1.893350919754104E-2</v>
      </c>
      <c r="AK109" s="213">
        <f t="shared" si="46"/>
        <v>0</v>
      </c>
      <c r="AL109" s="215">
        <f t="shared" si="47"/>
        <v>6.2911819450907389E-2</v>
      </c>
      <c r="AM109" s="423">
        <f t="shared" si="48"/>
        <v>0</v>
      </c>
      <c r="AN109" s="424" t="str">
        <f t="shared" si="49"/>
        <v>-0.13 pts.</v>
      </c>
      <c r="AO109" s="11"/>
      <c r="AP109" s="11"/>
    </row>
    <row r="110" spans="1:42" x14ac:dyDescent="0.35">
      <c r="A110" s="65" t="s">
        <v>8</v>
      </c>
      <c r="B110" s="66"/>
      <c r="C110" s="11"/>
      <c r="D110" s="11"/>
      <c r="E110" s="11"/>
      <c r="F110" s="11"/>
      <c r="G110" s="11"/>
      <c r="H110" s="396" t="s">
        <v>878</v>
      </c>
      <c r="I110" s="122" t="str">
        <f>IF(_epmOfflineCondition_,"N",_xll.EVPRO($B$1,$H110,"STYLE"))</f>
        <v>N</v>
      </c>
      <c r="J110" s="122" t="str">
        <f>IF(_epmOfflineCondition_,"N",_xll.EVPRO($B$1,$H110,"CALC"))</f>
        <v>N</v>
      </c>
      <c r="K110" s="179" t="str">
        <f t="shared" si="38"/>
        <v/>
      </c>
      <c r="L110" s="90" t="str">
        <f>IF(_epmOfflineCondition_,"703600",_xll.EVPRO($B$1,H110,"JDEID"))</f>
        <v>703600</v>
      </c>
      <c r="M110" s="90" t="str">
        <f>IF(_epmOfflineCondition_,"590045",IF(AND(I110="N",J110="N"),_xll.EVPRO($B$1,H110,"PSFTID"),""))</f>
        <v>590045</v>
      </c>
      <c r="N110" s="90" t="str">
        <f>IF(_epmOfflineCondition_,"Utensils",IF(_xll.EVDES(H110,$B$1)="#NODATA","",_xll.EVDES(H110,$B$1)))</f>
        <v>Utensils</v>
      </c>
      <c r="O110" s="210"/>
      <c r="P110" s="210"/>
      <c r="Q110" s="210"/>
      <c r="R110" s="210">
        <v>129.30000000000001</v>
      </c>
      <c r="S110" s="210"/>
      <c r="T110" s="210"/>
      <c r="U110" s="210"/>
      <c r="V110" s="210"/>
      <c r="W110" s="210"/>
      <c r="X110" s="210"/>
      <c r="Y110" s="210"/>
      <c r="Z110" s="210"/>
      <c r="AA110" s="250">
        <f t="shared" si="39"/>
        <v>129.30000000000001</v>
      </c>
      <c r="AB110" s="211">
        <f t="shared" si="40"/>
        <v>8.1631641378777242E-5</v>
      </c>
      <c r="AC110" s="140"/>
      <c r="AD110" s="210"/>
      <c r="AE110" s="211" t="str">
        <f t="shared" si="41"/>
        <v/>
      </c>
      <c r="AF110" s="253">
        <f t="shared" si="42"/>
        <v>129.30000000000001</v>
      </c>
      <c r="AG110" s="210"/>
      <c r="AH110" s="211" t="str">
        <f t="shared" si="43"/>
        <v/>
      </c>
      <c r="AI110" s="253">
        <f t="shared" si="44"/>
        <v>129.30000000000001</v>
      </c>
      <c r="AJ110" s="212">
        <f t="shared" si="45"/>
        <v>3.0454342040181835E-3</v>
      </c>
      <c r="AK110" s="213">
        <f t="shared" si="46"/>
        <v>0</v>
      </c>
      <c r="AL110" s="215">
        <f t="shared" si="47"/>
        <v>0</v>
      </c>
      <c r="AM110" s="423">
        <f t="shared" si="48"/>
        <v>0</v>
      </c>
      <c r="AN110" s="424">
        <f t="shared" si="49"/>
        <v>0</v>
      </c>
      <c r="AO110" s="11"/>
      <c r="AP110" s="11"/>
    </row>
    <row r="111" spans="1:42" x14ac:dyDescent="0.35">
      <c r="A111" s="11"/>
      <c r="B111" s="11"/>
      <c r="C111" s="11"/>
      <c r="D111" s="11"/>
      <c r="E111" s="11"/>
      <c r="F111" s="11"/>
      <c r="G111" s="11"/>
      <c r="H111" s="396" t="s">
        <v>879</v>
      </c>
      <c r="I111" s="122" t="str">
        <f>IF(_epmOfflineCondition_,"N",_xll.EVPRO($B$1,$H111,"STYLE"))</f>
        <v>N</v>
      </c>
      <c r="J111" s="122" t="str">
        <f>IF(_epmOfflineCondition_,"N",_xll.EVPRO($B$1,$H111,"CALC"))</f>
        <v>N</v>
      </c>
      <c r="K111" s="179" t="str">
        <f t="shared" si="38"/>
        <v/>
      </c>
      <c r="L111" s="90" t="str">
        <f>IF(_epmOfflineCondition_,"703700",_xll.EVPRO($B$1,H111,"JDEID"))</f>
        <v>703700</v>
      </c>
      <c r="M111" s="90" t="str">
        <f>IF(_epmOfflineCondition_,"590046",IF(AND(I111="N",J111="N"),_xll.EVPRO($B$1,H111,"PSFTID"),""))</f>
        <v>590046</v>
      </c>
      <c r="N111" s="90" t="str">
        <f>IF(_epmOfflineCondition_,"Menus and Beverage Lists",IF(_xll.EVDES(H111,$B$1)="#NODATA","",_xll.EVDES(H111,$B$1)))</f>
        <v>Menus and Beverage Lists</v>
      </c>
      <c r="O111" s="210"/>
      <c r="P111" s="210"/>
      <c r="Q111" s="210">
        <v>75.36</v>
      </c>
      <c r="R111" s="210"/>
      <c r="S111" s="210"/>
      <c r="T111" s="210"/>
      <c r="U111" s="210"/>
      <c r="V111" s="210"/>
      <c r="W111" s="210"/>
      <c r="X111" s="210"/>
      <c r="Y111" s="210"/>
      <c r="Z111" s="210"/>
      <c r="AA111" s="250">
        <f t="shared" si="39"/>
        <v>75.36</v>
      </c>
      <c r="AB111" s="211">
        <f t="shared" si="40"/>
        <v>4.7577420682943947E-5</v>
      </c>
      <c r="AC111" s="140"/>
      <c r="AD111" s="210"/>
      <c r="AE111" s="211" t="str">
        <f t="shared" si="41"/>
        <v/>
      </c>
      <c r="AF111" s="253">
        <f t="shared" si="42"/>
        <v>75.36</v>
      </c>
      <c r="AG111" s="210">
        <v>1678.07</v>
      </c>
      <c r="AH111" s="211">
        <f t="shared" si="43"/>
        <v>2.7364184441324851E-3</v>
      </c>
      <c r="AI111" s="253">
        <f t="shared" si="44"/>
        <v>-1602.71</v>
      </c>
      <c r="AJ111" s="212">
        <f t="shared" si="45"/>
        <v>1.7749723249405281E-3</v>
      </c>
      <c r="AK111" s="213">
        <f t="shared" si="46"/>
        <v>0</v>
      </c>
      <c r="AL111" s="215">
        <f t="shared" si="47"/>
        <v>9.7607608189855741E-2</v>
      </c>
      <c r="AM111" s="423">
        <f t="shared" si="48"/>
        <v>0</v>
      </c>
      <c r="AN111" s="424" t="str">
        <f t="shared" si="49"/>
        <v>-0.27 pts.</v>
      </c>
      <c r="AO111" s="11"/>
      <c r="AP111" s="11"/>
    </row>
    <row r="112" spans="1:42" x14ac:dyDescent="0.35">
      <c r="A112" s="11"/>
      <c r="B112" s="11"/>
      <c r="C112" s="11"/>
      <c r="D112" s="11"/>
      <c r="E112" s="11"/>
      <c r="F112" s="11"/>
      <c r="G112" s="11"/>
      <c r="H112" s="396" t="s">
        <v>862</v>
      </c>
      <c r="I112" s="122" t="str">
        <f>IF(_epmOfflineCondition_,"N",_xll.EVPRO($B$1,$H112,"STYLE"))</f>
        <v>N</v>
      </c>
      <c r="J112" s="122" t="str">
        <f>IF(_epmOfflineCondition_,"N",_xll.EVPRO($B$1,$H112,"CALC"))</f>
        <v>N</v>
      </c>
      <c r="K112" s="179" t="str">
        <f t="shared" si="38"/>
        <v/>
      </c>
      <c r="L112" s="90" t="str">
        <f>IF(_epmOfflineCondition_,"703800",_xll.EVPRO($B$1,H112,"JDEID"))</f>
        <v>703800</v>
      </c>
      <c r="M112" s="90" t="str">
        <f>IF(_epmOfflineCondition_,"690065",IF(AND(I112="N",J112="N"),_xll.EVPRO($B$1,H112,"PSFTID"),""))</f>
        <v>690065</v>
      </c>
      <c r="N112" s="90" t="str">
        <f>IF(_epmOfflineCondition_,"Equipment Rental",IF(_xll.EVDES(H112,$B$1)="#NODATA","",_xll.EVDES(H112,$B$1)))</f>
        <v>Equipment Rental</v>
      </c>
      <c r="O112" s="210"/>
      <c r="P112" s="210"/>
      <c r="Q112" s="210"/>
      <c r="R112" s="210"/>
      <c r="S112" s="210"/>
      <c r="T112" s="210">
        <v>320.91000000000003</v>
      </c>
      <c r="U112" s="210"/>
      <c r="V112" s="210"/>
      <c r="W112" s="210">
        <v>337</v>
      </c>
      <c r="X112" s="210"/>
      <c r="Y112" s="210">
        <v>0.5</v>
      </c>
      <c r="Z112" s="210"/>
      <c r="AA112" s="250">
        <f t="shared" si="39"/>
        <v>658.41000000000008</v>
      </c>
      <c r="AB112" s="211">
        <f t="shared" si="40"/>
        <v>4.1567740912761578E-4</v>
      </c>
      <c r="AC112" s="140"/>
      <c r="AD112" s="210">
        <v>2178</v>
      </c>
      <c r="AE112" s="211">
        <f t="shared" si="41"/>
        <v>1.4278180569954949E-3</v>
      </c>
      <c r="AF112" s="253">
        <f t="shared" si="42"/>
        <v>-1519.59</v>
      </c>
      <c r="AG112" s="210">
        <v>4164.5</v>
      </c>
      <c r="AH112" s="211">
        <f t="shared" si="43"/>
        <v>6.791024576203457E-3</v>
      </c>
      <c r="AI112" s="253">
        <f t="shared" si="44"/>
        <v>-3506.09</v>
      </c>
      <c r="AJ112" s="212">
        <f t="shared" si="45"/>
        <v>1.5507690133546885E-2</v>
      </c>
      <c r="AK112" s="213">
        <f t="shared" si="46"/>
        <v>5.7255134483223488E-2</v>
      </c>
      <c r="AL112" s="215">
        <f t="shared" si="47"/>
        <v>0.24223476035365285</v>
      </c>
      <c r="AM112" s="423" t="str">
        <f t="shared" si="48"/>
        <v>-0.1 pts.</v>
      </c>
      <c r="AN112" s="424" t="str">
        <f t="shared" si="49"/>
        <v>-0.64 pts.</v>
      </c>
      <c r="AO112" s="11"/>
      <c r="AP112" s="11"/>
    </row>
    <row r="113" spans="1:42" x14ac:dyDescent="0.35">
      <c r="A113" s="62" t="s">
        <v>23</v>
      </c>
      <c r="B113" s="63" t="s">
        <v>24</v>
      </c>
      <c r="C113" s="11"/>
      <c r="D113" s="11"/>
      <c r="E113" s="11"/>
      <c r="F113" s="11"/>
      <c r="G113" s="76"/>
      <c r="H113" s="396" t="s">
        <v>880</v>
      </c>
      <c r="I113" s="122" t="str">
        <f>IF(_epmOfflineCondition_,"N",_xll.EVPRO($B$1,$H113,"STYLE"))</f>
        <v>N</v>
      </c>
      <c r="J113" s="122" t="str">
        <f>IF(_epmOfflineCondition_,"N",_xll.EVPRO($B$1,$H113,"CALC"))</f>
        <v>N</v>
      </c>
      <c r="K113" s="179" t="str">
        <f t="shared" si="38"/>
        <v/>
      </c>
      <c r="L113" s="90" t="str">
        <f>IF(_epmOfflineCondition_,"704100",_xll.EVPRO($B$1,H113,"JDEID"))</f>
        <v>704100</v>
      </c>
      <c r="M113" s="90" t="str">
        <f>IF(_epmOfflineCondition_,"690241",IF(AND(I113="N",J113="N"),_xll.EVPRO($B$1,H113,"PSFTID"),""))</f>
        <v>690241</v>
      </c>
      <c r="N113" s="90" t="str">
        <f>IF(_epmOfflineCondition_,"Music and Entertainment",IF(_xll.EVDES(H113,$B$1)="#NODATA","",_xll.EVDES(H113,$B$1)))</f>
        <v>Music and Entertainment</v>
      </c>
      <c r="O113" s="210"/>
      <c r="P113" s="210"/>
      <c r="Q113" s="210"/>
      <c r="R113" s="210"/>
      <c r="S113" s="210">
        <v>750</v>
      </c>
      <c r="T113" s="210">
        <v>700</v>
      </c>
      <c r="U113" s="210">
        <v>300</v>
      </c>
      <c r="V113" s="210"/>
      <c r="W113" s="210">
        <v>-300</v>
      </c>
      <c r="X113" s="210">
        <v>300</v>
      </c>
      <c r="Y113" s="210">
        <v>150</v>
      </c>
      <c r="Z113" s="210"/>
      <c r="AA113" s="250">
        <f t="shared" si="39"/>
        <v>1900</v>
      </c>
      <c r="AB113" s="211">
        <f t="shared" si="40"/>
        <v>1.1995368802759222E-3</v>
      </c>
      <c r="AC113" s="140"/>
      <c r="AD113" s="210">
        <v>4200</v>
      </c>
      <c r="AE113" s="211">
        <f t="shared" si="41"/>
        <v>2.7533681539858028E-3</v>
      </c>
      <c r="AF113" s="253">
        <f t="shared" si="42"/>
        <v>-2300</v>
      </c>
      <c r="AG113" s="210">
        <v>4200</v>
      </c>
      <c r="AH113" s="211">
        <f t="shared" si="43"/>
        <v>6.8489142082013496E-3</v>
      </c>
      <c r="AI113" s="253">
        <f t="shared" si="44"/>
        <v>-2300</v>
      </c>
      <c r="AJ113" s="212">
        <f t="shared" si="45"/>
        <v>4.4751159997173613E-2</v>
      </c>
      <c r="AK113" s="213">
        <f t="shared" si="46"/>
        <v>0.11040935024313069</v>
      </c>
      <c r="AL113" s="215">
        <f t="shared" si="47"/>
        <v>0.24429967426710097</v>
      </c>
      <c r="AM113" s="423" t="str">
        <f t="shared" si="48"/>
        <v>-0.16 pts.</v>
      </c>
      <c r="AN113" s="424" t="str">
        <f t="shared" si="49"/>
        <v>-0.56 pts.</v>
      </c>
      <c r="AO113" s="11"/>
      <c r="AP113" s="11"/>
    </row>
    <row r="114" spans="1:42" x14ac:dyDescent="0.35">
      <c r="A114" s="65" t="s">
        <v>25</v>
      </c>
      <c r="B114" s="66"/>
      <c r="C114" s="11"/>
      <c r="D114" s="11"/>
      <c r="E114" s="11"/>
      <c r="F114" s="11"/>
      <c r="G114" s="11"/>
      <c r="H114" s="396" t="s">
        <v>841</v>
      </c>
      <c r="I114" s="122" t="str">
        <f>IF(_epmOfflineCondition_,"N",_xll.EVPRO($B$1,$H114,"STYLE"))</f>
        <v>N</v>
      </c>
      <c r="J114" s="122" t="str">
        <f>IF(_epmOfflineCondition_,"N",_xll.EVPRO($B$1,$H114,"CALC"))</f>
        <v>N</v>
      </c>
      <c r="K114" s="179" t="str">
        <f t="shared" si="38"/>
        <v/>
      </c>
      <c r="L114" s="90" t="str">
        <f>IF(_epmOfflineCondition_,"705500",_xll.EVPRO($B$1,H114,"JDEID"))</f>
        <v>705500</v>
      </c>
      <c r="M114" s="90" t="str">
        <f>IF(_epmOfflineCondition_,"690105",IF(AND(I114="N",J114="N"),_xll.EVPRO($B$1,H114,"PSFTID"),""))</f>
        <v>690105</v>
      </c>
      <c r="N114" s="90" t="str">
        <f>IF(_epmOfflineCondition_,"Licenses &amp; Permits",IF(_xll.EVDES(H114,$B$1)="#NODATA","",_xll.EVDES(H114,$B$1)))</f>
        <v>Licenses &amp; Permits</v>
      </c>
      <c r="O114" s="210"/>
      <c r="P114" s="210"/>
      <c r="Q114" s="210">
        <v>2193</v>
      </c>
      <c r="R114" s="210"/>
      <c r="S114" s="210"/>
      <c r="T114" s="210"/>
      <c r="U114" s="210"/>
      <c r="V114" s="210"/>
      <c r="W114" s="210"/>
      <c r="X114" s="210"/>
      <c r="Y114" s="210"/>
      <c r="Z114" s="210"/>
      <c r="AA114" s="250">
        <f t="shared" si="39"/>
        <v>2193</v>
      </c>
      <c r="AB114" s="211">
        <f t="shared" si="40"/>
        <v>1.3845180939184723E-3</v>
      </c>
      <c r="AC114" s="140"/>
      <c r="AD114" s="210">
        <v>1870</v>
      </c>
      <c r="AE114" s="211">
        <f t="shared" si="41"/>
        <v>1.2259043923698693E-3</v>
      </c>
      <c r="AF114" s="253">
        <f t="shared" si="42"/>
        <v>323</v>
      </c>
      <c r="AG114" s="210">
        <v>1870</v>
      </c>
      <c r="AH114" s="211">
        <f t="shared" si="43"/>
        <v>3.0493975165086962E-3</v>
      </c>
      <c r="AI114" s="253">
        <f t="shared" si="44"/>
        <v>323</v>
      </c>
      <c r="AJ114" s="212">
        <f t="shared" si="45"/>
        <v>5.1652259933579858E-2</v>
      </c>
      <c r="AK114" s="213">
        <f t="shared" si="46"/>
        <v>4.9158448798727238E-2</v>
      </c>
      <c r="AL114" s="215">
        <f t="shared" si="47"/>
        <v>0.10877152163797114</v>
      </c>
      <c r="AM114" s="423" t="str">
        <f t="shared" si="48"/>
        <v>0.02 pts.</v>
      </c>
      <c r="AN114" s="424" t="str">
        <f t="shared" si="49"/>
        <v>-0.17 pts.</v>
      </c>
      <c r="AO114" s="11"/>
      <c r="AP114" s="11"/>
    </row>
    <row r="115" spans="1:42" x14ac:dyDescent="0.35">
      <c r="A115" s="65" t="s">
        <v>26</v>
      </c>
      <c r="B115" s="66"/>
      <c r="C115" s="11"/>
      <c r="D115" s="11"/>
      <c r="E115" s="11"/>
      <c r="F115" s="11"/>
      <c r="G115" s="11"/>
      <c r="H115" s="396" t="s">
        <v>844</v>
      </c>
      <c r="I115" s="122" t="str">
        <f>IF(_epmOfflineCondition_,"T4",_xll.EVPRO($B$1,$H115,"STYLE"))</f>
        <v>T4</v>
      </c>
      <c r="J115" s="122" t="str">
        <f>IF(_epmOfflineCondition_,"Y",_xll.EVPRO($B$1,$H115,"CALC"))</f>
        <v>Y</v>
      </c>
      <c r="K115" s="179" t="str">
        <f t="shared" si="38"/>
        <v>&gt;</v>
      </c>
      <c r="L115" s="90" t="str">
        <f>IF(_epmOfflineCondition_,"706100",_xll.EVPRO($B$1,H115,"JDEID"))</f>
        <v>706100</v>
      </c>
      <c r="M115" s="90" t="str">
        <f>IF(_epmOfflineCondition_,"",IF(AND(I115="N",J115="N"),_xll.EVPRO($B$1,H115,"PSFTID"),""))</f>
        <v/>
      </c>
      <c r="N115" s="90" t="str">
        <f>IF(_epmOfflineCondition_,"Miscellaneous",IF(_xll.EVDES(H115,$B$1)="#NODATA","",_xll.EVDES(H115,$B$1)))</f>
        <v>Miscellaneous</v>
      </c>
      <c r="O115" s="210"/>
      <c r="P115" s="210"/>
      <c r="Q115" s="210"/>
      <c r="R115" s="210"/>
      <c r="S115" s="210"/>
      <c r="T115" s="210"/>
      <c r="U115" s="210"/>
      <c r="V115" s="210"/>
      <c r="W115" s="210"/>
      <c r="X115" s="210"/>
      <c r="Y115" s="210"/>
      <c r="Z115" s="210"/>
      <c r="AA115" s="250">
        <f t="shared" si="39"/>
        <v>0</v>
      </c>
      <c r="AB115" s="211" t="str">
        <f t="shared" si="40"/>
        <v/>
      </c>
      <c r="AC115" s="140"/>
      <c r="AD115" s="210"/>
      <c r="AE115" s="211" t="str">
        <f t="shared" si="41"/>
        <v/>
      </c>
      <c r="AF115" s="253">
        <f t="shared" si="42"/>
        <v>0</v>
      </c>
      <c r="AG115" s="210">
        <v>148.78</v>
      </c>
      <c r="AH115" s="211">
        <f t="shared" si="43"/>
        <v>2.4261463235623732E-4</v>
      </c>
      <c r="AI115" s="253">
        <f t="shared" si="44"/>
        <v>-148.78</v>
      </c>
      <c r="AJ115" s="212">
        <f t="shared" si="45"/>
        <v>0</v>
      </c>
      <c r="AK115" s="213">
        <f t="shared" si="46"/>
        <v>0</v>
      </c>
      <c r="AL115" s="215">
        <f t="shared" si="47"/>
        <v>8.654025127966496E-3</v>
      </c>
      <c r="AM115" s="423">
        <f t="shared" si="48"/>
        <v>0</v>
      </c>
      <c r="AN115" s="424">
        <f t="shared" si="49"/>
        <v>0</v>
      </c>
      <c r="AO115" s="11"/>
      <c r="AP115" s="11"/>
    </row>
    <row r="116" spans="1:42" x14ac:dyDescent="0.35">
      <c r="A116" s="65" t="s">
        <v>27</v>
      </c>
      <c r="B116" s="66"/>
      <c r="C116" s="11"/>
      <c r="D116" s="11"/>
      <c r="E116" s="11"/>
      <c r="F116" s="11"/>
      <c r="G116" s="11"/>
      <c r="H116" s="88" t="s">
        <v>79</v>
      </c>
      <c r="I116" s="136" t="str">
        <f>IF(_epmOfflineCondition_,"T3",_xll.EVPRO($B$1,$H116,"STYLE"))</f>
        <v>T3</v>
      </c>
      <c r="J116" s="136" t="str">
        <f>IF(_epmOfflineCondition_,"Y",_xll.EVPRO($B$1,$H116,"CALC"))</f>
        <v>Y</v>
      </c>
      <c r="K116" s="104"/>
      <c r="L116" s="104"/>
      <c r="M116" s="104"/>
      <c r="N116" s="106" t="str">
        <f>IF(_epmOfflineCondition_,"Total Operations Expense",IF(_xll.EVDES(H116,$B$1)="#NODATA","",_xll.EVDES(H116,$B$1)))</f>
        <v>Total Operations Expense</v>
      </c>
      <c r="O116" s="154">
        <v>5166.93</v>
      </c>
      <c r="P116" s="154">
        <v>9028.49</v>
      </c>
      <c r="Q116" s="154">
        <v>17109.09</v>
      </c>
      <c r="R116" s="154">
        <v>12209.01</v>
      </c>
      <c r="S116" s="154">
        <v>11274.98</v>
      </c>
      <c r="T116" s="154">
        <v>11763.68</v>
      </c>
      <c r="U116" s="154">
        <v>13994.47</v>
      </c>
      <c r="V116" s="154">
        <v>9302.52</v>
      </c>
      <c r="W116" s="154">
        <v>12238.49</v>
      </c>
      <c r="X116" s="154">
        <v>20216.009999999998</v>
      </c>
      <c r="Y116" s="154">
        <v>17621.88</v>
      </c>
      <c r="Z116" s="154">
        <v>23376.73</v>
      </c>
      <c r="AA116" s="154">
        <f t="shared" si="39"/>
        <v>163302.28</v>
      </c>
      <c r="AB116" s="155">
        <f t="shared" si="40"/>
        <v>0.10309847762797111</v>
      </c>
      <c r="AC116" s="140"/>
      <c r="AD116" s="154">
        <v>129972.48</v>
      </c>
      <c r="AE116" s="155">
        <f t="shared" si="41"/>
        <v>8.5205258887275398E-2</v>
      </c>
      <c r="AF116" s="156">
        <f t="shared" si="42"/>
        <v>33329.800000000003</v>
      </c>
      <c r="AG116" s="154">
        <v>75768.649999999994</v>
      </c>
      <c r="AH116" s="155">
        <f t="shared" si="43"/>
        <v>0.12355547226696074</v>
      </c>
      <c r="AI116" s="156">
        <f t="shared" si="44"/>
        <v>87533.63</v>
      </c>
      <c r="AJ116" s="477">
        <f t="shared" si="45"/>
        <v>3.8462981369385494</v>
      </c>
      <c r="AK116" s="478">
        <f t="shared" si="46"/>
        <v>3.4167088253067379</v>
      </c>
      <c r="AL116" s="479">
        <f t="shared" si="47"/>
        <v>4.4072039320614236</v>
      </c>
      <c r="AM116" s="480" t="str">
        <f t="shared" si="48"/>
        <v>1.79 pts.</v>
      </c>
      <c r="AN116" s="481" t="str">
        <f t="shared" si="49"/>
        <v>-2.05 pts.</v>
      </c>
      <c r="AO116" s="11"/>
      <c r="AP116" s="11"/>
    </row>
    <row r="117" spans="1:42" x14ac:dyDescent="0.35">
      <c r="A117" s="65" t="s">
        <v>28</v>
      </c>
      <c r="B117" s="66"/>
      <c r="C117" s="11"/>
      <c r="D117" s="11"/>
      <c r="E117" s="11"/>
      <c r="F117" s="11"/>
      <c r="G117" s="11"/>
      <c r="H117" s="11"/>
      <c r="I117" s="59"/>
      <c r="J117" s="59"/>
      <c r="K117" s="11"/>
      <c r="L117" s="11"/>
      <c r="M117" s="11"/>
      <c r="N117" s="11"/>
      <c r="O117" s="482"/>
      <c r="P117" s="482"/>
      <c r="Q117" s="482"/>
      <c r="R117" s="482"/>
      <c r="S117" s="482"/>
      <c r="T117" s="482"/>
      <c r="U117" s="482"/>
      <c r="V117" s="482"/>
      <c r="W117" s="482"/>
      <c r="X117" s="482"/>
      <c r="Y117" s="482"/>
      <c r="Z117" s="482"/>
      <c r="AA117" s="482"/>
      <c r="AB117" s="140"/>
      <c r="AC117" s="140"/>
      <c r="AD117" s="482"/>
      <c r="AE117" s="140"/>
      <c r="AF117" s="140"/>
      <c r="AG117" s="482"/>
      <c r="AH117" s="140"/>
      <c r="AI117" s="140"/>
      <c r="AJ117" s="140"/>
      <c r="AK117" s="140"/>
      <c r="AL117" s="140"/>
      <c r="AM117" s="140"/>
      <c r="AN117" s="140"/>
      <c r="AO117" s="11"/>
      <c r="AP117" s="11"/>
    </row>
    <row r="118" spans="1:42" x14ac:dyDescent="0.35">
      <c r="A118" s="65" t="s">
        <v>29</v>
      </c>
      <c r="B118" s="66"/>
      <c r="C118" s="11"/>
      <c r="D118" s="11"/>
      <c r="E118" s="11"/>
      <c r="F118" s="11"/>
      <c r="G118" s="11"/>
      <c r="H118" s="88" t="s">
        <v>80</v>
      </c>
      <c r="I118" s="136" t="str">
        <f>IF(_epmOfflineCondition_,"T3",_xll.EVPRO($B$1,$H118,"STYLE"))</f>
        <v>T3</v>
      </c>
      <c r="J118" s="136" t="str">
        <f>IF(_epmOfflineCondition_,"Y",_xll.EVPRO($B$1,$H118,"CALC"))</f>
        <v>Y</v>
      </c>
      <c r="K118" s="106"/>
      <c r="L118" s="106"/>
      <c r="M118" s="106"/>
      <c r="N118" s="106" t="str">
        <f>IF(_epmOfflineCondition_,"Total Expenses",IF(_xll.EVDES(H118,$B$1)="#NODATA","",_xll.EVDES(H118,$B$1)))</f>
        <v>Total Expenses</v>
      </c>
      <c r="O118" s="238">
        <v>47314.01</v>
      </c>
      <c r="P118" s="238">
        <v>76277.210000000006</v>
      </c>
      <c r="Q118" s="238">
        <v>92133.85</v>
      </c>
      <c r="R118" s="238">
        <v>113032.58</v>
      </c>
      <c r="S118" s="238">
        <v>105891.43</v>
      </c>
      <c r="T118" s="238">
        <v>94927.23</v>
      </c>
      <c r="U118" s="238">
        <v>117746.16</v>
      </c>
      <c r="V118" s="238">
        <v>106089.94</v>
      </c>
      <c r="W118" s="238">
        <v>110261.1</v>
      </c>
      <c r="X118" s="238">
        <v>116937.11</v>
      </c>
      <c r="Y118" s="238">
        <v>129704.11</v>
      </c>
      <c r="Z118" s="238">
        <v>146536.35</v>
      </c>
      <c r="AA118" s="238">
        <f>IF($I118="B1","",SUM(O118:Z118))</f>
        <v>1256851.0800000003</v>
      </c>
      <c r="AB118" s="239">
        <f>IF(AA118=0,"",IFERROR(AA118/AA$19,""))</f>
        <v>0.79349432814453891</v>
      </c>
      <c r="AC118" s="140"/>
      <c r="AD118" s="238">
        <v>936212.15485000599</v>
      </c>
      <c r="AE118" s="239">
        <f>IF(AD118=0,"",IFERROR(AD118/AD$19,""))</f>
        <v>0.61374684108057898</v>
      </c>
      <c r="AF118" s="254">
        <f>IF(AND($AA118="",AD118=""),"",$AA118-AD118)</f>
        <v>320638.92514999432</v>
      </c>
      <c r="AG118" s="255">
        <v>584309.62</v>
      </c>
      <c r="AH118" s="256">
        <f>IF(AG118=0,"",IFERROR(AG118/AG$19,""))</f>
        <v>0.95283010914445987</v>
      </c>
      <c r="AI118" s="254">
        <f>IF(AND($AA118="",AG118=""),"",$AA118-AG118)</f>
        <v>672541.46000000031</v>
      </c>
      <c r="AJ118" s="466">
        <f>IFERROR(AA118/AA$20,0)</f>
        <v>29.602917775631823</v>
      </c>
      <c r="AK118" s="467">
        <f>IFERROR(AD118/AD$20,0)</f>
        <v>24.611089453978671</v>
      </c>
      <c r="AL118" s="468">
        <f>IFERROR(AG118/AG$20,0)</f>
        <v>33.987297580269896</v>
      </c>
      <c r="AM118" s="469" t="str">
        <f>+IFERROR(ROUND(($AB118-AE118)*100,2)&amp;" pts.",0)</f>
        <v>17.97 pts.</v>
      </c>
      <c r="AN118" s="470" t="str">
        <f>+IFERROR(ROUND(($AB118-AH118)*100,2)&amp;" pts.",0)</f>
        <v>-15.93 pts.</v>
      </c>
      <c r="AO118" s="11"/>
      <c r="AP118" s="11"/>
    </row>
    <row r="119" spans="1:42" ht="15" thickBot="1" x14ac:dyDescent="0.4">
      <c r="A119" s="65" t="s">
        <v>30</v>
      </c>
      <c r="B119" s="66" t="s">
        <v>78</v>
      </c>
      <c r="C119" s="11"/>
      <c r="D119" s="11"/>
      <c r="E119" s="11"/>
      <c r="F119" s="11"/>
      <c r="G119" s="11"/>
      <c r="H119" s="88" t="s">
        <v>81</v>
      </c>
      <c r="I119" s="136" t="str">
        <f>IF(_epmOfflineCondition_,"T3",_xll.EVPRO($B$1,$H119,"STYLE"))</f>
        <v>T3</v>
      </c>
      <c r="J119" s="136" t="str">
        <f>IF(_epmOfflineCondition_,"Y",_xll.EVPRO($B$1,$H119,"CALC"))</f>
        <v>Y</v>
      </c>
      <c r="K119" s="106"/>
      <c r="L119" s="106"/>
      <c r="M119" s="106"/>
      <c r="N119" s="106" t="str">
        <f>IF(_epmOfflineCondition_,"Department Profit (Loss)",IF(_xll.EVDES(H119,$B$1)="#NODATA","",_xll.EVDES(H119,$B$1)))</f>
        <v>Department Profit (Loss)</v>
      </c>
      <c r="O119" s="169">
        <v>1386.29</v>
      </c>
      <c r="P119" s="169">
        <v>13634.78</v>
      </c>
      <c r="Q119" s="169">
        <v>13326.05</v>
      </c>
      <c r="R119" s="169">
        <v>2978.45999999998</v>
      </c>
      <c r="S119" s="169">
        <v>-2731.3399999999801</v>
      </c>
      <c r="T119" s="169">
        <v>11739.44</v>
      </c>
      <c r="U119" s="169">
        <v>-1961.47999999999</v>
      </c>
      <c r="V119" s="169">
        <v>-32012.34</v>
      </c>
      <c r="W119" s="169">
        <v>-41146.410000000003</v>
      </c>
      <c r="X119" s="169">
        <v>-26776.58</v>
      </c>
      <c r="Y119" s="169">
        <v>-11768.04</v>
      </c>
      <c r="Z119" s="169">
        <v>20109.959999999901</v>
      </c>
      <c r="AA119" s="169">
        <f>IF($I119="B1","",SUM(O119:Z119))</f>
        <v>-53221.210000000079</v>
      </c>
      <c r="AB119" s="170">
        <f>IF(AA119=0,"",IFERROR(AA119/AA$19,""))</f>
        <v>-3.3600423267320954E-2</v>
      </c>
      <c r="AC119" s="140"/>
      <c r="AD119" s="169">
        <v>251727.12409147</v>
      </c>
      <c r="AE119" s="170">
        <f>IF(AD119=0,"",IFERROR(AD119/AD$19,""))</f>
        <v>0.16502320165902043</v>
      </c>
      <c r="AF119" s="171">
        <f>IF(AND($AA119="",AD119=""),"",$AA119-AD119)</f>
        <v>-304948.33409147011</v>
      </c>
      <c r="AG119" s="169">
        <v>-148455.59</v>
      </c>
      <c r="AH119" s="170">
        <f>IF(AG119=0,"",IFERROR(AG119/AG$19,""))</f>
        <v>-0.24208561896140812</v>
      </c>
      <c r="AI119" s="171">
        <f>IF(AND($AA119="",AG119=""),"",$AA119-AG119)</f>
        <v>95234.379999999917</v>
      </c>
      <c r="AJ119" s="483">
        <f>IFERROR(AA119/AA$20,0)</f>
        <v>-1.2535320441858842</v>
      </c>
      <c r="AK119" s="484">
        <f>IFERROR(AD119/AD$20,0)</f>
        <v>6.6173876689312223</v>
      </c>
      <c r="AL119" s="485">
        <f>IFERROR(AG119/AG$20,0)</f>
        <v>-8.6351553047929261</v>
      </c>
      <c r="AM119" s="486" t="str">
        <f>+IFERROR(ROUND(($AB119-AE119)*100,2)&amp;" pts.",0)</f>
        <v>-19.86 pts.</v>
      </c>
      <c r="AN119" s="487" t="str">
        <f>+IFERROR(ROUND(($AB119-AH119)*100,2)&amp;" pts.",0)</f>
        <v>20.85 pts.</v>
      </c>
      <c r="AO119" s="11"/>
      <c r="AP119" s="11"/>
    </row>
    <row r="120" spans="1:42" ht="15" thickTop="1" x14ac:dyDescent="0.35">
      <c r="A120" s="65" t="s">
        <v>31</v>
      </c>
      <c r="B120" s="66" t="s">
        <v>78</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row>
    <row r="121" spans="1:42" x14ac:dyDescent="0.35">
      <c r="A121" s="65" t="s">
        <v>32</v>
      </c>
      <c r="B121" s="66"/>
      <c r="C121" s="11"/>
      <c r="D121" s="11"/>
      <c r="E121" s="11"/>
      <c r="F121" s="11"/>
      <c r="G121" s="11"/>
      <c r="H121" s="11"/>
      <c r="I121" s="59"/>
      <c r="J121" s="59"/>
      <c r="K121" s="11"/>
      <c r="L121" s="11"/>
      <c r="M121" s="11"/>
      <c r="N121" s="104" t="str">
        <f>N118&amp;" - Check"</f>
        <v>Total Expenses - Check</v>
      </c>
      <c r="O121" s="209">
        <f t="shared" ref="O121:AA121" si="50">SUMIF($H$35:$H$119,"600000",O$35:O$119)+SUMIF($H$35:$H$119,"700000",O$35:O$119)-SUMIF($H$35:$H$119,"TOTDEPTEXP",O$35:O$119)</f>
        <v>0</v>
      </c>
      <c r="P121" s="209">
        <f t="shared" si="50"/>
        <v>0</v>
      </c>
      <c r="Q121" s="209">
        <f t="shared" si="50"/>
        <v>0</v>
      </c>
      <c r="R121" s="209">
        <f t="shared" si="50"/>
        <v>0</v>
      </c>
      <c r="S121" s="209">
        <f t="shared" si="50"/>
        <v>0</v>
      </c>
      <c r="T121" s="209">
        <f t="shared" si="50"/>
        <v>0</v>
      </c>
      <c r="U121" s="209">
        <f t="shared" si="50"/>
        <v>0</v>
      </c>
      <c r="V121" s="209">
        <f t="shared" si="50"/>
        <v>0</v>
      </c>
      <c r="W121" s="209">
        <f t="shared" si="50"/>
        <v>0</v>
      </c>
      <c r="X121" s="209">
        <f t="shared" si="50"/>
        <v>0</v>
      </c>
      <c r="Y121" s="209">
        <f t="shared" si="50"/>
        <v>0</v>
      </c>
      <c r="Z121" s="209">
        <f t="shared" si="50"/>
        <v>0</v>
      </c>
      <c r="AA121" s="209">
        <f t="shared" si="50"/>
        <v>0</v>
      </c>
      <c r="AB121" s="100"/>
      <c r="AC121" s="11"/>
      <c r="AD121" s="209">
        <f>SUMIF($H$35:$H$119,"600000",AD$35:AD$119)+SUMIF($H$35:$H$119,"700000",AD$35:AD$119)-SUMIF($H$35:$H$119,"TOTDEPTEXP",AD$35:AD$119)</f>
        <v>0</v>
      </c>
      <c r="AE121" s="100"/>
      <c r="AF121" s="91"/>
      <c r="AG121" s="209">
        <f>SUMIF($H$35:$H$119,"600000",AG$35:AG$119)+SUMIF($H$35:$H$119,"700000",AG$35:AG$119)-SUMIF($H$35:$H$119,"TOTDEPTEXP",AG$35:AG$119)</f>
        <v>0</v>
      </c>
      <c r="AH121" s="100"/>
      <c r="AI121" s="91"/>
      <c r="AJ121" s="11"/>
      <c r="AK121" s="11"/>
      <c r="AL121" s="11"/>
      <c r="AM121" s="11"/>
      <c r="AN121" s="11"/>
      <c r="AO121" s="11"/>
      <c r="AP121" s="11"/>
    </row>
    <row r="122" spans="1:42" x14ac:dyDescent="0.35">
      <c r="A122" s="65" t="s">
        <v>33</v>
      </c>
      <c r="B122" s="66"/>
      <c r="C122" s="11"/>
      <c r="D122" s="11"/>
      <c r="E122" s="11"/>
      <c r="F122" s="11"/>
      <c r="G122" s="11"/>
      <c r="H122" s="11"/>
      <c r="I122" s="59"/>
      <c r="J122" s="59"/>
      <c r="K122" s="11"/>
      <c r="L122" s="11"/>
      <c r="M122" s="11"/>
      <c r="N122" s="104" t="str">
        <f>N119&amp;" - Check"</f>
        <v>Department Profit (Loss) - Check</v>
      </c>
      <c r="O122" s="209">
        <f t="shared" ref="O122:AA122" si="51">SUMIF($H$35:$H$119,"KPI_GP",O$35:O$119)-SUMIF($H$35:$H$119,"TOTDEPTEXP",O$35:O$119)-SUMIF($H$35:$H$119,"TOTDEPTPL",O$35:O$119)</f>
        <v>-6.3664629124104977E-12</v>
      </c>
      <c r="P122" s="209">
        <f t="shared" si="51"/>
        <v>-1.6370904631912708E-11</v>
      </c>
      <c r="Q122" s="209">
        <f t="shared" si="51"/>
        <v>0</v>
      </c>
      <c r="R122" s="209">
        <f t="shared" si="51"/>
        <v>2.6375346351414919E-11</v>
      </c>
      <c r="S122" s="209">
        <f t="shared" si="51"/>
        <v>-1.6370904631912708E-11</v>
      </c>
      <c r="T122" s="209">
        <f t="shared" si="51"/>
        <v>1.6370904631912708E-11</v>
      </c>
      <c r="U122" s="209">
        <f t="shared" si="51"/>
        <v>-2.0463630789890885E-11</v>
      </c>
      <c r="V122" s="209">
        <f t="shared" si="51"/>
        <v>0</v>
      </c>
      <c r="W122" s="209">
        <f t="shared" si="51"/>
        <v>0</v>
      </c>
      <c r="X122" s="209">
        <f t="shared" si="51"/>
        <v>0</v>
      </c>
      <c r="Y122" s="209">
        <f t="shared" si="51"/>
        <v>0</v>
      </c>
      <c r="Z122" s="209">
        <f t="shared" si="51"/>
        <v>9.0949470177292824E-11</v>
      </c>
      <c r="AA122" s="209">
        <f t="shared" si="51"/>
        <v>-3.4924596548080444E-10</v>
      </c>
      <c r="AB122" s="100"/>
      <c r="AC122" s="11"/>
      <c r="AD122" s="209">
        <f>SUMIF($H$35:$H$119,"KPI_GP",AD$35:AD$119)-SUMIF($H$35:$H$119,"TOTDEPTEXP",AD$35:AD$119)-SUMIF($H$35:$H$119,"TOTDEPTPL",AD$35:AD$119)</f>
        <v>3.9872247725725174E-9</v>
      </c>
      <c r="AE122" s="100"/>
      <c r="AF122" s="91"/>
      <c r="AG122" s="209">
        <f>SUMIF($H$35:$H$119,"KPI_GP",AG$35:AG$119)-SUMIF($H$35:$H$119,"TOTDEPTEXP",AG$35:AG$119)-SUMIF($H$35:$H$119,"TOTDEPTPL",AG$35:AG$119)</f>
        <v>0</v>
      </c>
      <c r="AH122" s="100"/>
      <c r="AI122" s="91"/>
      <c r="AJ122" s="11"/>
      <c r="AK122" s="11"/>
      <c r="AL122" s="11"/>
      <c r="AM122" s="11"/>
      <c r="AN122" s="11"/>
      <c r="AO122" s="11"/>
      <c r="AP122" s="11"/>
    </row>
    <row r="123" spans="1:42" x14ac:dyDescent="0.35">
      <c r="A123" s="65" t="s">
        <v>34</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row>
    <row r="124" spans="1:42" x14ac:dyDescent="0.35">
      <c r="A124" s="65" t="s">
        <v>35</v>
      </c>
      <c r="B124" s="66"/>
      <c r="C124" s="11"/>
      <c r="D124" s="11"/>
      <c r="E124" s="11"/>
      <c r="F124" s="11"/>
      <c r="G124" s="11"/>
      <c r="H124" s="11"/>
      <c r="I124" s="59"/>
      <c r="J124" s="59"/>
      <c r="K124" s="11"/>
      <c r="L124" s="11"/>
      <c r="M124" s="11"/>
      <c r="N124" s="11"/>
      <c r="O124" s="137"/>
      <c r="P124" s="137"/>
      <c r="Q124" s="137"/>
      <c r="R124" s="137"/>
      <c r="S124" s="137"/>
      <c r="T124" s="137"/>
      <c r="U124" s="137"/>
      <c r="V124" s="137"/>
      <c r="W124" s="137"/>
      <c r="X124" s="137"/>
      <c r="Y124" s="137"/>
      <c r="Z124" s="137"/>
      <c r="AA124" s="137"/>
      <c r="AB124" s="11"/>
      <c r="AC124" s="11"/>
      <c r="AD124" s="137"/>
      <c r="AE124" s="11"/>
      <c r="AF124" s="137"/>
      <c r="AG124" s="137"/>
      <c r="AH124" s="11"/>
      <c r="AI124" s="11"/>
      <c r="AJ124" s="11"/>
      <c r="AK124" s="11"/>
      <c r="AL124" s="11"/>
      <c r="AM124" s="11"/>
      <c r="AN124" s="11"/>
      <c r="AO124" s="11"/>
      <c r="AP124" s="11"/>
    </row>
    <row r="125" spans="1:42" x14ac:dyDescent="0.35">
      <c r="A125" s="65" t="s">
        <v>36</v>
      </c>
      <c r="B125" s="66"/>
      <c r="C125" s="11"/>
      <c r="D125" s="11"/>
      <c r="E125" s="11"/>
      <c r="F125" s="11"/>
      <c r="G125" s="11"/>
      <c r="H125" s="11"/>
      <c r="I125" s="59"/>
      <c r="J125" s="59"/>
      <c r="K125" s="11"/>
      <c r="L125" s="11"/>
      <c r="M125" s="11"/>
      <c r="N125" s="11"/>
      <c r="O125" s="137"/>
      <c r="P125" s="137"/>
      <c r="Q125" s="137"/>
      <c r="R125" s="137"/>
      <c r="S125" s="137"/>
      <c r="T125" s="137"/>
      <c r="U125" s="137"/>
      <c r="V125" s="137"/>
      <c r="W125" s="137"/>
      <c r="X125" s="137"/>
      <c r="Y125" s="137"/>
      <c r="Z125" s="137"/>
      <c r="AA125" s="137"/>
      <c r="AB125" s="11"/>
      <c r="AC125" s="11"/>
      <c r="AD125" s="137"/>
      <c r="AE125" s="11"/>
      <c r="AF125" s="137"/>
      <c r="AG125" s="137"/>
      <c r="AH125" s="11"/>
      <c r="AI125" s="11"/>
      <c r="AJ125" s="11"/>
      <c r="AK125" s="11"/>
      <c r="AL125" s="11"/>
      <c r="AM125" s="11"/>
      <c r="AN125" s="11"/>
      <c r="AO125" s="11"/>
      <c r="AP125" s="11"/>
    </row>
    <row r="126" spans="1:42" x14ac:dyDescent="0.35">
      <c r="A126" s="65" t="s">
        <v>37</v>
      </c>
      <c r="B126" s="66"/>
      <c r="C126" s="11"/>
      <c r="D126" s="11"/>
      <c r="E126" s="11"/>
      <c r="F126" s="11"/>
      <c r="G126" s="11"/>
      <c r="H126" s="11"/>
      <c r="I126" s="59"/>
      <c r="J126" s="59"/>
      <c r="K126" s="11"/>
      <c r="L126" s="11"/>
      <c r="M126" s="11"/>
      <c r="N126" s="11"/>
      <c r="O126" s="137"/>
      <c r="P126" s="137"/>
      <c r="Q126" s="137"/>
      <c r="R126" s="137"/>
      <c r="S126" s="137"/>
      <c r="T126" s="137"/>
      <c r="U126" s="137"/>
      <c r="V126" s="137"/>
      <c r="W126" s="137"/>
      <c r="X126" s="137"/>
      <c r="Y126" s="137"/>
      <c r="Z126" s="137"/>
      <c r="AA126" s="137"/>
      <c r="AB126" s="11"/>
      <c r="AC126" s="11"/>
      <c r="AD126" s="137"/>
      <c r="AE126" s="11"/>
      <c r="AF126" s="11"/>
      <c r="AG126" s="137"/>
      <c r="AH126" s="11"/>
      <c r="AI126" s="11"/>
      <c r="AJ126" s="11"/>
      <c r="AK126" s="11"/>
      <c r="AL126" s="11"/>
      <c r="AM126" s="11"/>
      <c r="AN126" s="11"/>
      <c r="AO126" s="11"/>
      <c r="AP126" s="11"/>
    </row>
    <row r="127" spans="1:42" x14ac:dyDescent="0.35">
      <c r="A127" s="65" t="s">
        <v>38</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row>
    <row r="128" spans="1:42" x14ac:dyDescent="0.35">
      <c r="A128" s="65" t="s">
        <v>39</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row>
    <row r="129" spans="1:42" x14ac:dyDescent="0.35">
      <c r="A129" s="65" t="s">
        <v>40</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row>
    <row r="130" spans="1:42" x14ac:dyDescent="0.35">
      <c r="A130" s="65" t="s">
        <v>41</v>
      </c>
      <c r="B130" s="66"/>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row>
    <row r="131" spans="1:42" x14ac:dyDescent="0.35">
      <c r="A131" s="65" t="s">
        <v>42</v>
      </c>
      <c r="B131" s="66"/>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row>
    <row r="132" spans="1:42" x14ac:dyDescent="0.35">
      <c r="A132" s="65" t="s">
        <v>43</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row>
    <row r="133" spans="1:42" x14ac:dyDescent="0.35">
      <c r="A133" s="65" t="s">
        <v>44</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row>
    <row r="134" spans="1:42" x14ac:dyDescent="0.35">
      <c r="A134" s="65" t="s">
        <v>45</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row>
    <row r="135" spans="1:42" x14ac:dyDescent="0.35">
      <c r="A135" s="65" t="s">
        <v>46</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row>
    <row r="136" spans="1:42" x14ac:dyDescent="0.35">
      <c r="A136" s="11"/>
      <c r="B136" s="11"/>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row>
    <row r="137" spans="1:42" x14ac:dyDescent="0.35">
      <c r="A137" s="11"/>
      <c r="B137" s="11"/>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row>
    <row r="138" spans="1:42" x14ac:dyDescent="0.35">
      <c r="A138" s="11"/>
      <c r="B138" s="11"/>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row>
    <row r="139" spans="1:42" x14ac:dyDescent="0.35">
      <c r="A139" s="11"/>
      <c r="B139" s="11"/>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row>
    <row r="140" spans="1:42" x14ac:dyDescent="0.35">
      <c r="A140" s="11"/>
      <c r="B140" s="11"/>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row>
    <row r="141" spans="1:42" x14ac:dyDescent="0.35">
      <c r="A141" s="11"/>
      <c r="B141" s="11"/>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row>
    <row r="142" spans="1:42" x14ac:dyDescent="0.35">
      <c r="A142" s="11"/>
      <c r="B142" s="11"/>
      <c r="C142" s="11"/>
      <c r="D142" s="11"/>
      <c r="E142" s="11"/>
      <c r="F142" s="11"/>
      <c r="G142" s="11"/>
      <c r="H142" s="59"/>
      <c r="I142" s="59"/>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row>
    <row r="143" spans="1:42" x14ac:dyDescent="0.35">
      <c r="A143" s="11"/>
      <c r="B143" s="11"/>
      <c r="C143" s="11"/>
      <c r="D143" s="11"/>
      <c r="E143" s="11"/>
      <c r="F143" s="11"/>
      <c r="G143" s="11"/>
      <c r="H143" s="59"/>
      <c r="I143" s="59"/>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row>
    <row r="144" spans="1:42" x14ac:dyDescent="0.35">
      <c r="A144" s="11"/>
      <c r="B144" s="11"/>
      <c r="C144" s="11"/>
      <c r="D144" s="11"/>
      <c r="E144" s="11"/>
      <c r="F144" s="11"/>
      <c r="G144" s="11"/>
      <c r="H144" s="59"/>
      <c r="I144" s="59"/>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row>
    <row r="145" spans="1:42" x14ac:dyDescent="0.35">
      <c r="A145" s="11"/>
      <c r="B145" s="11"/>
      <c r="C145" s="11"/>
      <c r="D145" s="11"/>
      <c r="E145" s="11"/>
      <c r="F145" s="11"/>
      <c r="G145" s="11"/>
      <c r="H145" s="59"/>
      <c r="I145" s="59"/>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row>
    <row r="146" spans="1:42" x14ac:dyDescent="0.35">
      <c r="A146" s="11"/>
      <c r="B146" s="11"/>
      <c r="C146" s="11"/>
      <c r="D146" s="11"/>
      <c r="E146" s="11"/>
      <c r="F146" s="11"/>
      <c r="G146" s="11"/>
      <c r="H146" s="59"/>
      <c r="I146" s="59"/>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row>
    <row r="147" spans="1:42" x14ac:dyDescent="0.35">
      <c r="A147" s="11"/>
      <c r="B147" s="11"/>
      <c r="C147" s="11"/>
      <c r="D147" s="11"/>
      <c r="E147" s="11"/>
      <c r="F147" s="11"/>
      <c r="G147" s="11"/>
      <c r="H147" s="59"/>
      <c r="I147" s="59"/>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row>
    <row r="148" spans="1:42" x14ac:dyDescent="0.35">
      <c r="A148" s="11"/>
      <c r="B148" s="11"/>
      <c r="C148" s="11"/>
      <c r="D148" s="11"/>
      <c r="E148" s="11"/>
      <c r="F148" s="11"/>
      <c r="G148" s="11"/>
      <c r="H148" s="59"/>
      <c r="I148" s="59"/>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row>
    <row r="149" spans="1:42" x14ac:dyDescent="0.35">
      <c r="A149" s="11"/>
      <c r="B149" s="11"/>
      <c r="C149" s="11"/>
      <c r="D149" s="11"/>
      <c r="E149" s="11"/>
      <c r="F149" s="11"/>
      <c r="G149" s="11"/>
      <c r="H149" s="59"/>
      <c r="I149" s="59"/>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row>
    <row r="150" spans="1:42" x14ac:dyDescent="0.35">
      <c r="A150" s="11"/>
      <c r="B150" s="11"/>
      <c r="C150" s="11"/>
      <c r="D150" s="11"/>
      <c r="E150" s="11"/>
      <c r="F150" s="11"/>
      <c r="G150" s="11"/>
      <c r="H150" s="59"/>
      <c r="I150" s="59"/>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row>
    <row r="151" spans="1:42" x14ac:dyDescent="0.35">
      <c r="A151" s="11"/>
      <c r="B151" s="11"/>
      <c r="C151" s="11"/>
      <c r="D151" s="11"/>
      <c r="E151" s="11"/>
      <c r="F151" s="11"/>
      <c r="G151" s="11"/>
      <c r="H151" s="59"/>
      <c r="I151" s="59"/>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row>
    <row r="152" spans="1:42" x14ac:dyDescent="0.35">
      <c r="A152" s="11"/>
      <c r="B152" s="11"/>
      <c r="C152" s="11"/>
      <c r="D152" s="11"/>
      <c r="E152" s="267"/>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row>
    <row r="153" spans="1:42"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row>
    <row r="154" spans="1:42"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row>
    <row r="155" spans="1:42"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row>
    <row r="156" spans="1:42" x14ac:dyDescent="0.35">
      <c r="A156" s="11"/>
      <c r="B156" s="11"/>
      <c r="C156" s="11"/>
      <c r="D156" s="11"/>
      <c r="E156" s="267"/>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row>
    <row r="157" spans="1:42"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row>
    <row r="158" spans="1:42"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row>
    <row r="159" spans="1:42"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row>
    <row r="160" spans="1:42"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row>
    <row r="161" spans="1:42"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row>
    <row r="162" spans="1:42"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row>
    <row r="163" spans="1:42"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row>
    <row r="164" spans="1:42"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row>
    <row r="165" spans="1:42"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row>
    <row r="166" spans="1:42"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row>
    <row r="167" spans="1:42"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row>
    <row r="168" spans="1:42"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row>
    <row r="169" spans="1:42"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row>
    <row r="170" spans="1:42"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row>
    <row r="171" spans="1:42"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row>
    <row r="172" spans="1:42"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row>
    <row r="173" spans="1:42"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row>
    <row r="174" spans="1:42"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row>
    <row r="175" spans="1:42"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row>
    <row r="176" spans="1:42"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row>
    <row r="177" spans="1:42"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row>
    <row r="178" spans="1:42"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row>
    <row r="179" spans="1:42"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row>
    <row r="180" spans="1:42"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row>
    <row r="181" spans="1:42"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row>
    <row r="182" spans="1:42"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row>
    <row r="183" spans="1:42"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row>
    <row r="184" spans="1:42"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row>
    <row r="185" spans="1:42"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row>
    <row r="186" spans="1:42"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row>
    <row r="187" spans="1:42"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row>
    <row r="188" spans="1:42"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row>
    <row r="189" spans="1:42"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row>
    <row r="190" spans="1:42"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row>
    <row r="191" spans="1:42"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row>
    <row r="192" spans="1:42" x14ac:dyDescent="0.35">
      <c r="A192" s="11"/>
      <c r="B192" s="11"/>
      <c r="C192" s="11"/>
      <c r="D192" s="11"/>
      <c r="E192" s="11"/>
      <c r="F192" s="11"/>
      <c r="G192" s="267"/>
      <c r="H192" s="11"/>
      <c r="I192" s="267"/>
      <c r="J192" s="11"/>
      <c r="K192" s="267"/>
      <c r="L192" s="267"/>
      <c r="M192" s="267"/>
      <c r="N192" s="11"/>
      <c r="O192" s="267"/>
      <c r="P192" s="267"/>
      <c r="Q192" s="267"/>
      <c r="R192" s="267"/>
      <c r="S192" s="267"/>
      <c r="T192" s="267"/>
      <c r="U192" s="267"/>
      <c r="V192" s="267"/>
      <c r="W192" s="267"/>
      <c r="X192" s="267"/>
      <c r="Y192" s="267"/>
      <c r="Z192" s="267"/>
      <c r="AA192" s="267"/>
      <c r="AB192" s="11"/>
      <c r="AC192" s="11"/>
      <c r="AD192" s="267"/>
      <c r="AE192" s="11"/>
      <c r="AF192" s="267"/>
      <c r="AG192" s="11"/>
      <c r="AH192" s="267"/>
      <c r="AI192" s="11"/>
      <c r="AJ192" s="11"/>
      <c r="AK192" s="11"/>
      <c r="AL192" s="11"/>
      <c r="AM192" s="11"/>
      <c r="AN192" s="11"/>
      <c r="AO192" s="11"/>
      <c r="AP192" s="11"/>
    </row>
    <row r="193" spans="1:42"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row>
    <row r="194" spans="1:42"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row>
    <row r="195" spans="1:42"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row>
    <row r="196" spans="1:42" x14ac:dyDescent="0.35">
      <c r="A196" s="11"/>
      <c r="B196" s="11"/>
      <c r="C196" s="11"/>
      <c r="D196" s="11"/>
      <c r="E196" s="11"/>
      <c r="F196" s="11"/>
      <c r="G196" s="267"/>
      <c r="H196" s="11"/>
      <c r="I196" s="267"/>
      <c r="J196" s="11"/>
      <c r="K196" s="267"/>
      <c r="L196" s="267"/>
      <c r="M196" s="267"/>
      <c r="N196" s="11"/>
      <c r="O196" s="267"/>
      <c r="P196" s="267"/>
      <c r="Q196" s="267"/>
      <c r="R196" s="267"/>
      <c r="S196" s="267"/>
      <c r="T196" s="267"/>
      <c r="U196" s="267"/>
      <c r="V196" s="267"/>
      <c r="W196" s="267"/>
      <c r="X196" s="267"/>
      <c r="Y196" s="267"/>
      <c r="Z196" s="267"/>
      <c r="AA196" s="267"/>
      <c r="AB196" s="11"/>
      <c r="AC196" s="11"/>
      <c r="AD196" s="267"/>
      <c r="AE196" s="11"/>
      <c r="AF196" s="267"/>
      <c r="AG196" s="11"/>
      <c r="AH196" s="267"/>
      <c r="AI196" s="11"/>
      <c r="AJ196" s="11"/>
      <c r="AK196" s="11"/>
      <c r="AL196" s="11"/>
      <c r="AM196" s="11"/>
      <c r="AN196" s="11"/>
      <c r="AO196" s="11"/>
      <c r="AP196" s="11"/>
    </row>
  </sheetData>
  <sheetProtection algorithmName="SHA-512" hashValue="aI2lYFio9PU8LemjAip9UiRmBP/7CZBxsk4/4nrlWKpKOBNqikT/QAGUlLu+3/G2PpNZXM5ueertKZsefo30Lg==" saltValue="WhuOrN+cAx/d5In990s32Q==" spinCount="100000" sheet="1" scenarios="1"/>
  <mergeCells count="2">
    <mergeCell ref="AD31:AE31"/>
    <mergeCell ref="AG31:AH31"/>
  </mergeCells>
  <dataValidations disablePrompts="1" count="2">
    <dataValidation type="list" allowBlank="1" sqref="B84 B51 B29:C29" xr:uid="{00000000-0002-0000-0500-000000000000}">
      <formula1>"SELF,ALL,BAS,DEP,BASMEMBERS,MEMBERS,NOEXPAND,GDEP"</formula1>
    </dataValidation>
    <dataValidation type="list" allowBlank="1" sqref="B83 B50 B28:C28" xr:uid="{00000000-0002-0000-0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253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2536" r:id="rId7" name="FPMExcelClientSheetOptionstb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39997558519241921"/>
    <pageSetUpPr fitToPage="1"/>
  </sheetPr>
  <dimension ref="A1:AI2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358</v>
      </c>
      <c r="C6" s="11" t="str">
        <f>IF(_epmOfflineCondition_,"Food &amp; Beverage",_xll.EVDES(B6,$B$1))</f>
        <v>Food &amp; Beverage</v>
      </c>
      <c r="D6" s="11"/>
      <c r="E6" s="58" t="str">
        <f>IF(_epmOfflineCondition_,"D_FB",_xll.EVPRO($B$1,$B$6,$F$6))</f>
        <v>D_FB</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IF(_epmOfflineCondition_,"'FB_KPI'!$B$2:$B$10",_xll.EVRNG($B$2:$B$10))</f>
        <v>'FB_KPI'!$B$2:$B$10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IF(_epmOfflineCondition_,"'FB_KPI'!$O$16:$AI$18",_xll.EVRNG(O16:AI18))</f>
        <v>'FB_KPI'!$O$16:$AI$18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IF(_epmOfflineCondition_,"'FB_KPI'!$H$35:$H$175",_xll.EVRNG(H35:H175))</f>
        <v>'FB_KPI'!$H$35:$H$175</v>
      </c>
      <c r="C19" s="11"/>
      <c r="D19" s="11"/>
      <c r="E19" s="11"/>
      <c r="F19" s="11"/>
      <c r="G19" s="67" t="str">
        <f>$B$6</f>
        <v>D_REST_CON</v>
      </c>
      <c r="H19" s="67" t="s">
        <v>273</v>
      </c>
      <c r="I19" s="68"/>
      <c r="J19" s="68"/>
      <c r="K19" s="67"/>
      <c r="L19" s="67"/>
      <c r="M19" s="67"/>
      <c r="N19" s="67" t="str">
        <f>IF(_epmOfflineCondition_,"Total Food &amp; Beverage Revenue",_xll.EVDES(H19))</f>
        <v>Total Food &amp; Beverage Revenue</v>
      </c>
      <c r="O19" s="69">
        <f>IF(_epmOfflineCondition_,55884.16,_xll.EVGTS($B$1,1,$B$3,$B$5,$B$7,$B$9,O$16,O$17,O$18,$G$19,$H$19))</f>
        <v>55884.160000000003</v>
      </c>
      <c r="P19" s="69">
        <f>IF(_epmOfflineCondition_,96938.46,_xll.EVGTS($B$1,1,$B$3,$B$5,$B$7,$B$9,P$16,P$17,P$18,$G$19,$H$19))</f>
        <v>96938.46</v>
      </c>
      <c r="Q19" s="69">
        <f>IF(_epmOfflineCondition_,120338.37,_xll.EVGTS($B$1,1,$B$3,$B$5,$B$7,$B$9,Q$16,Q$17,Q$18,$G$19,$H$19))</f>
        <v>120338.37</v>
      </c>
      <c r="R19" s="69">
        <f>IF(_epmOfflineCondition_,132589.79,_xll.EVGTS($B$1,1,$B$3,$B$5,$B$7,$B$9,R$16,R$17,R$18,$G$19,$H$19))</f>
        <v>132589.79</v>
      </c>
      <c r="S19" s="69">
        <f>IF(_epmOfflineCondition_,121748,_xll.EVGTS($B$1,1,$B$3,$B$5,$B$7,$B$9,S$16,S$17,S$18,$G$19,$H$19))</f>
        <v>121748</v>
      </c>
      <c r="T19" s="69">
        <f>IF(_epmOfflineCondition_,116443.16,_xll.EVGTS($B$1,1,$B$3,$B$5,$B$7,$B$9,T$16,T$17,T$18,$G$19,$H$19))</f>
        <v>116443.16</v>
      </c>
      <c r="U19" s="69">
        <f>IF(_epmOfflineCondition_,126037.75,_xll.EVGTS($B$1,1,$B$3,$B$5,$B$7,$B$9,U$16,U$17,U$18,$G$19,$H$19))</f>
        <v>126037.75</v>
      </c>
      <c r="V19" s="69">
        <f>IF(_epmOfflineCondition_,84772.09,_xll.EVGTS($B$1,1,$B$3,$B$5,$B$7,$B$9,V$16,V$17,V$18,$G$19,$H$19))</f>
        <v>84772.09</v>
      </c>
      <c r="W19" s="69">
        <f>IF(_epmOfflineCondition_,74676.96,_xll.EVGTS($B$1,1,$B$3,$B$5,$B$7,$B$9,W$16,W$17,W$18,$G$19,$H$19))</f>
        <v>74676.960000000006</v>
      </c>
      <c r="X19" s="69">
        <f>IF(_epmOfflineCondition_,99385.92,_xll.EVGTS($B$1,1,$B$3,$B$5,$B$7,$B$9,X$16,X$17,X$18,$G$19,$H$19))</f>
        <v>99385.919999999998</v>
      </c>
      <c r="Y19" s="69">
        <f>IF(_epmOfflineCondition_,125429.61,_xll.EVGTS($B$1,1,$B$3,$B$5,$B$7,$B$9,Y$16,Y$17,Y$18,$G$19,$H$19))</f>
        <v>125429.61</v>
      </c>
      <c r="Z19" s="69">
        <f>IF(_epmOfflineCondition_,175054.45,_xll.EVGTS($B$1,1,$B$3,$B$5,$B$7,$B$9,Z$16,Z$17,Z$18,$G$19,$H$19))</f>
        <v>175054.45</v>
      </c>
      <c r="AA19" s="69">
        <f>SUM(O19:Z19)</f>
        <v>1329298.72</v>
      </c>
      <c r="AB19" s="67"/>
      <c r="AC19" s="67"/>
      <c r="AD19" s="69">
        <f>IF(_epmOfflineCondition_,1250606.71470613,_xll.EVGTS($B$1,1,$B$3,$B$5,$B$7,$B$9,AD$16,AD$17,AD$18,$G$19,$H$19))</f>
        <v>1250606.7147061301</v>
      </c>
      <c r="AE19" s="67"/>
      <c r="AF19" s="67"/>
      <c r="AG19" s="69">
        <f>IF(_epmOfflineCondition_,491900.37,_xll.EVGTS($B$1,1,$B$3,$B$5,$B$7,$B$9,AG$16,AG$17,AG$18,$G$19,$H$19))</f>
        <v>491900.37</v>
      </c>
      <c r="AH19" s="67"/>
      <c r="AI19" s="67"/>
    </row>
    <row r="20" spans="1:35" hidden="1" outlineLevel="1" x14ac:dyDescent="0.35">
      <c r="A20" s="65" t="s">
        <v>5</v>
      </c>
      <c r="B20" s="66"/>
      <c r="C20" s="11"/>
      <c r="D20" s="11"/>
      <c r="E20" s="11"/>
      <c r="F20" s="11"/>
      <c r="G20" s="67" t="str">
        <f>$B$6</f>
        <v>D_REST_CON</v>
      </c>
      <c r="H20" s="67">
        <v>946000</v>
      </c>
      <c r="I20" s="68"/>
      <c r="J20" s="68"/>
      <c r="K20" s="67"/>
      <c r="L20" s="67"/>
      <c r="M20" s="67"/>
      <c r="N20" s="67" t="str">
        <f>IF(_epmOfflineCondition_,"Total Customers",_xll.EVDES(H20))</f>
        <v>Total Customers</v>
      </c>
      <c r="O20" s="69">
        <f>IF(_epmOfflineCondition_,2091,_xll.EVGTS($B$1,1,$B$3,$B$5,$B$7,$B$9,O$16,O$17,O$18,$G$20,$H$20))</f>
        <v>2091</v>
      </c>
      <c r="P20" s="69">
        <f>IF(_epmOfflineCondition_,3429,_xll.EVGTS($B$1,1,$B$3,$B$5,$B$7,$B$9,P$16,P$17,P$18,$G$20,$H$20))</f>
        <v>3429</v>
      </c>
      <c r="Q20" s="69">
        <f>IF(_epmOfflineCondition_,4254,_xll.EVGTS($B$1,1,$B$3,$B$5,$B$7,$B$9,Q$16,Q$17,Q$18,$G$20,$H$20))</f>
        <v>4254</v>
      </c>
      <c r="R20" s="69">
        <f>IF(_epmOfflineCondition_,4190,_xll.EVGTS($B$1,1,$B$3,$B$5,$B$7,$B$9,R$16,R$17,R$18,$G$20,$H$20))</f>
        <v>4190</v>
      </c>
      <c r="S20" s="69">
        <f>IF(_epmOfflineCondition_,4112,_xll.EVGTS($B$1,1,$B$3,$B$5,$B$7,$B$9,S$16,S$17,S$18,$G$20,$H$20))</f>
        <v>4112</v>
      </c>
      <c r="T20" s="69">
        <f>IF(_epmOfflineCondition_,3968,_xll.EVGTS($B$1,1,$B$3,$B$5,$B$7,$B$9,T$16,T$17,T$18,$G$20,$H$20))</f>
        <v>3968</v>
      </c>
      <c r="U20" s="69">
        <f>IF(_epmOfflineCondition_,3976,_xll.EVGTS($B$1,1,$B$3,$B$5,$B$7,$B$9,U$16,U$17,U$18,$G$20,$H$20))</f>
        <v>3976</v>
      </c>
      <c r="V20" s="69">
        <f>IF(_epmOfflineCondition_,2505,_xll.EVGTS($B$1,1,$B$3,$B$5,$B$7,$B$9,V$16,V$17,V$18,$G$20,$H$20))</f>
        <v>2505</v>
      </c>
      <c r="W20" s="69">
        <f>IF(_epmOfflineCondition_,2161,_xll.EVGTS($B$1,1,$B$3,$B$5,$B$7,$B$9,W$16,W$17,W$18,$G$20,$H$20))</f>
        <v>2161</v>
      </c>
      <c r="X20" s="69">
        <f>IF(_epmOfflineCondition_,2824,_xll.EVGTS($B$1,1,$B$3,$B$5,$B$7,$B$9,X$16,X$17,X$18,$G$20,$H$20))</f>
        <v>2824</v>
      </c>
      <c r="Y20" s="69">
        <f>IF(_epmOfflineCondition_,3604,_xll.EVGTS($B$1,1,$B$3,$B$5,$B$7,$B$9,Y$16,Y$17,Y$18,$G$20,$H$20))</f>
        <v>3604</v>
      </c>
      <c r="Z20" s="69">
        <f>IF(_epmOfflineCondition_,5343,_xll.EVGTS($B$1,1,$B$3,$B$5,$B$7,$B$9,Z$16,Z$17,Z$18,$G$20,$H$20))</f>
        <v>5343</v>
      </c>
      <c r="AA20" s="69">
        <f>SUM(O20:Z20)</f>
        <v>42457</v>
      </c>
      <c r="AB20" s="67"/>
      <c r="AC20" s="67"/>
      <c r="AD20" s="69">
        <f>IF(_epmOfflineCondition_,38040.256470591,_xll.EVGTS($B$1,1,$B$3,$B$5,$B$7,$B$9,AD$16,AD$17,AD$18,$G$20,$H$20))</f>
        <v>38040.256470590997</v>
      </c>
      <c r="AE20" s="67"/>
      <c r="AF20" s="67"/>
      <c r="AG20" s="69">
        <f>IF(_epmOfflineCondition_,17192,_xll.EVGTS($B$1,1,$B$3,$B$5,$B$7,$B$9,AG$16,AG$17,AG$18,$G$20,$H$20))</f>
        <v>17192</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IF(_epmOfflineCondition_,"'FB_KPI'!$A$37:$B$58",_xll.EVRNG($A$37:$B$58))</f>
        <v>'FB_KPI'!$A$37:$B$58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IF(_epmOfflineCondition_,"Food &amp; Beverage Department",IF(_xll.EVDES(B6,$B$1)="#NODATA","",_xll.EVDES(B6,$B$1)&amp;" Department"))</f>
        <v>Food &amp; Beverage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83"/>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v>7852.93</v>
      </c>
      <c r="P35" s="143">
        <v>10689</v>
      </c>
      <c r="Q35" s="143">
        <v>14779.22</v>
      </c>
      <c r="R35" s="143">
        <v>14221.48</v>
      </c>
      <c r="S35" s="143">
        <v>16833.84</v>
      </c>
      <c r="T35" s="143">
        <v>16195.25</v>
      </c>
      <c r="U35" s="143">
        <v>17208.509999999998</v>
      </c>
      <c r="V35" s="143">
        <v>10576</v>
      </c>
      <c r="W35" s="143">
        <v>11693.7</v>
      </c>
      <c r="X35" s="143">
        <v>16515.91</v>
      </c>
      <c r="Y35" s="143">
        <v>22136.5</v>
      </c>
      <c r="Z35" s="143">
        <v>47230.83</v>
      </c>
      <c r="AA35" s="143">
        <f t="shared" ref="AA35:AA40" si="0">SUM(O35:Z35)</f>
        <v>205933.16999999998</v>
      </c>
      <c r="AB35" s="144">
        <f>IF(AA35=0,"",IFERROR(AA35/AA$19,""))</f>
        <v>0.15491865515374903</v>
      </c>
      <c r="AC35" s="140"/>
      <c r="AD35" s="143">
        <v>212929.42499999999</v>
      </c>
      <c r="AE35" s="144">
        <f>IF(AD35=0,"",IFERROR(AD35/AD$19,""))</f>
        <v>0.17026090016639206</v>
      </c>
      <c r="AF35" s="145">
        <f t="shared" ref="AF35:AF41" si="1">IF(AND($AA35="",AD35=""),"",$AA35-AD35)</f>
        <v>-6996.2550000000047</v>
      </c>
      <c r="AG35" s="143">
        <v>72413.240000000005</v>
      </c>
      <c r="AH35" s="144">
        <f>IF(AG35=0,"",IFERROR(AG35/AG$19,""))</f>
        <v>0.14721119238027816</v>
      </c>
      <c r="AI35" s="145">
        <f t="shared" ref="AI35:AI41" si="2">IF(AND($AA35="",AG35=""),"",$AA35-AG35)</f>
        <v>133519.93</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v>103</v>
      </c>
      <c r="P36" s="143">
        <v>154</v>
      </c>
      <c r="Q36" s="143">
        <v>255</v>
      </c>
      <c r="R36" s="143">
        <v>204</v>
      </c>
      <c r="S36" s="143">
        <v>592.79999999999995</v>
      </c>
      <c r="T36" s="143">
        <v>413</v>
      </c>
      <c r="U36" s="143">
        <v>656</v>
      </c>
      <c r="V36" s="143">
        <v>680.07</v>
      </c>
      <c r="W36" s="143">
        <v>222</v>
      </c>
      <c r="X36" s="143">
        <v>787</v>
      </c>
      <c r="Y36" s="143">
        <v>574</v>
      </c>
      <c r="Z36" s="143">
        <v>2052.1999999999998</v>
      </c>
      <c r="AA36" s="143">
        <f t="shared" si="0"/>
        <v>6693.0700000000006</v>
      </c>
      <c r="AB36" s="144">
        <f>IF(AA36=0,"",IFERROR(AA36/AA$19,""))</f>
        <v>5.0350383245686119E-3</v>
      </c>
      <c r="AC36" s="140"/>
      <c r="AD36" s="143">
        <v>11829.4125</v>
      </c>
      <c r="AE36" s="144">
        <f>IF(AD36=0,"",IFERROR(AD36/AD$19,""))</f>
        <v>9.4589388981328945E-3</v>
      </c>
      <c r="AF36" s="145">
        <f t="shared" si="1"/>
        <v>-5136.3424999999997</v>
      </c>
      <c r="AG36" s="143">
        <v>1667.99</v>
      </c>
      <c r="AH36" s="144">
        <f>IF(AG36=0,"",IFERROR(AG36/AG$19,""))</f>
        <v>3.3909102365586754E-3</v>
      </c>
      <c r="AI36" s="145">
        <f t="shared" si="2"/>
        <v>5025.0800000000008</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v>24</v>
      </c>
      <c r="Q37" s="143">
        <v>42</v>
      </c>
      <c r="R37" s="143">
        <v>28</v>
      </c>
      <c r="S37" s="143">
        <v>129</v>
      </c>
      <c r="T37" s="143"/>
      <c r="U37" s="143">
        <v>22</v>
      </c>
      <c r="V37" s="143">
        <v>40</v>
      </c>
      <c r="W37" s="143">
        <v>16</v>
      </c>
      <c r="X37" s="143">
        <v>23</v>
      </c>
      <c r="Y37" s="143">
        <v>32</v>
      </c>
      <c r="Z37" s="143">
        <v>384</v>
      </c>
      <c r="AA37" s="143">
        <f t="shared" si="0"/>
        <v>740</v>
      </c>
      <c r="AB37" s="144">
        <f>IF(AA37=0,"",IFERROR(AA37/AA$19,""))</f>
        <v>5.5668450504488569E-4</v>
      </c>
      <c r="AC37" s="140"/>
      <c r="AD37" s="143"/>
      <c r="AE37" s="144" t="str">
        <f>IF(AD37=0,"",IFERROR(AD37/AD$19,""))</f>
        <v/>
      </c>
      <c r="AF37" s="145">
        <f t="shared" si="1"/>
        <v>740</v>
      </c>
      <c r="AG37" s="143">
        <v>91</v>
      </c>
      <c r="AH37" s="144">
        <f>IF(AG37=0,"",IFERROR(AG37/AG$19,""))</f>
        <v>1.8499681144781412E-4</v>
      </c>
      <c r="AI37" s="145">
        <f t="shared" si="2"/>
        <v>649</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v>755</v>
      </c>
      <c r="P38" s="217">
        <v>1134</v>
      </c>
      <c r="Q38" s="217">
        <v>1574</v>
      </c>
      <c r="R38" s="217">
        <v>1548</v>
      </c>
      <c r="S38" s="217">
        <v>1739</v>
      </c>
      <c r="T38" s="217">
        <v>1592</v>
      </c>
      <c r="U38" s="217">
        <v>1678</v>
      </c>
      <c r="V38" s="217">
        <v>558</v>
      </c>
      <c r="W38" s="217">
        <v>823</v>
      </c>
      <c r="X38" s="217">
        <v>1896</v>
      </c>
      <c r="Y38" s="217">
        <v>1134</v>
      </c>
      <c r="Z38" s="217">
        <v>2684.1</v>
      </c>
      <c r="AA38" s="217">
        <f t="shared" si="0"/>
        <v>17115.099999999999</v>
      </c>
      <c r="AB38" s="219">
        <f>IF(AA38=0,"",IFERROR(AA38/AA$19,""))</f>
        <v>1.2875285097694218E-2</v>
      </c>
      <c r="AC38" s="140"/>
      <c r="AD38" s="217">
        <v>11829.4125</v>
      </c>
      <c r="AE38" s="219">
        <f>IF(AD38=0,"",IFERROR(AD38/AD$19,""))</f>
        <v>9.4589388981328945E-3</v>
      </c>
      <c r="AF38" s="220">
        <f t="shared" si="1"/>
        <v>5285.6874999999982</v>
      </c>
      <c r="AG38" s="217">
        <v>2186</v>
      </c>
      <c r="AH38" s="219">
        <f>IF(AG38=0,"",IFERROR(AG38/AG$19,""))</f>
        <v>4.4439893387354032E-3</v>
      </c>
      <c r="AI38" s="220">
        <f t="shared" si="2"/>
        <v>14929.099999999999</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v>8710.93</v>
      </c>
      <c r="P39" s="166">
        <v>12001</v>
      </c>
      <c r="Q39" s="166">
        <v>16650.22</v>
      </c>
      <c r="R39" s="166">
        <v>16001.48</v>
      </c>
      <c r="S39" s="166">
        <v>19294.64</v>
      </c>
      <c r="T39" s="166">
        <v>18200.25</v>
      </c>
      <c r="U39" s="166">
        <v>19564.509999999998</v>
      </c>
      <c r="V39" s="166">
        <v>11854.07</v>
      </c>
      <c r="W39" s="166">
        <v>12754.7</v>
      </c>
      <c r="X39" s="166">
        <v>19221.91</v>
      </c>
      <c r="Y39" s="166">
        <v>23876.5</v>
      </c>
      <c r="Z39" s="166">
        <v>52351.13</v>
      </c>
      <c r="AA39" s="166">
        <f t="shared" si="0"/>
        <v>230481.34000000003</v>
      </c>
      <c r="AB39" s="167">
        <f>IF(AA39=0,"",IFERROR(AA39/AA$19,""))</f>
        <v>0.17338566308105677</v>
      </c>
      <c r="AC39" s="140"/>
      <c r="AD39" s="166">
        <v>236588.25</v>
      </c>
      <c r="AE39" s="167">
        <f>IF(AD39=0,"",IFERROR(AD39/AD$19,""))</f>
        <v>0.18917877796265786</v>
      </c>
      <c r="AF39" s="168">
        <f t="shared" si="1"/>
        <v>-6106.9099999999744</v>
      </c>
      <c r="AG39" s="166">
        <v>76358.23</v>
      </c>
      <c r="AH39" s="167">
        <f>IF(AG39=0,"",IFERROR(AG39/AG$19,""))</f>
        <v>0.15523108876702002</v>
      </c>
      <c r="AI39" s="168">
        <f t="shared" si="2"/>
        <v>154123.11000000004</v>
      </c>
    </row>
    <row r="40" spans="1:35" x14ac:dyDescent="0.35">
      <c r="A40" s="65" t="s">
        <v>28</v>
      </c>
      <c r="B40" s="66"/>
      <c r="C40" s="11"/>
      <c r="D40" s="11"/>
      <c r="E40" s="11"/>
      <c r="F40" s="11"/>
      <c r="G40" s="11"/>
      <c r="H40" s="88" t="s">
        <v>297</v>
      </c>
      <c r="I40" s="122" t="str">
        <f>IF(_epmOfflineCondition_,"N",_xll.EVPRO($B$1,$H40,"STYLE"))</f>
        <v>N</v>
      </c>
      <c r="J40" s="122" t="str">
        <f>IF(_epmOfflineCondition_,"N",_xll.EVPRO($B$1,$H40,"CALC"))</f>
        <v>N</v>
      </c>
      <c r="K40" s="90"/>
      <c r="L40" s="90" t="str">
        <f>IF(_epmOfflineCondition_,"946100",_xll.EVPRO($B$1,H40,"JDEID"))</f>
        <v>946100</v>
      </c>
      <c r="M40" s="90" t="str">
        <f>IF(_epmOfflineCondition_,"991501",IF(AND(I40="N",J40="N"),_xll.EVPRO($B$1,H40,"PSFTID"),""))</f>
        <v>991501</v>
      </c>
      <c r="N40" s="90" t="str">
        <f>IF(_epmOfflineCondition_,"Breakfast Customers",IF(_xll.EVDES(H40,$B$1)="#NODATA","",_xll.EVDES(H40,$B$1)))</f>
        <v>Breakfast Customers</v>
      </c>
      <c r="O40" s="210">
        <v>377</v>
      </c>
      <c r="P40" s="210">
        <v>504</v>
      </c>
      <c r="Q40" s="210">
        <v>792</v>
      </c>
      <c r="R40" s="210">
        <v>706</v>
      </c>
      <c r="S40" s="210">
        <v>829</v>
      </c>
      <c r="T40" s="210">
        <v>808</v>
      </c>
      <c r="U40" s="210">
        <v>793</v>
      </c>
      <c r="V40" s="210">
        <v>445</v>
      </c>
      <c r="W40" s="210">
        <v>440</v>
      </c>
      <c r="X40" s="210">
        <v>652</v>
      </c>
      <c r="Y40" s="210">
        <v>760</v>
      </c>
      <c r="Z40" s="210">
        <v>1958</v>
      </c>
      <c r="AA40" s="210">
        <f t="shared" si="0"/>
        <v>9064</v>
      </c>
      <c r="AB40" s="211">
        <f>IF(AA40=0,"",IFERROR(AA40/AA$104,""))</f>
        <v>0.21348658642862189</v>
      </c>
      <c r="AC40" s="140"/>
      <c r="AD40" s="210">
        <v>10065</v>
      </c>
      <c r="AE40" s="211">
        <f>IF(AD40=0,"",IFERROR(AD40/AD$104,""))</f>
        <v>0.26458812147550248</v>
      </c>
      <c r="AF40" s="253">
        <f t="shared" si="1"/>
        <v>-1001</v>
      </c>
      <c r="AG40" s="210">
        <v>3896</v>
      </c>
      <c r="AH40" s="211">
        <f>IF(AG40=0,"",IFERROR(AG40/AG$104,""))</f>
        <v>0.22661703117729176</v>
      </c>
      <c r="AI40" s="253">
        <f t="shared" si="2"/>
        <v>5168</v>
      </c>
    </row>
    <row r="41" spans="1:35" x14ac:dyDescent="0.35">
      <c r="A41" s="65" t="s">
        <v>29</v>
      </c>
      <c r="B41" s="66"/>
      <c r="C41" s="11"/>
      <c r="D41" s="11"/>
      <c r="E41" s="11"/>
      <c r="F41" s="11"/>
      <c r="G41" s="11"/>
      <c r="H41" s="88" t="s">
        <v>313</v>
      </c>
      <c r="I41" s="122" t="str">
        <f>IF(_epmOfflineCondition_,"N",_xll.EVPRO($B$1,$H41,"STYLE"))</f>
        <v>N</v>
      </c>
      <c r="J41" s="122" t="str">
        <f>IF(_epmOfflineCondition_,"Y",_xll.EVPRO($B$1,$H41,"CALC"))</f>
        <v>Y</v>
      </c>
      <c r="K41" s="90"/>
      <c r="L41" s="90" t="str">
        <f>IF(_epmOfflineCondition_,"",_xll.EVPRO($B$1,H41,"JDEID"))</f>
        <v/>
      </c>
      <c r="M41" s="90" t="str">
        <f>IF(_epmOfflineCondition_,"",IF(AND(I41="N",J41="N"),_xll.EVPRO($B$1,H41,"PSFTID"),""))</f>
        <v/>
      </c>
      <c r="N41" s="190" t="str">
        <f>IF(_epmOfflineCondition_,"Breakfast - Average Check",IF(_xll.EVDES(H41,$B$1)="#NODATA","",_xll.EVDES(H41,$B$1)))</f>
        <v>Breakfast - Average Check</v>
      </c>
      <c r="O41" s="495">
        <v>23.105915119363399</v>
      </c>
      <c r="P41" s="495">
        <v>23.811507936507901</v>
      </c>
      <c r="Q41" s="495">
        <v>21.023005050505098</v>
      </c>
      <c r="R41" s="495">
        <v>22.6649858356941</v>
      </c>
      <c r="S41" s="495">
        <v>23.274595898673098</v>
      </c>
      <c r="T41" s="495">
        <v>22.525061881188101</v>
      </c>
      <c r="U41" s="495">
        <v>24.6715132408575</v>
      </c>
      <c r="V41" s="495">
        <v>26.638359550561798</v>
      </c>
      <c r="W41" s="495">
        <v>28.9879545454545</v>
      </c>
      <c r="X41" s="495">
        <v>29.481457055214701</v>
      </c>
      <c r="Y41" s="495">
        <v>31.4164473684211</v>
      </c>
      <c r="Z41" s="495">
        <v>26.737042900919299</v>
      </c>
      <c r="AA41" s="495">
        <f>IFERROR(AA39/AA40,"")</f>
        <v>25.428214916151813</v>
      </c>
      <c r="AB41" s="495"/>
      <c r="AC41" s="140"/>
      <c r="AD41" s="495">
        <v>23.5060357675112</v>
      </c>
      <c r="AE41" s="495"/>
      <c r="AF41" s="496">
        <f t="shared" si="1"/>
        <v>1.9221791486406126</v>
      </c>
      <c r="AG41" s="495">
        <v>19.599135010266899</v>
      </c>
      <c r="AH41" s="495"/>
      <c r="AI41" s="496">
        <f t="shared" si="2"/>
        <v>5.8290799058849139</v>
      </c>
    </row>
    <row r="42" spans="1:35" x14ac:dyDescent="0.35">
      <c r="A42" s="65" t="s">
        <v>30</v>
      </c>
      <c r="B42" s="66" t="s">
        <v>78</v>
      </c>
      <c r="C42" s="11"/>
      <c r="D42" s="11"/>
      <c r="E42" s="11"/>
      <c r="F42" s="11"/>
      <c r="G42" s="490">
        <f>COUNTIF(O43:AI43,FALSE)</f>
        <v>0</v>
      </c>
      <c r="H42" s="88"/>
      <c r="I42" s="122"/>
      <c r="J42" s="122"/>
      <c r="K42" s="90"/>
      <c r="L42" s="90"/>
      <c r="M42" s="90"/>
      <c r="N42" s="491" t="s">
        <v>345</v>
      </c>
      <c r="O42" s="497">
        <f t="shared" ref="O42:AA42" si="3">ROUND(IFERROR(O39/O40,0),2)</f>
        <v>23.11</v>
      </c>
      <c r="P42" s="498">
        <f t="shared" si="3"/>
        <v>23.81</v>
      </c>
      <c r="Q42" s="498">
        <f t="shared" si="3"/>
        <v>21.02</v>
      </c>
      <c r="R42" s="498">
        <f t="shared" si="3"/>
        <v>22.66</v>
      </c>
      <c r="S42" s="498">
        <f t="shared" si="3"/>
        <v>23.27</v>
      </c>
      <c r="T42" s="498">
        <f t="shared" si="3"/>
        <v>22.53</v>
      </c>
      <c r="U42" s="498">
        <f t="shared" si="3"/>
        <v>24.67</v>
      </c>
      <c r="V42" s="498">
        <f t="shared" si="3"/>
        <v>26.64</v>
      </c>
      <c r="W42" s="498">
        <f t="shared" si="3"/>
        <v>28.99</v>
      </c>
      <c r="X42" s="498">
        <f t="shared" si="3"/>
        <v>29.48</v>
      </c>
      <c r="Y42" s="498">
        <f t="shared" si="3"/>
        <v>31.42</v>
      </c>
      <c r="Z42" s="498">
        <f t="shared" si="3"/>
        <v>26.74</v>
      </c>
      <c r="AA42" s="498">
        <f t="shared" si="3"/>
        <v>25.43</v>
      </c>
      <c r="AB42" s="499"/>
      <c r="AC42" s="140"/>
      <c r="AD42" s="497">
        <f>ROUND(IFERROR(AD39/AD40,0),2)</f>
        <v>23.51</v>
      </c>
      <c r="AE42" s="498"/>
      <c r="AF42" s="159"/>
      <c r="AG42" s="497">
        <f>ROUND(IFERROR(AG39/AG40,0),2)</f>
        <v>19.600000000000001</v>
      </c>
      <c r="AH42" s="498"/>
      <c r="AI42" s="159"/>
    </row>
    <row r="43" spans="1:35" x14ac:dyDescent="0.35">
      <c r="A43" s="65" t="s">
        <v>31</v>
      </c>
      <c r="B43" s="66" t="s">
        <v>78</v>
      </c>
      <c r="C43" s="11"/>
      <c r="D43" s="11"/>
      <c r="E43" s="11"/>
      <c r="F43" s="11"/>
      <c r="G43" s="11"/>
      <c r="H43" s="88"/>
      <c r="I43" s="122"/>
      <c r="J43" s="122"/>
      <c r="K43" s="90"/>
      <c r="L43" s="90"/>
      <c r="M43" s="90"/>
      <c r="N43" s="53" t="s">
        <v>314</v>
      </c>
      <c r="O43" s="500" t="b">
        <f t="shared" ref="O43:AA43" si="4">ROUND(O41,2)=ROUND(O42,2)</f>
        <v>1</v>
      </c>
      <c r="P43" s="501" t="b">
        <f t="shared" si="4"/>
        <v>1</v>
      </c>
      <c r="Q43" s="501" t="b">
        <f t="shared" si="4"/>
        <v>1</v>
      </c>
      <c r="R43" s="501" t="b">
        <f t="shared" si="4"/>
        <v>1</v>
      </c>
      <c r="S43" s="501" t="b">
        <f t="shared" si="4"/>
        <v>1</v>
      </c>
      <c r="T43" s="501" t="b">
        <f t="shared" si="4"/>
        <v>1</v>
      </c>
      <c r="U43" s="501" t="b">
        <f t="shared" si="4"/>
        <v>1</v>
      </c>
      <c r="V43" s="501" t="b">
        <f t="shared" si="4"/>
        <v>1</v>
      </c>
      <c r="W43" s="501" t="b">
        <f t="shared" si="4"/>
        <v>1</v>
      </c>
      <c r="X43" s="501" t="b">
        <f t="shared" si="4"/>
        <v>1</v>
      </c>
      <c r="Y43" s="501" t="b">
        <f t="shared" si="4"/>
        <v>1</v>
      </c>
      <c r="Z43" s="501" t="b">
        <f t="shared" si="4"/>
        <v>1</v>
      </c>
      <c r="AA43" s="501" t="b">
        <f t="shared" si="4"/>
        <v>1</v>
      </c>
      <c r="AB43" s="502"/>
      <c r="AC43" s="503"/>
      <c r="AD43" s="500"/>
      <c r="AE43" s="501" t="b">
        <f>ROUND(AD41,2)=ROUND(AD42,2)</f>
        <v>1</v>
      </c>
      <c r="AF43" s="502"/>
      <c r="AG43" s="500"/>
      <c r="AH43" s="501" t="b">
        <f>ROUND(AG41,2)=ROUND(AG42,2)</f>
        <v>1</v>
      </c>
      <c r="AI43" s="502"/>
    </row>
    <row r="44" spans="1:35" x14ac:dyDescent="0.35">
      <c r="A44" s="65" t="s">
        <v>32</v>
      </c>
      <c r="B44" s="66"/>
      <c r="C44" s="11"/>
      <c r="D44" s="11"/>
      <c r="E44" s="11"/>
      <c r="F44" s="11"/>
      <c r="G44" s="11"/>
      <c r="H44" s="88" t="s">
        <v>261</v>
      </c>
      <c r="I44" s="122" t="str">
        <f>IF(_epmOfflineCondition_,"T5",_xll.EVPRO($B$1,$H44,"STYLE"))</f>
        <v>T5</v>
      </c>
      <c r="J44" s="122" t="str">
        <f>IF(_epmOfflineCondition_,"Y",_xll.EVPRO($B$1,$H44,"CALC"))</f>
        <v>Y</v>
      </c>
      <c r="K44" s="90"/>
      <c r="L44" s="90" t="str">
        <f>IF(_epmOfflineCondition_,"462100",_xll.EVPRO($B$1,H44,"JDEID"))</f>
        <v>462100</v>
      </c>
      <c r="M44" s="90" t="str">
        <f>IF(_epmOfflineCondition_,"",IF(AND(I44="N",J44="N"),_xll.EVPRO($B$1,H44,"PSFTID"),""))</f>
        <v/>
      </c>
      <c r="N44" s="90" t="str">
        <f>IF(_epmOfflineCondition_,"Lunch Food",IF(_xll.EVDES(H44,$B$1)="#NODATA","",_xll.EVDES(H44,$B$1)))</f>
        <v>Lunch Food</v>
      </c>
      <c r="O44" s="143">
        <v>7410.6</v>
      </c>
      <c r="P44" s="143">
        <v>10037</v>
      </c>
      <c r="Q44" s="143">
        <v>14374</v>
      </c>
      <c r="R44" s="143">
        <v>17551.7</v>
      </c>
      <c r="S44" s="143">
        <v>22689.27</v>
      </c>
      <c r="T44" s="143">
        <v>21187.5</v>
      </c>
      <c r="U44" s="143">
        <v>22184</v>
      </c>
      <c r="V44" s="143">
        <v>18229.12</v>
      </c>
      <c r="W44" s="143">
        <v>14686.36</v>
      </c>
      <c r="X44" s="143">
        <v>17141.91</v>
      </c>
      <c r="Y44" s="143">
        <v>27493</v>
      </c>
      <c r="Z44" s="143">
        <v>14888</v>
      </c>
      <c r="AA44" s="143">
        <f t="shared" ref="AA44:AA49" si="5">SUM(O44:Z44)</f>
        <v>207872.46</v>
      </c>
      <c r="AB44" s="144">
        <f>IF(AA44=0,"",IFERROR(AA44/AA$19,""))</f>
        <v>0.15637753717238215</v>
      </c>
      <c r="AC44" s="140"/>
      <c r="AD44" s="143">
        <v>125437.86</v>
      </c>
      <c r="AE44" s="144">
        <f>IF(AD44=0,"",IFERROR(AD44/AD$19,""))</f>
        <v>0.10030160443323353</v>
      </c>
      <c r="AF44" s="145">
        <f t="shared" ref="AF44:AF50" si="6">IF(AND($AA44="",AD44=""),"",$AA44-AD44)</f>
        <v>82434.599999999991</v>
      </c>
      <c r="AG44" s="143">
        <v>66065.740000000005</v>
      </c>
      <c r="AH44" s="144">
        <f>IF(AG44=0,"",IFERROR(AG44/AG$19,""))</f>
        <v>0.13430715654879463</v>
      </c>
      <c r="AI44" s="145">
        <f t="shared" ref="AI44:AI50" si="7">IF(AND($AA44="",AG44=""),"",$AA44-AG44)</f>
        <v>141806.71999999997</v>
      </c>
    </row>
    <row r="45" spans="1:35" x14ac:dyDescent="0.35">
      <c r="A45" s="65" t="s">
        <v>33</v>
      </c>
      <c r="B45" s="66"/>
      <c r="C45" s="11"/>
      <c r="D45" s="11"/>
      <c r="E45" s="11"/>
      <c r="F45" s="11"/>
      <c r="G45" s="11"/>
      <c r="H45" s="185" t="s">
        <v>301</v>
      </c>
      <c r="I45" s="122" t="str">
        <f>IF(_epmOfflineCondition_,"T6",_xll.EVPRO($B$1,$H45,"STYLE"))</f>
        <v>T6</v>
      </c>
      <c r="J45" s="122" t="str">
        <f>IF(_epmOfflineCondition_,"Y",_xll.EVPRO($B$1,$H45,"CALC"))</f>
        <v>Y</v>
      </c>
      <c r="K45" s="90"/>
      <c r="L45" s="90" t="str">
        <f>IF(_epmOfflineCondition_,"462200",_xll.EVPRO($B$1,H45,"JDEID"))</f>
        <v>462200</v>
      </c>
      <c r="M45" s="90" t="str">
        <f>IF(_epmOfflineCondition_,"",IF(AND(I45="N",J45="N"),_xll.EVPRO($B$1,H45,"PSFTID"),""))</f>
        <v/>
      </c>
      <c r="N45" s="90" t="str">
        <f>IF(_epmOfflineCondition_,"Lunch Liquor",IF(_xll.EVDES(H45,$B$1)="#NODATA","",_xll.EVDES(H45,$B$1)))</f>
        <v>Lunch Liquor</v>
      </c>
      <c r="O45" s="143">
        <v>8069.15</v>
      </c>
      <c r="P45" s="143">
        <v>12996.06</v>
      </c>
      <c r="Q45" s="143">
        <v>19916.8</v>
      </c>
      <c r="R45" s="143">
        <v>28335.360000000001</v>
      </c>
      <c r="S45" s="143">
        <v>30541.72</v>
      </c>
      <c r="T45" s="143">
        <v>27904.3</v>
      </c>
      <c r="U45" s="143">
        <v>30148.799999999999</v>
      </c>
      <c r="V45" s="143">
        <v>21877.4</v>
      </c>
      <c r="W45" s="143">
        <v>16327</v>
      </c>
      <c r="X45" s="143">
        <v>19521</v>
      </c>
      <c r="Y45" s="143">
        <v>21659</v>
      </c>
      <c r="Z45" s="143">
        <v>20511.599999999999</v>
      </c>
      <c r="AA45" s="143">
        <f t="shared" si="5"/>
        <v>257808.19</v>
      </c>
      <c r="AB45" s="144">
        <f>IF(AA45=0,"",IFERROR(AA45/AA$19,""))</f>
        <v>0.19394300627928085</v>
      </c>
      <c r="AC45" s="140"/>
      <c r="AD45" s="143">
        <v>87640.672500000001</v>
      </c>
      <c r="AE45" s="144">
        <f>IF(AD45=0,"",IFERROR(AD45/AD$19,""))</f>
        <v>7.0078523863190648E-2</v>
      </c>
      <c r="AF45" s="145">
        <f t="shared" si="6"/>
        <v>170167.51750000002</v>
      </c>
      <c r="AG45" s="143">
        <v>26252.31</v>
      </c>
      <c r="AH45" s="144">
        <f>IF(AG45=0,"",IFERROR(AG45/AG$19,""))</f>
        <v>5.3369160913621594E-2</v>
      </c>
      <c r="AI45" s="145">
        <f t="shared" si="7"/>
        <v>231555.88</v>
      </c>
    </row>
    <row r="46" spans="1:35" x14ac:dyDescent="0.35">
      <c r="A46" s="65" t="s">
        <v>34</v>
      </c>
      <c r="B46" s="66"/>
      <c r="C46" s="11"/>
      <c r="D46" s="11"/>
      <c r="E46" s="11"/>
      <c r="F46" s="11"/>
      <c r="G46" s="11"/>
      <c r="H46" s="185" t="s">
        <v>305</v>
      </c>
      <c r="I46" s="122" t="str">
        <f>IF(_epmOfflineCondition_,"T6",_xll.EVPRO($B$1,$H46,"STYLE"))</f>
        <v>T6</v>
      </c>
      <c r="J46" s="122" t="str">
        <f>IF(_epmOfflineCondition_,"Y",_xll.EVPRO($B$1,$H46,"CALC"))</f>
        <v>Y</v>
      </c>
      <c r="K46" s="90"/>
      <c r="L46" s="90" t="str">
        <f>IF(_epmOfflineCondition_,"462300",_xll.EVPRO($B$1,H46,"JDEID"))</f>
        <v>462300</v>
      </c>
      <c r="M46" s="90" t="str">
        <f>IF(_epmOfflineCondition_,"",IF(AND(I46="N",J46="N"),_xll.EVPRO($B$1,H46,"PSFTID"),""))</f>
        <v/>
      </c>
      <c r="N46" s="90" t="str">
        <f>IF(_epmOfflineCondition_,"Lunch Beer",IF(_xll.EVDES(H46,$B$1)="#NODATA","",_xll.EVDES(H46,$B$1)))</f>
        <v>Lunch Beer</v>
      </c>
      <c r="O46" s="143">
        <v>612.79999999999995</v>
      </c>
      <c r="P46" s="143">
        <v>1124</v>
      </c>
      <c r="Q46" s="143">
        <v>1737</v>
      </c>
      <c r="R46" s="143">
        <v>2516.1999999999998</v>
      </c>
      <c r="S46" s="143">
        <v>2894</v>
      </c>
      <c r="T46" s="143">
        <v>1915.2</v>
      </c>
      <c r="U46" s="143">
        <v>2133</v>
      </c>
      <c r="V46" s="143">
        <v>1660.4</v>
      </c>
      <c r="W46" s="143">
        <v>1216</v>
      </c>
      <c r="X46" s="143">
        <v>2294.4</v>
      </c>
      <c r="Y46" s="143">
        <v>2936</v>
      </c>
      <c r="Z46" s="143">
        <v>3119</v>
      </c>
      <c r="AA46" s="143">
        <f t="shared" si="5"/>
        <v>24158</v>
      </c>
      <c r="AB46" s="144">
        <f>IF(AA46=0,"",IFERROR(AA46/AA$19,""))</f>
        <v>1.8173492260641008E-2</v>
      </c>
      <c r="AC46" s="140"/>
      <c r="AD46" s="143">
        <v>25334.415000000001</v>
      </c>
      <c r="AE46" s="144">
        <f>IF(AD46=0,"",IFERROR(AD46/AD$19,""))</f>
        <v>2.0257699484648242E-2</v>
      </c>
      <c r="AF46" s="145">
        <f t="shared" si="6"/>
        <v>-1176.4150000000009</v>
      </c>
      <c r="AG46" s="143">
        <v>5409.2</v>
      </c>
      <c r="AH46" s="144">
        <f>IF(AG46=0,"",IFERROR(AG46/AG$19,""))</f>
        <v>1.09965357415771E-2</v>
      </c>
      <c r="AI46" s="145">
        <f t="shared" si="7"/>
        <v>18748.8</v>
      </c>
    </row>
    <row r="47" spans="1:35" x14ac:dyDescent="0.35">
      <c r="A47" s="65" t="s">
        <v>35</v>
      </c>
      <c r="B47" s="66"/>
      <c r="C47" s="11"/>
      <c r="D47" s="11"/>
      <c r="E47" s="11"/>
      <c r="F47" s="11"/>
      <c r="G47" s="11"/>
      <c r="H47" s="185" t="s">
        <v>303</v>
      </c>
      <c r="I47" s="122" t="str">
        <f>IF(_epmOfflineCondition_,"T6",_xll.EVPRO($B$1,$H47,"STYLE"))</f>
        <v>T6</v>
      </c>
      <c r="J47" s="122" t="str">
        <f>IF(_epmOfflineCondition_,"Y",_xll.EVPRO($B$1,$H47,"CALC"))</f>
        <v>Y</v>
      </c>
      <c r="K47" s="90"/>
      <c r="L47" s="90" t="str">
        <f>IF(_epmOfflineCondition_,"462400",_xll.EVPRO($B$1,H47,"JDEID"))</f>
        <v>462400</v>
      </c>
      <c r="M47" s="90" t="str">
        <f>IF(_epmOfflineCondition_,"",IF(AND(I47="N",J47="N"),_xll.EVPRO($B$1,H47,"PSFTID"),""))</f>
        <v/>
      </c>
      <c r="N47" s="90" t="str">
        <f>IF(_epmOfflineCondition_,"Lunch Wine",IF(_xll.EVDES(H47,$B$1)="#NODATA","",_xll.EVDES(H47,$B$1)))</f>
        <v>Lunch Wine</v>
      </c>
      <c r="O47" s="217">
        <v>870</v>
      </c>
      <c r="P47" s="217">
        <v>1759</v>
      </c>
      <c r="Q47" s="217">
        <v>2664</v>
      </c>
      <c r="R47" s="217">
        <v>3822.6</v>
      </c>
      <c r="S47" s="217">
        <v>4958</v>
      </c>
      <c r="T47" s="217">
        <v>2405</v>
      </c>
      <c r="U47" s="217">
        <v>4066</v>
      </c>
      <c r="V47" s="217">
        <v>3047.6</v>
      </c>
      <c r="W47" s="217">
        <v>2844.74</v>
      </c>
      <c r="X47" s="217">
        <v>3263</v>
      </c>
      <c r="Y47" s="217">
        <v>5772</v>
      </c>
      <c r="Z47" s="217">
        <v>5294</v>
      </c>
      <c r="AA47" s="217">
        <f t="shared" si="5"/>
        <v>40765.939999999995</v>
      </c>
      <c r="AB47" s="219">
        <f>IF(AA47=0,"",IFERROR(AA47/AA$19,""))</f>
        <v>3.0667252880526356E-2</v>
      </c>
      <c r="AC47" s="140"/>
      <c r="AD47" s="217">
        <v>35121.802499999998</v>
      </c>
      <c r="AE47" s="219">
        <f>IF(AD47=0,"",IFERROR(AD47/AD$19,""))</f>
        <v>2.808381091113283E-2</v>
      </c>
      <c r="AF47" s="220">
        <f t="shared" si="6"/>
        <v>5644.1374999999971</v>
      </c>
      <c r="AG47" s="217">
        <v>11105.7</v>
      </c>
      <c r="AH47" s="219">
        <f>IF(AG47=0,"",IFERROR(AG47/AG$19,""))</f>
        <v>2.2577132845010874E-2</v>
      </c>
      <c r="AI47" s="220">
        <f t="shared" si="7"/>
        <v>29660.239999999994</v>
      </c>
    </row>
    <row r="48" spans="1:35" x14ac:dyDescent="0.35">
      <c r="A48" s="65" t="s">
        <v>36</v>
      </c>
      <c r="B48" s="66"/>
      <c r="C48" s="11"/>
      <c r="D48" s="11"/>
      <c r="E48" s="11"/>
      <c r="F48" s="11"/>
      <c r="G48" s="11"/>
      <c r="H48" s="88" t="s">
        <v>319</v>
      </c>
      <c r="I48" s="122" t="str">
        <f>IF(_epmOfflineCondition_,"N",_xll.EVPRO($B$1,$H48,"STYLE"))</f>
        <v>N</v>
      </c>
      <c r="J48" s="122" t="str">
        <f>IF(_epmOfflineCondition_,"Y",_xll.EVPRO($B$1,$H48,"CALC"))</f>
        <v>Y</v>
      </c>
      <c r="K48" s="90"/>
      <c r="L48" s="90" t="str">
        <f>IF(_epmOfflineCondition_,"",_xll.EVPRO($B$1,H48,"JDEID"))</f>
        <v/>
      </c>
      <c r="M48" s="90" t="str">
        <f>IF(_epmOfflineCondition_,"",IF(AND(I48="N",J48="N"),_xll.EVPRO($B$1,H48,"PSFTID"),""))</f>
        <v/>
      </c>
      <c r="N48" s="106" t="str">
        <f>IF(_epmOfflineCondition_,"Lunch Revenue",IF(_xll.EVDES(H48,$B$1)="#NODATA","",_xll.EVDES(H48,$B$1)))</f>
        <v>Lunch Revenue</v>
      </c>
      <c r="O48" s="166">
        <v>16962.55</v>
      </c>
      <c r="P48" s="166">
        <v>25916.06</v>
      </c>
      <c r="Q48" s="166">
        <v>38691.800000000003</v>
      </c>
      <c r="R48" s="166">
        <v>52225.86</v>
      </c>
      <c r="S48" s="166">
        <v>61082.99</v>
      </c>
      <c r="T48" s="166">
        <v>53412</v>
      </c>
      <c r="U48" s="166">
        <v>58531.8</v>
      </c>
      <c r="V48" s="166">
        <v>44814.52</v>
      </c>
      <c r="W48" s="166">
        <v>35074.1</v>
      </c>
      <c r="X48" s="166">
        <v>42220.31</v>
      </c>
      <c r="Y48" s="166">
        <v>57860</v>
      </c>
      <c r="Z48" s="166">
        <v>43812.6</v>
      </c>
      <c r="AA48" s="166">
        <f t="shared" si="5"/>
        <v>530604.59</v>
      </c>
      <c r="AB48" s="167">
        <f>IF(AA48=0,"",IFERROR(AA48/AA$19,""))</f>
        <v>0.39916128859283034</v>
      </c>
      <c r="AC48" s="140"/>
      <c r="AD48" s="166">
        <v>273534.75</v>
      </c>
      <c r="AE48" s="167">
        <f>IF(AD48=0,"",IFERROR(AD48/AD$19,""))</f>
        <v>0.21872163869220526</v>
      </c>
      <c r="AF48" s="168">
        <f t="shared" si="6"/>
        <v>257069.83999999997</v>
      </c>
      <c r="AG48" s="166">
        <v>108832.95</v>
      </c>
      <c r="AH48" s="167">
        <f>IF(AG48=0,"",IFERROR(AG48/AG$19,""))</f>
        <v>0.2212499860490042</v>
      </c>
      <c r="AI48" s="168">
        <f t="shared" si="7"/>
        <v>421771.63999999996</v>
      </c>
    </row>
    <row r="49" spans="1:35" x14ac:dyDescent="0.35">
      <c r="A49" s="65" t="s">
        <v>37</v>
      </c>
      <c r="B49" s="66"/>
      <c r="C49" s="11"/>
      <c r="D49" s="11"/>
      <c r="E49" s="11"/>
      <c r="F49" s="11"/>
      <c r="G49" s="11"/>
      <c r="H49" s="88" t="s">
        <v>298</v>
      </c>
      <c r="I49" s="122" t="str">
        <f>IF(_epmOfflineCondition_,"N",_xll.EVPRO($B$1,$H49,"STYLE"))</f>
        <v>N</v>
      </c>
      <c r="J49" s="122" t="str">
        <f>IF(_epmOfflineCondition_,"N",_xll.EVPRO($B$1,$H49,"CALC"))</f>
        <v>N</v>
      </c>
      <c r="K49" s="90"/>
      <c r="L49" s="90" t="str">
        <f>IF(_epmOfflineCondition_,"946200",_xll.EVPRO($B$1,H49,"JDEID"))</f>
        <v>946200</v>
      </c>
      <c r="M49" s="90" t="str">
        <f>IF(_epmOfflineCondition_,"991502",IF(AND(I49="N",J49="N"),_xll.EVPRO($B$1,H49,"PSFTID"),""))</f>
        <v>991502</v>
      </c>
      <c r="N49" s="90" t="str">
        <f>IF(_epmOfflineCondition_,"Lunch Customers",IF(_xll.EVDES(H49,$B$1)="#NODATA","",_xll.EVDES(H49,$B$1)))</f>
        <v>Lunch Customers</v>
      </c>
      <c r="O49" s="210">
        <v>863</v>
      </c>
      <c r="P49" s="210">
        <v>1208</v>
      </c>
      <c r="Q49" s="210">
        <v>1765</v>
      </c>
      <c r="R49" s="210">
        <v>2264</v>
      </c>
      <c r="S49" s="210">
        <v>2263</v>
      </c>
      <c r="T49" s="210">
        <v>2055</v>
      </c>
      <c r="U49" s="210">
        <v>2177</v>
      </c>
      <c r="V49" s="210">
        <v>1557</v>
      </c>
      <c r="W49" s="210">
        <v>1188</v>
      </c>
      <c r="X49" s="210">
        <v>1477</v>
      </c>
      <c r="Y49" s="210">
        <v>1911</v>
      </c>
      <c r="Z49" s="210">
        <v>1659</v>
      </c>
      <c r="AA49" s="210">
        <f t="shared" si="5"/>
        <v>20387</v>
      </c>
      <c r="AB49" s="211">
        <f>IF(AA49=0,"",IFERROR(AA49/AA$104,""))</f>
        <v>0.48017994676967285</v>
      </c>
      <c r="AC49" s="140"/>
      <c r="AD49" s="210">
        <v>11208</v>
      </c>
      <c r="AE49" s="211">
        <f>IF(AD49=0,"",IFERROR(AD49/AD$104,""))</f>
        <v>0.29463523750595449</v>
      </c>
      <c r="AF49" s="253">
        <f t="shared" si="6"/>
        <v>9179</v>
      </c>
      <c r="AG49" s="210">
        <v>4520</v>
      </c>
      <c r="AH49" s="211">
        <f>IF(AG49=0,"",IFERROR(AG49/AG$104,""))</f>
        <v>0.2629129827826896</v>
      </c>
      <c r="AI49" s="253">
        <f t="shared" si="7"/>
        <v>15867</v>
      </c>
    </row>
    <row r="50" spans="1:35" x14ac:dyDescent="0.35">
      <c r="A50" s="65" t="s">
        <v>38</v>
      </c>
      <c r="B50" s="66"/>
      <c r="C50" s="11"/>
      <c r="D50" s="11"/>
      <c r="E50" s="11"/>
      <c r="F50" s="11"/>
      <c r="G50" s="11"/>
      <c r="H50" s="88" t="s">
        <v>315</v>
      </c>
      <c r="I50" s="122" t="str">
        <f>IF(_epmOfflineCondition_,"N",_xll.EVPRO($B$1,$H50,"STYLE"))</f>
        <v>N</v>
      </c>
      <c r="J50" s="122" t="str">
        <f>IF(_epmOfflineCondition_,"Y",_xll.EVPRO($B$1,$H50,"CALC"))</f>
        <v>Y</v>
      </c>
      <c r="K50" s="90"/>
      <c r="L50" s="90" t="str">
        <f>IF(_epmOfflineCondition_,"",_xll.EVPRO($B$1,H50,"JDEID"))</f>
        <v/>
      </c>
      <c r="M50" s="90" t="str">
        <f>IF(_epmOfflineCondition_,"",IF(AND(I50="N",J50="N"),_xll.EVPRO($B$1,H50,"PSFTID"),""))</f>
        <v/>
      </c>
      <c r="N50" s="190" t="str">
        <f>IF(_epmOfflineCondition_,"Lunch - Average Check",IF(_xll.EVDES(H50,$B$1)="#NODATA","",_xll.EVDES(H50,$B$1)))</f>
        <v>Lunch - Average Check</v>
      </c>
      <c r="O50" s="495">
        <v>19.6553302433372</v>
      </c>
      <c r="P50" s="495">
        <v>21.453692052980099</v>
      </c>
      <c r="Q50" s="495">
        <v>21.921699716713899</v>
      </c>
      <c r="R50" s="495">
        <v>23.067959363957598</v>
      </c>
      <c r="S50" s="495">
        <v>26.992041537781699</v>
      </c>
      <c r="T50" s="495">
        <v>25.9912408759124</v>
      </c>
      <c r="U50" s="495">
        <v>26.886449242076299</v>
      </c>
      <c r="V50" s="495">
        <v>28.782607578676899</v>
      </c>
      <c r="W50" s="495">
        <v>29.5236531986532</v>
      </c>
      <c r="X50" s="495">
        <v>28.585179417738701</v>
      </c>
      <c r="Y50" s="495">
        <v>30.277341705913098</v>
      </c>
      <c r="Z50" s="495">
        <v>26.409041591320101</v>
      </c>
      <c r="AA50" s="495">
        <f>IFERROR(AA48/AA49,"")</f>
        <v>26.026614509246087</v>
      </c>
      <c r="AB50" s="495"/>
      <c r="AC50" s="140"/>
      <c r="AD50" s="495">
        <v>24.405313169164899</v>
      </c>
      <c r="AE50" s="495"/>
      <c r="AF50" s="496">
        <f t="shared" si="6"/>
        <v>1.6213013400811889</v>
      </c>
      <c r="AG50" s="495">
        <v>24.078086283185801</v>
      </c>
      <c r="AH50" s="495"/>
      <c r="AI50" s="496">
        <f t="shared" si="7"/>
        <v>1.9485282260602865</v>
      </c>
    </row>
    <row r="51" spans="1:35" x14ac:dyDescent="0.35">
      <c r="A51" s="65" t="s">
        <v>39</v>
      </c>
      <c r="B51" s="66"/>
      <c r="C51" s="11"/>
      <c r="D51" s="11"/>
      <c r="E51" s="11"/>
      <c r="F51" s="11"/>
      <c r="G51" s="490">
        <f>COUNTIF(O52:AI52,FALSE)</f>
        <v>0</v>
      </c>
      <c r="H51" s="88"/>
      <c r="I51" s="122"/>
      <c r="J51" s="122"/>
      <c r="K51" s="90"/>
      <c r="L51" s="90"/>
      <c r="M51" s="90"/>
      <c r="N51" s="491" t="s">
        <v>345</v>
      </c>
      <c r="O51" s="497">
        <f t="shared" ref="O51:AA51" si="8">ROUND(IFERROR(O48/O49,0),2)</f>
        <v>19.66</v>
      </c>
      <c r="P51" s="498">
        <f t="shared" si="8"/>
        <v>21.45</v>
      </c>
      <c r="Q51" s="498">
        <f t="shared" si="8"/>
        <v>21.92</v>
      </c>
      <c r="R51" s="498">
        <f t="shared" si="8"/>
        <v>23.07</v>
      </c>
      <c r="S51" s="498">
        <f t="shared" si="8"/>
        <v>26.99</v>
      </c>
      <c r="T51" s="498">
        <f t="shared" si="8"/>
        <v>25.99</v>
      </c>
      <c r="U51" s="498">
        <f t="shared" si="8"/>
        <v>26.89</v>
      </c>
      <c r="V51" s="498">
        <f t="shared" si="8"/>
        <v>28.78</v>
      </c>
      <c r="W51" s="498">
        <f t="shared" si="8"/>
        <v>29.52</v>
      </c>
      <c r="X51" s="498">
        <f t="shared" si="8"/>
        <v>28.59</v>
      </c>
      <c r="Y51" s="498">
        <f t="shared" si="8"/>
        <v>30.28</v>
      </c>
      <c r="Z51" s="498">
        <f t="shared" si="8"/>
        <v>26.41</v>
      </c>
      <c r="AA51" s="498">
        <f t="shared" si="8"/>
        <v>26.03</v>
      </c>
      <c r="AB51" s="499"/>
      <c r="AC51" s="140"/>
      <c r="AD51" s="497">
        <f>ROUND(IFERROR(AD48/AD49,0),2)</f>
        <v>24.41</v>
      </c>
      <c r="AE51" s="498"/>
      <c r="AF51" s="159"/>
      <c r="AG51" s="497">
        <f>ROUND(IFERROR(AG48/AG49,0),2)</f>
        <v>24.08</v>
      </c>
      <c r="AH51" s="498"/>
      <c r="AI51" s="159"/>
    </row>
    <row r="52" spans="1:35" x14ac:dyDescent="0.35">
      <c r="A52" s="65" t="s">
        <v>40</v>
      </c>
      <c r="B52" s="66"/>
      <c r="C52" s="11"/>
      <c r="D52" s="11"/>
      <c r="E52" s="11"/>
      <c r="F52" s="11"/>
      <c r="G52" s="11"/>
      <c r="H52" s="88"/>
      <c r="I52" s="122"/>
      <c r="J52" s="122"/>
      <c r="K52" s="90"/>
      <c r="L52" s="90"/>
      <c r="M52" s="90"/>
      <c r="N52" s="53" t="s">
        <v>316</v>
      </c>
      <c r="O52" s="500" t="b">
        <f t="shared" ref="O52:AA52" si="9">ROUND(O50,2)=ROUND(O51,2)</f>
        <v>1</v>
      </c>
      <c r="P52" s="501" t="b">
        <f t="shared" si="9"/>
        <v>1</v>
      </c>
      <c r="Q52" s="501" t="b">
        <f t="shared" si="9"/>
        <v>1</v>
      </c>
      <c r="R52" s="501" t="b">
        <f t="shared" si="9"/>
        <v>1</v>
      </c>
      <c r="S52" s="501" t="b">
        <f t="shared" si="9"/>
        <v>1</v>
      </c>
      <c r="T52" s="501" t="b">
        <f t="shared" si="9"/>
        <v>1</v>
      </c>
      <c r="U52" s="501" t="b">
        <f t="shared" si="9"/>
        <v>1</v>
      </c>
      <c r="V52" s="501" t="b">
        <f t="shared" si="9"/>
        <v>1</v>
      </c>
      <c r="W52" s="501" t="b">
        <f t="shared" si="9"/>
        <v>1</v>
      </c>
      <c r="X52" s="501" t="b">
        <f t="shared" si="9"/>
        <v>1</v>
      </c>
      <c r="Y52" s="501" t="b">
        <f t="shared" si="9"/>
        <v>1</v>
      </c>
      <c r="Z52" s="501" t="b">
        <f t="shared" si="9"/>
        <v>1</v>
      </c>
      <c r="AA52" s="501" t="b">
        <f t="shared" si="9"/>
        <v>1</v>
      </c>
      <c r="AB52" s="502"/>
      <c r="AC52" s="503"/>
      <c r="AD52" s="500"/>
      <c r="AE52" s="501" t="b">
        <f>ROUND(AD50,2)=ROUND(AD51,2)</f>
        <v>1</v>
      </c>
      <c r="AF52" s="502"/>
      <c r="AG52" s="500"/>
      <c r="AH52" s="501" t="b">
        <f>ROUND(AG50,2)=ROUND(AG51,2)</f>
        <v>1</v>
      </c>
      <c r="AI52" s="502"/>
    </row>
    <row r="53" spans="1:35" x14ac:dyDescent="0.35">
      <c r="A53" s="65" t="s">
        <v>41</v>
      </c>
      <c r="B53" s="66"/>
      <c r="C53" s="11"/>
      <c r="D53" s="11"/>
      <c r="E53" s="11"/>
      <c r="F53" s="11"/>
      <c r="G53" s="11"/>
      <c r="H53" s="88" t="s">
        <v>262</v>
      </c>
      <c r="I53" s="122" t="str">
        <f>IF(_epmOfflineCondition_,"T5",_xll.EVPRO($B$1,$H53,"STYLE"))</f>
        <v>T5</v>
      </c>
      <c r="J53" s="122" t="str">
        <f>IF(_epmOfflineCondition_,"Y",_xll.EVPRO($B$1,$H53,"CALC"))</f>
        <v>Y</v>
      </c>
      <c r="K53" s="90"/>
      <c r="L53" s="90" t="str">
        <f>IF(_epmOfflineCondition_,"463100",_xll.EVPRO($B$1,H53,"JDEID"))</f>
        <v>463100</v>
      </c>
      <c r="M53" s="90" t="str">
        <f>IF(_epmOfflineCondition_,"",IF(AND(I53="N",J53="N"),_xll.EVPRO($B$1,H53,"PSFTID"),""))</f>
        <v/>
      </c>
      <c r="N53" s="90" t="str">
        <f>IF(_epmOfflineCondition_,"Dinner Food",IF(_xll.EVDES(H53,$B$1)="#NODATA","",_xll.EVDES(H53,$B$1)))</f>
        <v>Dinner Food</v>
      </c>
      <c r="O53" s="143">
        <v>14012.25</v>
      </c>
      <c r="P53" s="143">
        <v>23984.19</v>
      </c>
      <c r="Q53" s="143">
        <v>31969.31</v>
      </c>
      <c r="R53" s="143">
        <v>39223.94</v>
      </c>
      <c r="S53" s="143">
        <v>21384.3</v>
      </c>
      <c r="T53" s="143">
        <v>21245.05</v>
      </c>
      <c r="U53" s="143">
        <v>23805.08</v>
      </c>
      <c r="V53" s="143">
        <v>15218.6</v>
      </c>
      <c r="W53" s="143">
        <v>14539.92</v>
      </c>
      <c r="X53" s="143">
        <v>20969.91</v>
      </c>
      <c r="Y53" s="143">
        <v>21753.31</v>
      </c>
      <c r="Z53" s="143">
        <v>32572.65</v>
      </c>
      <c r="AA53" s="143">
        <f t="shared" ref="AA53:AA58" si="10">SUM(O53:Z53)</f>
        <v>280678.51</v>
      </c>
      <c r="AB53" s="144">
        <f>IF(AA53=0,"",IFERROR(AA53/AA$19,""))</f>
        <v>0.21114780731903512</v>
      </c>
      <c r="AC53" s="140"/>
      <c r="AD53" s="143">
        <v>269295.16364718601</v>
      </c>
      <c r="AE53" s="144">
        <f>IF(AD53=0,"",IFERROR(AD53/AD$19,""))</f>
        <v>0.21533161503172121</v>
      </c>
      <c r="AF53" s="145">
        <f t="shared" ref="AF53:AF59" si="11">IF(AND($AA53="",AD53=""),"",$AA53-AD53)</f>
        <v>11383.346352813998</v>
      </c>
      <c r="AG53" s="143">
        <v>99520.09</v>
      </c>
      <c r="AH53" s="144">
        <f>IF(AG53=0,"",IFERROR(AG53/AG$19,""))</f>
        <v>0.20231757499999439</v>
      </c>
      <c r="AI53" s="145">
        <f t="shared" ref="AI53:AI59" si="12">IF(AND($AA53="",AG53=""),"",$AA53-AG53)</f>
        <v>181158.42</v>
      </c>
    </row>
    <row r="54" spans="1:35" x14ac:dyDescent="0.35">
      <c r="A54" s="65" t="s">
        <v>42</v>
      </c>
      <c r="B54" s="66"/>
      <c r="C54" s="11"/>
      <c r="D54" s="11"/>
      <c r="E54" s="11"/>
      <c r="F54" s="11"/>
      <c r="G54" s="11"/>
      <c r="H54" s="88" t="s">
        <v>302</v>
      </c>
      <c r="I54" s="122" t="str">
        <f>IF(_epmOfflineCondition_,"T6",_xll.EVPRO($B$1,$H54,"STYLE"))</f>
        <v>T6</v>
      </c>
      <c r="J54" s="122" t="str">
        <f>IF(_epmOfflineCondition_,"Y",_xll.EVPRO($B$1,$H54,"CALC"))</f>
        <v>Y</v>
      </c>
      <c r="K54" s="90"/>
      <c r="L54" s="90" t="str">
        <f>IF(_epmOfflineCondition_,"463200",_xll.EVPRO($B$1,H54,"JDEID"))</f>
        <v>463200</v>
      </c>
      <c r="M54" s="90" t="str">
        <f>IF(_epmOfflineCondition_,"",IF(AND(I54="N",J54="N"),_xll.EVPRO($B$1,H54,"PSFTID"),""))</f>
        <v/>
      </c>
      <c r="N54" s="90" t="str">
        <f>IF(_epmOfflineCondition_,"Dinner Liquor",IF(_xll.EVDES(H54,$B$1)="#NODATA","",_xll.EVDES(H54,$B$1)))</f>
        <v>Dinner Liquor</v>
      </c>
      <c r="O54" s="143">
        <v>2393.9</v>
      </c>
      <c r="P54" s="143">
        <v>4982</v>
      </c>
      <c r="Q54" s="143">
        <v>7725.13</v>
      </c>
      <c r="R54" s="143">
        <v>7061.59</v>
      </c>
      <c r="S54" s="143">
        <v>4074.8</v>
      </c>
      <c r="T54" s="143">
        <v>5585.26</v>
      </c>
      <c r="U54" s="143">
        <v>5822</v>
      </c>
      <c r="V54" s="143">
        <v>3569.4</v>
      </c>
      <c r="W54" s="143">
        <v>2967</v>
      </c>
      <c r="X54" s="143">
        <v>4041.28</v>
      </c>
      <c r="Y54" s="143">
        <v>3824.6</v>
      </c>
      <c r="Z54" s="143">
        <v>6530.29</v>
      </c>
      <c r="AA54" s="143">
        <f t="shared" si="10"/>
        <v>58577.25</v>
      </c>
      <c r="AB54" s="144">
        <f>IF(AA54=0,"",IFERROR(AA54/AA$19,""))</f>
        <v>4.406628030154125E-2</v>
      </c>
      <c r="AC54" s="140"/>
      <c r="AD54" s="143">
        <v>113932.569235348</v>
      </c>
      <c r="AE54" s="144">
        <f>IF(AD54=0,"",IFERROR(AD54/AD$19,""))</f>
        <v>9.110183712880518E-2</v>
      </c>
      <c r="AF54" s="145">
        <f t="shared" si="11"/>
        <v>-55355.319235347997</v>
      </c>
      <c r="AG54" s="143">
        <v>25342.37</v>
      </c>
      <c r="AH54" s="144">
        <f>IF(AG54=0,"",IFERROR(AG54/AG$19,""))</f>
        <v>5.1519314775063087E-2</v>
      </c>
      <c r="AI54" s="145">
        <f t="shared" si="12"/>
        <v>33234.880000000005</v>
      </c>
    </row>
    <row r="55" spans="1:35" x14ac:dyDescent="0.35">
      <c r="A55" s="65" t="s">
        <v>43</v>
      </c>
      <c r="B55" s="66"/>
      <c r="C55" s="11"/>
      <c r="D55" s="11"/>
      <c r="E55" s="11"/>
      <c r="F55" s="11"/>
      <c r="G55" s="11"/>
      <c r="H55" s="88" t="s">
        <v>306</v>
      </c>
      <c r="I55" s="122" t="str">
        <f>IF(_epmOfflineCondition_,"T6",_xll.EVPRO($B$1,$H55,"STYLE"))</f>
        <v>T6</v>
      </c>
      <c r="J55" s="122" t="str">
        <f>IF(_epmOfflineCondition_,"Y",_xll.EVPRO($B$1,$H55,"CALC"))</f>
        <v>Y</v>
      </c>
      <c r="K55" s="90"/>
      <c r="L55" s="90" t="str">
        <f>IF(_epmOfflineCondition_,"463300",_xll.EVPRO($B$1,H55,"JDEID"))</f>
        <v>463300</v>
      </c>
      <c r="M55" s="90" t="str">
        <f>IF(_epmOfflineCondition_,"",IF(AND(I55="N",J55="N"),_xll.EVPRO($B$1,H55,"PSFTID"),""))</f>
        <v/>
      </c>
      <c r="N55" s="90" t="str">
        <f>IF(_epmOfflineCondition_,"Dinner Beer",IF(_xll.EVDES(H55,$B$1)="#NODATA","",_xll.EVDES(H55,$B$1)))</f>
        <v>Dinner Beer</v>
      </c>
      <c r="O55" s="143">
        <v>744.8</v>
      </c>
      <c r="P55" s="143">
        <v>973</v>
      </c>
      <c r="Q55" s="143">
        <v>950.54</v>
      </c>
      <c r="R55" s="143">
        <v>687.37</v>
      </c>
      <c r="S55" s="143">
        <v>587</v>
      </c>
      <c r="T55" s="143">
        <v>313</v>
      </c>
      <c r="U55" s="143">
        <v>441</v>
      </c>
      <c r="V55" s="143">
        <v>218</v>
      </c>
      <c r="W55" s="143">
        <v>223</v>
      </c>
      <c r="X55" s="143">
        <v>412.01</v>
      </c>
      <c r="Y55" s="143">
        <v>513</v>
      </c>
      <c r="Z55" s="143">
        <v>767</v>
      </c>
      <c r="AA55" s="143">
        <f t="shared" si="10"/>
        <v>6829.72</v>
      </c>
      <c r="AB55" s="144">
        <f>IF(AA55=0,"",IFERROR(AA55/AA$19,""))</f>
        <v>5.1378368889123732E-3</v>
      </c>
      <c r="AC55" s="140"/>
      <c r="AD55" s="143">
        <v>20715.012588245099</v>
      </c>
      <c r="AE55" s="144">
        <f>IF(AD55=0,"",IFERROR(AD55/AD$19,""))</f>
        <v>1.6563970387055496E-2</v>
      </c>
      <c r="AF55" s="145">
        <f t="shared" si="11"/>
        <v>-13885.292588245098</v>
      </c>
      <c r="AG55" s="143">
        <v>3194.96</v>
      </c>
      <c r="AH55" s="144">
        <f>IF(AG55=0,"",IFERROR(AG55/AG$19,""))</f>
        <v>6.4951364033330574E-3</v>
      </c>
      <c r="AI55" s="145">
        <f t="shared" si="12"/>
        <v>3634.76</v>
      </c>
    </row>
    <row r="56" spans="1:35" x14ac:dyDescent="0.35">
      <c r="A56" s="65" t="s">
        <v>44</v>
      </c>
      <c r="B56" s="66"/>
      <c r="C56" s="11"/>
      <c r="D56" s="11"/>
      <c r="E56" s="11"/>
      <c r="F56" s="11"/>
      <c r="G56" s="11"/>
      <c r="H56" s="88" t="s">
        <v>304</v>
      </c>
      <c r="I56" s="122" t="str">
        <f>IF(_epmOfflineCondition_,"T6",_xll.EVPRO($B$1,$H56,"STYLE"))</f>
        <v>T6</v>
      </c>
      <c r="J56" s="122" t="str">
        <f>IF(_epmOfflineCondition_,"Y",_xll.EVPRO($B$1,$H56,"CALC"))</f>
        <v>Y</v>
      </c>
      <c r="K56" s="90"/>
      <c r="L56" s="90" t="str">
        <f>IF(_epmOfflineCondition_,"463400",_xll.EVPRO($B$1,H56,"JDEID"))</f>
        <v>463400</v>
      </c>
      <c r="M56" s="90" t="str">
        <f>IF(_epmOfflineCondition_,"",IF(AND(I56="N",J56="N"),_xll.EVPRO($B$1,H56,"PSFTID"),""))</f>
        <v/>
      </c>
      <c r="N56" s="90" t="str">
        <f>IF(_epmOfflineCondition_,"Dinner Wine",IF(_xll.EVDES(H56,$B$1)="#NODATA","",_xll.EVDES(H56,$B$1)))</f>
        <v>Dinner Wine</v>
      </c>
      <c r="O56" s="217">
        <v>3140</v>
      </c>
      <c r="P56" s="217">
        <v>4539</v>
      </c>
      <c r="Q56" s="217">
        <v>3719.45</v>
      </c>
      <c r="R56" s="217">
        <v>3668.95</v>
      </c>
      <c r="S56" s="217">
        <v>2462.8000000000002</v>
      </c>
      <c r="T56" s="217">
        <v>1790.06</v>
      </c>
      <c r="U56" s="217">
        <v>1828</v>
      </c>
      <c r="V56" s="217">
        <v>1402</v>
      </c>
      <c r="W56" s="217">
        <v>1880.08</v>
      </c>
      <c r="X56" s="217">
        <v>1540</v>
      </c>
      <c r="Y56" s="217">
        <v>3032.2</v>
      </c>
      <c r="Z56" s="217">
        <v>5855.78</v>
      </c>
      <c r="AA56" s="217">
        <f t="shared" si="10"/>
        <v>34858.320000000007</v>
      </c>
      <c r="AB56" s="219">
        <f>IF(AA56=0,"",IFERROR(AA56/AA$19,""))</f>
        <v>2.6223090021481408E-2</v>
      </c>
      <c r="AC56" s="140"/>
      <c r="AD56" s="217">
        <v>113932.569235348</v>
      </c>
      <c r="AE56" s="219">
        <f>IF(AD56=0,"",IFERROR(AD56/AD$19,""))</f>
        <v>9.110183712880518E-2</v>
      </c>
      <c r="AF56" s="220">
        <f t="shared" si="11"/>
        <v>-79074.24923534799</v>
      </c>
      <c r="AG56" s="217">
        <v>20001.060000000001</v>
      </c>
      <c r="AH56" s="219">
        <f>IF(AG56=0,"",IFERROR(AG56/AG$19,""))</f>
        <v>4.0660794786554037E-2</v>
      </c>
      <c r="AI56" s="220">
        <f t="shared" si="12"/>
        <v>14857.260000000006</v>
      </c>
    </row>
    <row r="57" spans="1:35" x14ac:dyDescent="0.35">
      <c r="A57" s="65" t="s">
        <v>45</v>
      </c>
      <c r="B57" s="66"/>
      <c r="C57" s="11"/>
      <c r="D57" s="11"/>
      <c r="E57" s="11"/>
      <c r="F57" s="11"/>
      <c r="G57" s="11"/>
      <c r="H57" s="88" t="s">
        <v>320</v>
      </c>
      <c r="I57" s="122" t="str">
        <f>IF(_epmOfflineCondition_,"N",_xll.EVPRO($B$1,$H57,"STYLE"))</f>
        <v>N</v>
      </c>
      <c r="J57" s="122" t="str">
        <f>IF(_epmOfflineCondition_,"Y",_xll.EVPRO($B$1,$H57,"CALC"))</f>
        <v>Y</v>
      </c>
      <c r="K57" s="90"/>
      <c r="L57" s="90" t="str">
        <f>IF(_epmOfflineCondition_,"",_xll.EVPRO($B$1,H57,"JDEID"))</f>
        <v/>
      </c>
      <c r="M57" s="90" t="str">
        <f>IF(_epmOfflineCondition_,"",IF(AND(I57="N",J57="N"),_xll.EVPRO($B$1,H57,"PSFTID"),""))</f>
        <v/>
      </c>
      <c r="N57" s="106" t="str">
        <f>IF(_epmOfflineCondition_,"Dinner Revenue",IF(_xll.EVDES(H57,$B$1)="#NODATA","",_xll.EVDES(H57,$B$1)))</f>
        <v>Dinner Revenue</v>
      </c>
      <c r="O57" s="166">
        <v>20290.95</v>
      </c>
      <c r="P57" s="166">
        <v>34478.19</v>
      </c>
      <c r="Q57" s="166">
        <v>44364.43</v>
      </c>
      <c r="R57" s="166">
        <v>50641.85</v>
      </c>
      <c r="S57" s="166">
        <v>28508.9</v>
      </c>
      <c r="T57" s="166">
        <v>28933.37</v>
      </c>
      <c r="U57" s="166">
        <v>31896.080000000002</v>
      </c>
      <c r="V57" s="166">
        <v>20408</v>
      </c>
      <c r="W57" s="166">
        <v>19610</v>
      </c>
      <c r="X57" s="166">
        <v>26963.200000000001</v>
      </c>
      <c r="Y57" s="166">
        <v>29123.11</v>
      </c>
      <c r="Z57" s="166">
        <v>45725.72</v>
      </c>
      <c r="AA57" s="166">
        <f t="shared" si="10"/>
        <v>380943.80000000005</v>
      </c>
      <c r="AB57" s="167">
        <f>IF(AA57=0,"",IFERROR(AA57/AA$19,""))</f>
        <v>0.28657501453097017</v>
      </c>
      <c r="AC57" s="140"/>
      <c r="AD57" s="166">
        <v>517875.31470612797</v>
      </c>
      <c r="AE57" s="167">
        <f>IF(AD57=0,"",IFERROR(AD57/AD$19,""))</f>
        <v>0.41409925967638778</v>
      </c>
      <c r="AF57" s="168">
        <f t="shared" si="11"/>
        <v>-136931.51470612793</v>
      </c>
      <c r="AG57" s="166">
        <v>148058.48000000001</v>
      </c>
      <c r="AH57" s="167">
        <f>IF(AG57=0,"",IFERROR(AG57/AG$19,""))</f>
        <v>0.30099282096494462</v>
      </c>
      <c r="AI57" s="168">
        <f t="shared" si="12"/>
        <v>232885.32000000004</v>
      </c>
    </row>
    <row r="58" spans="1:35" x14ac:dyDescent="0.35">
      <c r="A58" s="65" t="s">
        <v>46</v>
      </c>
      <c r="B58" s="66"/>
      <c r="C58" s="11"/>
      <c r="D58" s="11"/>
      <c r="E58" s="11"/>
      <c r="F58" s="11"/>
      <c r="G58" s="11"/>
      <c r="H58" s="88" t="s">
        <v>299</v>
      </c>
      <c r="I58" s="122" t="str">
        <f>IF(_epmOfflineCondition_,"N",_xll.EVPRO($B$1,$H58,"STYLE"))</f>
        <v>N</v>
      </c>
      <c r="J58" s="122" t="str">
        <f>IF(_epmOfflineCondition_,"N",_xll.EVPRO($B$1,$H58,"CALC"))</f>
        <v>N</v>
      </c>
      <c r="K58" s="90"/>
      <c r="L58" s="90" t="str">
        <f>IF(_epmOfflineCondition_,"946300",_xll.EVPRO($B$1,H58,"JDEID"))</f>
        <v>946300</v>
      </c>
      <c r="M58" s="90" t="str">
        <f>IF(_epmOfflineCondition_,"991503",IF(AND(I58="N",J58="N"),_xll.EVPRO($B$1,H58,"PSFTID"),""))</f>
        <v>991503</v>
      </c>
      <c r="N58" s="90" t="str">
        <f>IF(_epmOfflineCondition_,"Dinner Customers",IF(_xll.EVDES(H58,$B$1)="#NODATA","",_xll.EVDES(H58,$B$1)))</f>
        <v>Dinner Customers</v>
      </c>
      <c r="O58" s="210">
        <v>452</v>
      </c>
      <c r="P58" s="210">
        <v>702</v>
      </c>
      <c r="Q58" s="210">
        <v>835</v>
      </c>
      <c r="R58" s="210">
        <v>731</v>
      </c>
      <c r="S58" s="210">
        <v>603</v>
      </c>
      <c r="T58" s="210">
        <v>648</v>
      </c>
      <c r="U58" s="210">
        <v>604</v>
      </c>
      <c r="V58" s="210">
        <v>383</v>
      </c>
      <c r="W58" s="210">
        <v>406</v>
      </c>
      <c r="X58" s="210">
        <v>444</v>
      </c>
      <c r="Y58" s="210">
        <v>662</v>
      </c>
      <c r="Z58" s="210">
        <v>838</v>
      </c>
      <c r="AA58" s="210">
        <f t="shared" si="10"/>
        <v>7308</v>
      </c>
      <c r="AB58" s="211">
        <f>IF(AA58=0,"",IFERROR(AA58/AA$104,""))</f>
        <v>0.17212709329439196</v>
      </c>
      <c r="AC58" s="140"/>
      <c r="AD58" s="210">
        <v>10591.256470591001</v>
      </c>
      <c r="AE58" s="211">
        <f>IF(AD58=0,"",IFERROR(AD58/AD$104,""))</f>
        <v>0.27842232028007285</v>
      </c>
      <c r="AF58" s="253">
        <f t="shared" si="11"/>
        <v>-3283.2564705910008</v>
      </c>
      <c r="AG58" s="210">
        <v>3811</v>
      </c>
      <c r="AH58" s="211">
        <f>IF(AG58=0,"",IFERROR(AG58/AG$104,""))</f>
        <v>0.22167287110283854</v>
      </c>
      <c r="AI58" s="253">
        <f t="shared" si="12"/>
        <v>3497</v>
      </c>
    </row>
    <row r="59" spans="1:35" x14ac:dyDescent="0.35">
      <c r="A59" s="11"/>
      <c r="B59" s="11"/>
      <c r="C59" s="11"/>
      <c r="D59" s="11"/>
      <c r="E59" s="11"/>
      <c r="F59" s="11"/>
      <c r="G59" s="11"/>
      <c r="H59" s="185" t="s">
        <v>317</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90" t="str">
        <f>IF(_epmOfflineCondition_,"Dinner - Average Check",IF(_xll.EVDES(H59,$B$1)="#NODATA","",_xll.EVDES(H59,$B$1)))</f>
        <v>Dinner - Average Check</v>
      </c>
      <c r="O59" s="495">
        <v>44.891482300885002</v>
      </c>
      <c r="P59" s="495">
        <v>49.114230769230801</v>
      </c>
      <c r="Q59" s="495">
        <v>53.131053892215597</v>
      </c>
      <c r="R59" s="495">
        <v>69.277496580027403</v>
      </c>
      <c r="S59" s="495">
        <v>47.278441127694897</v>
      </c>
      <c r="T59" s="495">
        <v>44.650262345679003</v>
      </c>
      <c r="U59" s="495">
        <v>52.808079470198699</v>
      </c>
      <c r="V59" s="495">
        <v>53.284595300261103</v>
      </c>
      <c r="W59" s="495">
        <v>48.300492610837402</v>
      </c>
      <c r="X59" s="495">
        <v>60.727927927927901</v>
      </c>
      <c r="Y59" s="495">
        <v>43.992613293051399</v>
      </c>
      <c r="Z59" s="495">
        <v>54.565298329355599</v>
      </c>
      <c r="AA59" s="495">
        <f>IFERROR(AA57/AA58,"")</f>
        <v>52.126956759715384</v>
      </c>
      <c r="AB59" s="495"/>
      <c r="AC59" s="140"/>
      <c r="AD59" s="495">
        <v>48.896494589109899</v>
      </c>
      <c r="AE59" s="495"/>
      <c r="AF59" s="496">
        <f t="shared" si="11"/>
        <v>3.2304621706054846</v>
      </c>
      <c r="AG59" s="495">
        <v>38.850296510102297</v>
      </c>
      <c r="AH59" s="495"/>
      <c r="AI59" s="496">
        <f t="shared" si="12"/>
        <v>13.276660249613087</v>
      </c>
    </row>
    <row r="60" spans="1:35" x14ac:dyDescent="0.35">
      <c r="A60" s="11"/>
      <c r="B60" s="11"/>
      <c r="C60" s="11"/>
      <c r="D60" s="11"/>
      <c r="E60" s="11"/>
      <c r="F60" s="11"/>
      <c r="G60" s="490">
        <f>COUNTIF(O61:AI61,FALSE)</f>
        <v>0</v>
      </c>
      <c r="H60" s="88"/>
      <c r="I60" s="122"/>
      <c r="J60" s="122"/>
      <c r="K60" s="90"/>
      <c r="L60" s="90"/>
      <c r="M60" s="90"/>
      <c r="N60" s="491" t="s">
        <v>345</v>
      </c>
      <c r="O60" s="497">
        <f t="shared" ref="O60:AA60" si="13">ROUND(IFERROR(O57/O58,0),2)</f>
        <v>44.89</v>
      </c>
      <c r="P60" s="498">
        <f t="shared" si="13"/>
        <v>49.11</v>
      </c>
      <c r="Q60" s="498">
        <f t="shared" si="13"/>
        <v>53.13</v>
      </c>
      <c r="R60" s="498">
        <f t="shared" si="13"/>
        <v>69.28</v>
      </c>
      <c r="S60" s="498">
        <f t="shared" si="13"/>
        <v>47.28</v>
      </c>
      <c r="T60" s="498">
        <f t="shared" si="13"/>
        <v>44.65</v>
      </c>
      <c r="U60" s="498">
        <f t="shared" si="13"/>
        <v>52.81</v>
      </c>
      <c r="V60" s="498">
        <f t="shared" si="13"/>
        <v>53.28</v>
      </c>
      <c r="W60" s="498">
        <f t="shared" si="13"/>
        <v>48.3</v>
      </c>
      <c r="X60" s="498">
        <f t="shared" si="13"/>
        <v>60.73</v>
      </c>
      <c r="Y60" s="498">
        <f t="shared" si="13"/>
        <v>43.99</v>
      </c>
      <c r="Z60" s="498">
        <f t="shared" si="13"/>
        <v>54.57</v>
      </c>
      <c r="AA60" s="498">
        <f t="shared" si="13"/>
        <v>52.13</v>
      </c>
      <c r="AB60" s="499"/>
      <c r="AC60" s="140"/>
      <c r="AD60" s="497">
        <f>ROUND(IFERROR(AD57/AD58,0),2)</f>
        <v>48.9</v>
      </c>
      <c r="AE60" s="498"/>
      <c r="AF60" s="159"/>
      <c r="AG60" s="497">
        <f>ROUND(IFERROR(AG57/AG58,0),2)</f>
        <v>38.85</v>
      </c>
      <c r="AH60" s="498"/>
      <c r="AI60" s="159"/>
    </row>
    <row r="61" spans="1:35" x14ac:dyDescent="0.35">
      <c r="A61" s="11"/>
      <c r="B61" s="11"/>
      <c r="C61" s="11"/>
      <c r="D61" s="11"/>
      <c r="E61" s="11"/>
      <c r="F61" s="11"/>
      <c r="G61" s="11"/>
      <c r="H61" s="185"/>
      <c r="I61" s="122"/>
      <c r="J61" s="122"/>
      <c r="K61" s="90"/>
      <c r="L61" s="90"/>
      <c r="M61" s="90"/>
      <c r="N61" s="53" t="s">
        <v>307</v>
      </c>
      <c r="O61" s="500" t="b">
        <f t="shared" ref="O61:AA61" si="14">ROUND(O59,2)=ROUND(O60,2)</f>
        <v>1</v>
      </c>
      <c r="P61" s="501" t="b">
        <f t="shared" si="14"/>
        <v>1</v>
      </c>
      <c r="Q61" s="501" t="b">
        <f t="shared" si="14"/>
        <v>1</v>
      </c>
      <c r="R61" s="501" t="b">
        <f t="shared" si="14"/>
        <v>1</v>
      </c>
      <c r="S61" s="501" t="b">
        <f t="shared" si="14"/>
        <v>1</v>
      </c>
      <c r="T61" s="501" t="b">
        <f t="shared" si="14"/>
        <v>1</v>
      </c>
      <c r="U61" s="501" t="b">
        <f t="shared" si="14"/>
        <v>1</v>
      </c>
      <c r="V61" s="501" t="b">
        <f t="shared" si="14"/>
        <v>1</v>
      </c>
      <c r="W61" s="501" t="b">
        <f t="shared" si="14"/>
        <v>1</v>
      </c>
      <c r="X61" s="501" t="b">
        <f t="shared" si="14"/>
        <v>1</v>
      </c>
      <c r="Y61" s="501" t="b">
        <f t="shared" si="14"/>
        <v>1</v>
      </c>
      <c r="Z61" s="501" t="b">
        <f t="shared" si="14"/>
        <v>1</v>
      </c>
      <c r="AA61" s="501" t="b">
        <f t="shared" si="14"/>
        <v>1</v>
      </c>
      <c r="AB61" s="502"/>
      <c r="AC61" s="503"/>
      <c r="AD61" s="500"/>
      <c r="AE61" s="501" t="b">
        <f>ROUND(AD59,2)=ROUND(AD60,2)</f>
        <v>1</v>
      </c>
      <c r="AF61" s="502"/>
      <c r="AG61" s="500"/>
      <c r="AH61" s="501" t="b">
        <f>ROUND(AG59,2)=ROUND(AG60,2)</f>
        <v>1</v>
      </c>
      <c r="AI61" s="502"/>
    </row>
    <row r="62" spans="1:35" x14ac:dyDescent="0.35">
      <c r="A62" s="11"/>
      <c r="B62" s="11"/>
      <c r="C62" s="11"/>
      <c r="D62" s="11"/>
      <c r="E62" s="11"/>
      <c r="F62" s="11"/>
      <c r="G62" s="11"/>
      <c r="H62" s="185" t="s">
        <v>263</v>
      </c>
      <c r="I62" s="122" t="str">
        <f>IF(_epmOfflineCondition_,"T5",_xll.EVPRO($B$1,$H62,"STYLE"))</f>
        <v>T5</v>
      </c>
      <c r="J62" s="122" t="str">
        <f>IF(_epmOfflineCondition_,"Y",_xll.EVPRO($B$1,$H62,"CALC"))</f>
        <v>Y</v>
      </c>
      <c r="K62" s="90"/>
      <c r="L62" s="90" t="str">
        <f>IF(_epmOfflineCondition_,"464100",_xll.EVPRO($B$1,H62,"JDEID"))</f>
        <v>464100</v>
      </c>
      <c r="M62" s="90" t="str">
        <f>IF(_epmOfflineCondition_,"",IF(AND(I62="N",J62="N"),_xll.EVPRO($B$1,H62,"PSFTID"),""))</f>
        <v/>
      </c>
      <c r="N62" s="90" t="str">
        <f>IF(_epmOfflineCondition_,"Bar Food",IF(_xll.EVDES(H62,$B$1)="#NODATA","",_xll.EVDES(H62,$B$1)))</f>
        <v>Bar Food</v>
      </c>
      <c r="O62" s="143">
        <v>1597.4</v>
      </c>
      <c r="P62" s="143">
        <v>4973.01</v>
      </c>
      <c r="Q62" s="143">
        <v>3596.5</v>
      </c>
      <c r="R62" s="143">
        <v>1230.01</v>
      </c>
      <c r="S62" s="143">
        <v>1581</v>
      </c>
      <c r="T62" s="143">
        <v>1583.2</v>
      </c>
      <c r="U62" s="143">
        <v>1077</v>
      </c>
      <c r="V62" s="143">
        <v>425.5</v>
      </c>
      <c r="W62" s="143">
        <v>548.74</v>
      </c>
      <c r="X62" s="143">
        <v>934</v>
      </c>
      <c r="Y62" s="143">
        <v>487</v>
      </c>
      <c r="Z62" s="143">
        <v>5173.95</v>
      </c>
      <c r="AA62" s="143">
        <f t="shared" ref="AA62:AA67" si="15">SUM(O62:Z62)</f>
        <v>23207.31</v>
      </c>
      <c r="AB62" s="144">
        <f>IF(AA62=0,"",IFERROR(AA62/AA$19,""))</f>
        <v>1.7458310649693547E-2</v>
      </c>
      <c r="AC62" s="140"/>
      <c r="AD62" s="143">
        <v>27129.719000000001</v>
      </c>
      <c r="AE62" s="144">
        <f>IF(AD62=0,"",IFERROR(AD62/AD$19,""))</f>
        <v>2.1693245910945708E-2</v>
      </c>
      <c r="AF62" s="145">
        <f t="shared" ref="AF62:AF68" si="16">IF(AND($AA62="",AD62=""),"",$AA62-AD62)</f>
        <v>-3922.4089999999997</v>
      </c>
      <c r="AG62" s="143">
        <v>18514.37</v>
      </c>
      <c r="AH62" s="144">
        <f>IF(AG62=0,"",IFERROR(AG62/AG$19,""))</f>
        <v>3.7638455120495233E-2</v>
      </c>
      <c r="AI62" s="145">
        <f t="shared" ref="AI62:AI68" si="17">IF(AND($AA62="",AG62=""),"",$AA62-AG62)</f>
        <v>4692.9400000000023</v>
      </c>
    </row>
    <row r="63" spans="1:35" x14ac:dyDescent="0.35">
      <c r="A63" s="11"/>
      <c r="B63" s="11"/>
      <c r="C63" s="11"/>
      <c r="D63" s="11"/>
      <c r="E63" s="11"/>
      <c r="F63" s="11"/>
      <c r="G63" s="11"/>
      <c r="H63" s="185" t="s">
        <v>308</v>
      </c>
      <c r="I63" s="122" t="str">
        <f>IF(_epmOfflineCondition_,"T6",_xll.EVPRO($B$1,$H63,"STYLE"))</f>
        <v>T6</v>
      </c>
      <c r="J63" s="122" t="str">
        <f>IF(_epmOfflineCondition_,"Y",_xll.EVPRO($B$1,$H63,"CALC"))</f>
        <v>Y</v>
      </c>
      <c r="K63" s="90"/>
      <c r="L63" s="90" t="str">
        <f>IF(_epmOfflineCondition_,"464200",_xll.EVPRO($B$1,H63,"JDEID"))</f>
        <v>464200</v>
      </c>
      <c r="M63" s="90" t="str">
        <f>IF(_epmOfflineCondition_,"",IF(AND(I63="N",J63="N"),_xll.EVPRO($B$1,H63,"PSFTID"),""))</f>
        <v/>
      </c>
      <c r="N63" s="90" t="str">
        <f>IF(_epmOfflineCondition_,"Bar Liquor",IF(_xll.EVDES(H63,$B$1)="#NODATA","",_xll.EVDES(H63,$B$1)))</f>
        <v>Bar Liquor</v>
      </c>
      <c r="O63" s="143">
        <v>4090</v>
      </c>
      <c r="P63" s="143">
        <v>13699</v>
      </c>
      <c r="Q63" s="143">
        <v>11935.2</v>
      </c>
      <c r="R63" s="143">
        <v>7631.8</v>
      </c>
      <c r="S63" s="143">
        <v>7830.65</v>
      </c>
      <c r="T63" s="143">
        <v>8912</v>
      </c>
      <c r="U63" s="143">
        <v>6891.34</v>
      </c>
      <c r="V63" s="143">
        <v>1999</v>
      </c>
      <c r="W63" s="143">
        <v>2578.2600000000002</v>
      </c>
      <c r="X63" s="143">
        <v>4742</v>
      </c>
      <c r="Y63" s="143">
        <v>5236</v>
      </c>
      <c r="Z63" s="143">
        <v>15177.47</v>
      </c>
      <c r="AA63" s="143">
        <f t="shared" si="15"/>
        <v>90722.72</v>
      </c>
      <c r="AB63" s="144">
        <f>IF(AA63=0,"",IFERROR(AA63/AA$19,""))</f>
        <v>6.8248557404764529E-2</v>
      </c>
      <c r="AC63" s="140"/>
      <c r="AD63" s="143">
        <v>71212.487999999998</v>
      </c>
      <c r="AE63" s="144">
        <f>IF(AD63=0,"",IFERROR(AD63/AD$19,""))</f>
        <v>5.6942352190019738E-2</v>
      </c>
      <c r="AF63" s="145">
        <f t="shared" si="16"/>
        <v>19510.232000000004</v>
      </c>
      <c r="AG63" s="143">
        <v>50263.040000000001</v>
      </c>
      <c r="AH63" s="144">
        <f>IF(AG63=0,"",IFERROR(AG63/AG$19,""))</f>
        <v>0.10218134212828504</v>
      </c>
      <c r="AI63" s="145">
        <f t="shared" si="17"/>
        <v>40459.68</v>
      </c>
    </row>
    <row r="64" spans="1:35" x14ac:dyDescent="0.35">
      <c r="A64" s="11"/>
      <c r="B64" s="11"/>
      <c r="C64" s="11"/>
      <c r="D64" s="11"/>
      <c r="E64" s="11"/>
      <c r="F64" s="11"/>
      <c r="G64" s="11"/>
      <c r="H64" s="185" t="s">
        <v>310</v>
      </c>
      <c r="I64" s="122" t="str">
        <f>IF(_epmOfflineCondition_,"T6",_xll.EVPRO($B$1,$H64,"STYLE"))</f>
        <v>T6</v>
      </c>
      <c r="J64" s="122" t="str">
        <f>IF(_epmOfflineCondition_,"Y",_xll.EVPRO($B$1,$H64,"CALC"))</f>
        <v>Y</v>
      </c>
      <c r="K64" s="90"/>
      <c r="L64" s="90" t="str">
        <f>IF(_epmOfflineCondition_,"464300",_xll.EVPRO($B$1,H64,"JDEID"))</f>
        <v>464300</v>
      </c>
      <c r="M64" s="90" t="str">
        <f>IF(_epmOfflineCondition_,"",IF(AND(I64="N",J64="N"),_xll.EVPRO($B$1,H64,"PSFTID"),""))</f>
        <v/>
      </c>
      <c r="N64" s="90" t="str">
        <f>IF(_epmOfflineCondition_,"Bar Beer",IF(_xll.EVDES(H64,$B$1)="#NODATA","",_xll.EVDES(H64,$B$1)))</f>
        <v>Bar Beer</v>
      </c>
      <c r="O64" s="143">
        <v>391</v>
      </c>
      <c r="P64" s="143">
        <v>1022</v>
      </c>
      <c r="Q64" s="143">
        <v>946.9</v>
      </c>
      <c r="R64" s="143">
        <v>678</v>
      </c>
      <c r="S64" s="143">
        <v>634</v>
      </c>
      <c r="T64" s="143">
        <v>438</v>
      </c>
      <c r="U64" s="143">
        <v>431</v>
      </c>
      <c r="V64" s="143">
        <v>145</v>
      </c>
      <c r="W64" s="143">
        <v>151</v>
      </c>
      <c r="X64" s="143">
        <v>295</v>
      </c>
      <c r="Y64" s="143">
        <v>614</v>
      </c>
      <c r="Z64" s="143">
        <v>1743.58</v>
      </c>
      <c r="AA64" s="143">
        <f t="shared" si="15"/>
        <v>7489.48</v>
      </c>
      <c r="AB64" s="144">
        <f>IF(AA64=0,"",IFERROR(AA64/AA$19,""))</f>
        <v>5.6341587389777967E-3</v>
      </c>
      <c r="AC64" s="140"/>
      <c r="AD64" s="143">
        <v>14536.880999999999</v>
      </c>
      <c r="AE64" s="144">
        <f>IF(AD64=0,"",IFERROR(AD64/AD$19,""))</f>
        <v>1.1623862905146725E-2</v>
      </c>
      <c r="AF64" s="145">
        <f t="shared" si="16"/>
        <v>-7047.4009999999998</v>
      </c>
      <c r="AG64" s="143">
        <v>7892.51</v>
      </c>
      <c r="AH64" s="144">
        <f>IF(AG64=0,"",IFERROR(AG64/AG$19,""))</f>
        <v>1.6044936091428433E-2</v>
      </c>
      <c r="AI64" s="145">
        <f t="shared" si="17"/>
        <v>-403.03000000000065</v>
      </c>
    </row>
    <row r="65" spans="1:35" x14ac:dyDescent="0.35">
      <c r="A65" s="11"/>
      <c r="B65" s="11"/>
      <c r="C65" s="11"/>
      <c r="D65" s="11"/>
      <c r="E65" s="11"/>
      <c r="F65" s="11"/>
      <c r="G65" s="11"/>
      <c r="H65" s="185" t="s">
        <v>309</v>
      </c>
      <c r="I65" s="122" t="str">
        <f>IF(_epmOfflineCondition_,"T6",_xll.EVPRO($B$1,$H65,"STYLE"))</f>
        <v>T6</v>
      </c>
      <c r="J65" s="122" t="str">
        <f>IF(_epmOfflineCondition_,"Y",_xll.EVPRO($B$1,$H65,"CALC"))</f>
        <v>Y</v>
      </c>
      <c r="K65" s="90"/>
      <c r="L65" s="90" t="str">
        <f>IF(_epmOfflineCondition_,"464400",_xll.EVPRO($B$1,H65,"JDEID"))</f>
        <v>464400</v>
      </c>
      <c r="M65" s="90" t="str">
        <f>IF(_epmOfflineCondition_,"",IF(AND(I65="N",J65="N"),_xll.EVPRO($B$1,H65,"PSFTID"),""))</f>
        <v/>
      </c>
      <c r="N65" s="90" t="str">
        <f>IF(_epmOfflineCondition_,"Bar Wine",IF(_xll.EVDES(H65,$B$1)="#NODATA","",_xll.EVDES(H65,$B$1)))</f>
        <v>Bar Wine</v>
      </c>
      <c r="O65" s="217">
        <v>801.33</v>
      </c>
      <c r="P65" s="217">
        <v>2497.1999999999998</v>
      </c>
      <c r="Q65" s="217">
        <v>1650</v>
      </c>
      <c r="R65" s="217">
        <v>1129</v>
      </c>
      <c r="S65" s="217">
        <v>830</v>
      </c>
      <c r="T65" s="217">
        <v>928</v>
      </c>
      <c r="U65" s="217">
        <v>735</v>
      </c>
      <c r="V65" s="217">
        <v>196</v>
      </c>
      <c r="W65" s="217">
        <v>257</v>
      </c>
      <c r="X65" s="217">
        <v>664.5</v>
      </c>
      <c r="Y65" s="217">
        <v>1555</v>
      </c>
      <c r="Z65" s="217">
        <v>3504</v>
      </c>
      <c r="AA65" s="217">
        <f t="shared" si="15"/>
        <v>14747.029999999999</v>
      </c>
      <c r="AB65" s="219">
        <f>IF(AA65=0,"",IFERROR(AA65/AA$19,""))</f>
        <v>1.1093842022205513E-2</v>
      </c>
      <c r="AC65" s="140"/>
      <c r="AD65" s="217">
        <v>27174.312000000002</v>
      </c>
      <c r="AE65" s="219">
        <f>IF(AD65=0,"",IFERROR(AD65/AD$19,""))</f>
        <v>2.172890300399952E-2</v>
      </c>
      <c r="AF65" s="220">
        <f t="shared" si="16"/>
        <v>-12427.282000000003</v>
      </c>
      <c r="AG65" s="217">
        <v>16114.69</v>
      </c>
      <c r="AH65" s="219">
        <f>IF(AG65=0,"",IFERROR(AG65/AG$19,""))</f>
        <v>3.2760068873296438E-2</v>
      </c>
      <c r="AI65" s="220">
        <f t="shared" si="17"/>
        <v>-1367.6600000000017</v>
      </c>
    </row>
    <row r="66" spans="1:35" x14ac:dyDescent="0.35">
      <c r="A66" s="11"/>
      <c r="B66" s="11"/>
      <c r="C66" s="11"/>
      <c r="D66" s="11"/>
      <c r="E66" s="11"/>
      <c r="F66" s="11"/>
      <c r="G66" s="11"/>
      <c r="H66" s="185" t="s">
        <v>327</v>
      </c>
      <c r="I66" s="122" t="str">
        <f>IF(_epmOfflineCondition_,"N",_xll.EVPRO($B$1,$H66,"STYLE"))</f>
        <v>N</v>
      </c>
      <c r="J66" s="122" t="str">
        <f>IF(_epmOfflineCondition_,"Y",_xll.EVPRO($B$1,$H66,"CALC"))</f>
        <v>Y</v>
      </c>
      <c r="K66" s="90"/>
      <c r="L66" s="90" t="str">
        <f>IF(_epmOfflineCondition_,"",_xll.EVPRO($B$1,H66,"JDEID"))</f>
        <v/>
      </c>
      <c r="M66" s="90" t="str">
        <f>IF(_epmOfflineCondition_,"",IF(AND(I66="N",J66="N"),_xll.EVPRO($B$1,H66,"PSFTID"),""))</f>
        <v/>
      </c>
      <c r="N66" s="106" t="str">
        <f>IF(_epmOfflineCondition_,"Bar Revenue",IF(_xll.EVDES(H66,$B$1)="#NODATA","",_xll.EVDES(H66,$B$1)))</f>
        <v>Bar Revenue</v>
      </c>
      <c r="O66" s="166">
        <v>6879.73</v>
      </c>
      <c r="P66" s="166">
        <v>22191.21</v>
      </c>
      <c r="Q66" s="166">
        <v>18128.599999999999</v>
      </c>
      <c r="R66" s="166">
        <v>10668.81</v>
      </c>
      <c r="S66" s="166">
        <v>10875.65</v>
      </c>
      <c r="T66" s="166">
        <v>11861.2</v>
      </c>
      <c r="U66" s="166">
        <v>9134.34</v>
      </c>
      <c r="V66" s="166">
        <v>2765.5</v>
      </c>
      <c r="W66" s="166">
        <v>3535</v>
      </c>
      <c r="X66" s="166">
        <v>6635.5</v>
      </c>
      <c r="Y66" s="166">
        <v>7892</v>
      </c>
      <c r="Z66" s="166">
        <v>25599</v>
      </c>
      <c r="AA66" s="166">
        <f t="shared" si="15"/>
        <v>136166.53999999998</v>
      </c>
      <c r="AB66" s="167">
        <f>IF(AA66=0,"",IFERROR(AA66/AA$19,""))</f>
        <v>0.10243486881564136</v>
      </c>
      <c r="AC66" s="140"/>
      <c r="AD66" s="166">
        <v>140053.4</v>
      </c>
      <c r="AE66" s="167">
        <f>IF(AD66=0,"",IFERROR(AD66/AD$19,""))</f>
        <v>0.11198836401011168</v>
      </c>
      <c r="AF66" s="168">
        <f t="shared" si="16"/>
        <v>-3886.8600000000151</v>
      </c>
      <c r="AG66" s="166">
        <v>92784.61</v>
      </c>
      <c r="AH66" s="167">
        <f>IF(AG66=0,"",IFERROR(AG66/AG$19,""))</f>
        <v>0.18862480221350514</v>
      </c>
      <c r="AI66" s="168">
        <f t="shared" si="17"/>
        <v>43381.929999999978</v>
      </c>
    </row>
    <row r="67" spans="1:35" x14ac:dyDescent="0.35">
      <c r="A67" s="11"/>
      <c r="B67" s="11"/>
      <c r="C67" s="11"/>
      <c r="D67" s="11"/>
      <c r="E67" s="11"/>
      <c r="F67" s="11"/>
      <c r="G67" s="11"/>
      <c r="H67" s="185" t="s">
        <v>326</v>
      </c>
      <c r="I67" s="122" t="str">
        <f>IF(_epmOfflineCondition_,"N",_xll.EVPRO($B$1,$H67,"STYLE"))</f>
        <v>N</v>
      </c>
      <c r="J67" s="122" t="str">
        <f>IF(_epmOfflineCondition_,"N",_xll.EVPRO($B$1,$H67,"CALC"))</f>
        <v>N</v>
      </c>
      <c r="K67" s="90"/>
      <c r="L67" s="90" t="str">
        <f>IF(_epmOfflineCondition_,"946500",_xll.EVPRO($B$1,H67,"JDEID"))</f>
        <v>946500</v>
      </c>
      <c r="M67" s="90" t="str">
        <f>IF(_epmOfflineCondition_,"991522",IF(AND(I67="N",J67="N"),_xll.EVPRO($B$1,H67,"PSFTID"),""))</f>
        <v>991522</v>
      </c>
      <c r="N67" s="90" t="str">
        <f>IF(_epmOfflineCondition_,"Bar Customers",IF(_xll.EVDES(H67,$B$1)="#NODATA","",_xll.EVDES(H67,$B$1)))</f>
        <v>Bar Customers</v>
      </c>
      <c r="O67" s="210">
        <v>399</v>
      </c>
      <c r="P67" s="210">
        <v>1015</v>
      </c>
      <c r="Q67" s="210">
        <v>862</v>
      </c>
      <c r="R67" s="210">
        <v>418</v>
      </c>
      <c r="S67" s="210">
        <v>417</v>
      </c>
      <c r="T67" s="210">
        <v>457</v>
      </c>
      <c r="U67" s="210">
        <v>402</v>
      </c>
      <c r="V67" s="210">
        <v>120</v>
      </c>
      <c r="W67" s="210">
        <v>127</v>
      </c>
      <c r="X67" s="210">
        <v>251</v>
      </c>
      <c r="Y67" s="210">
        <v>271</v>
      </c>
      <c r="Z67" s="210">
        <v>888</v>
      </c>
      <c r="AA67" s="210">
        <f t="shared" si="15"/>
        <v>5627</v>
      </c>
      <c r="AB67" s="211">
        <f>IF(AA67=0,"",IFERROR(AA67/AA$104,""))</f>
        <v>0.13253409331794522</v>
      </c>
      <c r="AC67" s="140"/>
      <c r="AD67" s="210">
        <v>6176</v>
      </c>
      <c r="AE67" s="211">
        <f>IF(AD67=0,"",IFERROR(AD67/AD$104,""))</f>
        <v>0.16235432073847028</v>
      </c>
      <c r="AF67" s="253">
        <f t="shared" si="16"/>
        <v>-549</v>
      </c>
      <c r="AG67" s="210">
        <v>4518</v>
      </c>
      <c r="AH67" s="211">
        <f>IF(AG67=0,"",IFERROR(AG67/AG$104,""))</f>
        <v>0.26279664960446719</v>
      </c>
      <c r="AI67" s="253">
        <f t="shared" si="17"/>
        <v>1109</v>
      </c>
    </row>
    <row r="68" spans="1:35" x14ac:dyDescent="0.35">
      <c r="A68" s="11"/>
      <c r="B68" s="11"/>
      <c r="C68" s="11"/>
      <c r="D68" s="11"/>
      <c r="E68" s="11"/>
      <c r="F68" s="11"/>
      <c r="G68" s="11"/>
      <c r="H68" s="185" t="s">
        <v>328</v>
      </c>
      <c r="I68" s="122" t="str">
        <f>IF(_epmOfflineCondition_,"N",_xll.EVPRO($B$1,$H68,"STYLE"))</f>
        <v>N</v>
      </c>
      <c r="J68" s="122" t="str">
        <f>IF(_epmOfflineCondition_,"Y",_xll.EVPRO($B$1,$H68,"CALC"))</f>
        <v>Y</v>
      </c>
      <c r="K68" s="90"/>
      <c r="L68" s="90" t="str">
        <f>IF(_epmOfflineCondition_,"",_xll.EVPRO($B$1,H68,"JDEID"))</f>
        <v/>
      </c>
      <c r="M68" s="90" t="str">
        <f>IF(_epmOfflineCondition_,"",IF(AND(I68="N",J68="N"),_xll.EVPRO($B$1,H68,"PSFTID"),""))</f>
        <v/>
      </c>
      <c r="N68" s="190" t="str">
        <f>IF(_epmOfflineCondition_,"Bar- Average Check",IF(_xll.EVDES(H68,$B$1)="#NODATA","",_xll.EVDES(H68,$B$1)))</f>
        <v>Bar- Average Check</v>
      </c>
      <c r="O68" s="495">
        <v>17.242431077694199</v>
      </c>
      <c r="P68" s="495">
        <v>21.863261083743801</v>
      </c>
      <c r="Q68" s="495">
        <v>21.030858468677501</v>
      </c>
      <c r="R68" s="495">
        <v>25.5234688995215</v>
      </c>
      <c r="S68" s="495">
        <v>26.080695443645102</v>
      </c>
      <c r="T68" s="495">
        <v>25.954485776805299</v>
      </c>
      <c r="U68" s="495">
        <v>22.7222388059702</v>
      </c>
      <c r="V68" s="495">
        <v>23.045833333333299</v>
      </c>
      <c r="W68" s="495">
        <v>27.834645669291302</v>
      </c>
      <c r="X68" s="495">
        <v>26.436254980079699</v>
      </c>
      <c r="Y68" s="495">
        <v>29.121771217712201</v>
      </c>
      <c r="Z68" s="495">
        <v>28.827702702702702</v>
      </c>
      <c r="AA68" s="495">
        <f>IFERROR(AA66/AA67,"")</f>
        <v>24.198780877910071</v>
      </c>
      <c r="AB68" s="495"/>
      <c r="AC68" s="140"/>
      <c r="AD68" s="495">
        <v>22.677040155440402</v>
      </c>
      <c r="AE68" s="495"/>
      <c r="AF68" s="496">
        <f t="shared" si="16"/>
        <v>1.5217407224696693</v>
      </c>
      <c r="AG68" s="495">
        <v>20.5366555998229</v>
      </c>
      <c r="AH68" s="495"/>
      <c r="AI68" s="496">
        <f t="shared" si="17"/>
        <v>3.6621252780871707</v>
      </c>
    </row>
    <row r="69" spans="1:35" x14ac:dyDescent="0.35">
      <c r="A69" s="11"/>
      <c r="B69" s="11"/>
      <c r="C69" s="11"/>
      <c r="D69" s="11"/>
      <c r="E69" s="11"/>
      <c r="F69" s="11"/>
      <c r="G69" s="490">
        <f>COUNTIF(O70:AI70,FALSE)</f>
        <v>0</v>
      </c>
      <c r="H69" s="88"/>
      <c r="I69" s="122"/>
      <c r="J69" s="122"/>
      <c r="K69" s="90"/>
      <c r="L69" s="90"/>
      <c r="M69" s="90"/>
      <c r="N69" s="491" t="s">
        <v>345</v>
      </c>
      <c r="O69" s="497">
        <f t="shared" ref="O69:AA69" si="18">ROUND(IFERROR(O66/O67,0),2)</f>
        <v>17.239999999999998</v>
      </c>
      <c r="P69" s="498">
        <f t="shared" si="18"/>
        <v>21.86</v>
      </c>
      <c r="Q69" s="498">
        <f t="shared" si="18"/>
        <v>21.03</v>
      </c>
      <c r="R69" s="498">
        <f t="shared" si="18"/>
        <v>25.52</v>
      </c>
      <c r="S69" s="498">
        <f t="shared" si="18"/>
        <v>26.08</v>
      </c>
      <c r="T69" s="498">
        <f t="shared" si="18"/>
        <v>25.95</v>
      </c>
      <c r="U69" s="498">
        <f t="shared" si="18"/>
        <v>22.72</v>
      </c>
      <c r="V69" s="498">
        <f t="shared" si="18"/>
        <v>23.05</v>
      </c>
      <c r="W69" s="498">
        <f t="shared" si="18"/>
        <v>27.83</v>
      </c>
      <c r="X69" s="498">
        <f t="shared" si="18"/>
        <v>26.44</v>
      </c>
      <c r="Y69" s="498">
        <f t="shared" si="18"/>
        <v>29.12</v>
      </c>
      <c r="Z69" s="498">
        <f t="shared" si="18"/>
        <v>28.83</v>
      </c>
      <c r="AA69" s="498">
        <f t="shared" si="18"/>
        <v>24.2</v>
      </c>
      <c r="AB69" s="499"/>
      <c r="AC69" s="140"/>
      <c r="AD69" s="497">
        <f>ROUND(IFERROR(AD66/AD67,0),2)</f>
        <v>22.68</v>
      </c>
      <c r="AE69" s="498"/>
      <c r="AF69" s="159"/>
      <c r="AG69" s="497">
        <f>ROUND(IFERROR(AG66/AG67,0),2)</f>
        <v>20.54</v>
      </c>
      <c r="AH69" s="498"/>
      <c r="AI69" s="159"/>
    </row>
    <row r="70" spans="1:35" x14ac:dyDescent="0.35">
      <c r="A70" s="11"/>
      <c r="B70" s="11"/>
      <c r="C70" s="11"/>
      <c r="D70" s="11"/>
      <c r="E70" s="11"/>
      <c r="F70" s="11"/>
      <c r="G70" s="11"/>
      <c r="H70" s="185"/>
      <c r="I70" s="122"/>
      <c r="J70" s="122"/>
      <c r="K70" s="90"/>
      <c r="L70" s="90"/>
      <c r="M70" s="90"/>
      <c r="N70" s="53" t="s">
        <v>324</v>
      </c>
      <c r="O70" s="500" t="b">
        <f t="shared" ref="O70:AA70" si="19">ROUND(O68,2)=ROUND(O69,2)</f>
        <v>1</v>
      </c>
      <c r="P70" s="501" t="b">
        <f t="shared" si="19"/>
        <v>1</v>
      </c>
      <c r="Q70" s="501" t="b">
        <f t="shared" si="19"/>
        <v>1</v>
      </c>
      <c r="R70" s="501" t="b">
        <f t="shared" si="19"/>
        <v>1</v>
      </c>
      <c r="S70" s="501" t="b">
        <f t="shared" si="19"/>
        <v>1</v>
      </c>
      <c r="T70" s="501" t="b">
        <f t="shared" si="19"/>
        <v>1</v>
      </c>
      <c r="U70" s="501" t="b">
        <f t="shared" si="19"/>
        <v>1</v>
      </c>
      <c r="V70" s="501" t="b">
        <f t="shared" si="19"/>
        <v>1</v>
      </c>
      <c r="W70" s="501" t="b">
        <f t="shared" si="19"/>
        <v>1</v>
      </c>
      <c r="X70" s="501" t="b">
        <f t="shared" si="19"/>
        <v>1</v>
      </c>
      <c r="Y70" s="501" t="b">
        <f t="shared" si="19"/>
        <v>1</v>
      </c>
      <c r="Z70" s="501" t="b">
        <f t="shared" si="19"/>
        <v>1</v>
      </c>
      <c r="AA70" s="501" t="b">
        <f t="shared" si="19"/>
        <v>1</v>
      </c>
      <c r="AB70" s="502"/>
      <c r="AC70" s="503"/>
      <c r="AD70" s="500"/>
      <c r="AE70" s="501" t="b">
        <f>ROUND(AD68,2)=ROUND(AD69,2)</f>
        <v>1</v>
      </c>
      <c r="AF70" s="502"/>
      <c r="AG70" s="500"/>
      <c r="AH70" s="501" t="b">
        <f>ROUND(AG68,2)=ROUND(AG69,2)</f>
        <v>1</v>
      </c>
      <c r="AI70" s="502"/>
    </row>
    <row r="71" spans="1:35" x14ac:dyDescent="0.35">
      <c r="A71" s="11"/>
      <c r="B71" s="11"/>
      <c r="C71" s="11"/>
      <c r="D71" s="11"/>
      <c r="E71" s="11"/>
      <c r="F71" s="11"/>
      <c r="G71" s="11"/>
      <c r="H71" s="185" t="s">
        <v>264</v>
      </c>
      <c r="I71" s="122" t="str">
        <f>IF(_epmOfflineCondition_,"T5",_xll.EVPRO($B$1,$H71,"STYLE"))</f>
        <v>T5</v>
      </c>
      <c r="J71" s="122" t="str">
        <f>IF(_epmOfflineCondition_,"Y",_xll.EVPRO($B$1,$H71,"CALC"))</f>
        <v>Y</v>
      </c>
      <c r="K71" s="90"/>
      <c r="L71" s="90" t="str">
        <f>IF(_epmOfflineCondition_,"465100",_xll.EVPRO($B$1,H71,"JDEID"))</f>
        <v>465100</v>
      </c>
      <c r="M71" s="90" t="str">
        <f>IF(_epmOfflineCondition_,"",IF(AND(I71="N",J71="N"),_xll.EVPRO($B$1,H71,"PSFTID"),""))</f>
        <v/>
      </c>
      <c r="N71" s="90" t="str">
        <f>IF(_epmOfflineCondition_,"Private Dining Food",IF(_xll.EVDES(H71,$B$1)="#NODATA","",_xll.EVDES(H71,$B$1)))</f>
        <v>Private Dining Food</v>
      </c>
      <c r="O71" s="143"/>
      <c r="P71" s="143"/>
      <c r="Q71" s="143"/>
      <c r="R71" s="143"/>
      <c r="S71" s="143"/>
      <c r="T71" s="143"/>
      <c r="U71" s="143"/>
      <c r="V71" s="143"/>
      <c r="W71" s="143"/>
      <c r="X71" s="143"/>
      <c r="Y71" s="143"/>
      <c r="Z71" s="143"/>
      <c r="AA71" s="143">
        <f t="shared" ref="AA71:AA76" si="20">SUM(O71:Z71)</f>
        <v>0</v>
      </c>
      <c r="AB71" s="144" t="str">
        <f>IF(AA71=0,"",IFERROR(AA71/AA$19,""))</f>
        <v/>
      </c>
      <c r="AC71" s="140"/>
      <c r="AD71" s="143"/>
      <c r="AE71" s="144" t="str">
        <f>IF(AD71=0,"",IFERROR(AD71/AD$19,""))</f>
        <v/>
      </c>
      <c r="AF71" s="145">
        <f t="shared" ref="AF71:AF77" si="21">IF(AND($AA71="",AD71=""),"",$AA71-AD71)</f>
        <v>0</v>
      </c>
      <c r="AG71" s="143">
        <v>4050</v>
      </c>
      <c r="AH71" s="144">
        <f>IF(AG71=0,"",IFERROR(AG71/AG$19,""))</f>
        <v>8.2333745754246939E-3</v>
      </c>
      <c r="AI71" s="145">
        <f t="shared" ref="AI71:AI77" si="22">IF(AND($AA71="",AG71=""),"",$AA71-AG71)</f>
        <v>-4050</v>
      </c>
    </row>
    <row r="72" spans="1:35" x14ac:dyDescent="0.35">
      <c r="A72" s="11"/>
      <c r="B72" s="11"/>
      <c r="C72" s="11"/>
      <c r="D72" s="11"/>
      <c r="E72" s="11"/>
      <c r="F72" s="11"/>
      <c r="G72" s="11"/>
      <c r="H72" s="185" t="s">
        <v>321</v>
      </c>
      <c r="I72" s="122" t="str">
        <f>IF(_epmOfflineCondition_,"T6",_xll.EVPRO($B$1,$H72,"STYLE"))</f>
        <v>T6</v>
      </c>
      <c r="J72" s="122" t="str">
        <f>IF(_epmOfflineCondition_,"Y",_xll.EVPRO($B$1,$H72,"CALC"))</f>
        <v>Y</v>
      </c>
      <c r="K72" s="90"/>
      <c r="L72" s="90" t="str">
        <f>IF(_epmOfflineCondition_,"465200",_xll.EVPRO($B$1,H72,"JDEID"))</f>
        <v>465200</v>
      </c>
      <c r="M72" s="90" t="str">
        <f>IF(_epmOfflineCondition_,"",IF(AND(I72="N",J72="N"),_xll.EVPRO($B$1,H72,"PSFTID"),""))</f>
        <v/>
      </c>
      <c r="N72" s="90" t="str">
        <f>IF(_epmOfflineCondition_,"Private Dining Liquor",IF(_xll.EVDES(H72,$B$1)="#NODATA","",_xll.EVDES(H72,$B$1)))</f>
        <v>Private Dining Liquor</v>
      </c>
      <c r="O72" s="143"/>
      <c r="P72" s="143"/>
      <c r="Q72" s="143"/>
      <c r="R72" s="143"/>
      <c r="S72" s="143"/>
      <c r="T72" s="143"/>
      <c r="U72" s="143"/>
      <c r="V72" s="143"/>
      <c r="W72" s="143"/>
      <c r="X72" s="143"/>
      <c r="Y72" s="143"/>
      <c r="Z72" s="143"/>
      <c r="AA72" s="143">
        <f t="shared" si="20"/>
        <v>0</v>
      </c>
      <c r="AB72" s="144" t="str">
        <f>IF(AA72=0,"",IFERROR(AA72/AA$19,""))</f>
        <v/>
      </c>
      <c r="AC72" s="140"/>
      <c r="AD72" s="143"/>
      <c r="AE72" s="144" t="str">
        <f>IF(AD72=0,"",IFERROR(AD72/AD$19,""))</f>
        <v/>
      </c>
      <c r="AF72" s="145">
        <f t="shared" si="21"/>
        <v>0</v>
      </c>
      <c r="AG72" s="143">
        <v>2214</v>
      </c>
      <c r="AH72" s="144">
        <f>IF(AG72=0,"",IFERROR(AG72/AG$19,""))</f>
        <v>4.5009114345654997E-3</v>
      </c>
      <c r="AI72" s="145">
        <f t="shared" si="22"/>
        <v>-2214</v>
      </c>
    </row>
    <row r="73" spans="1:35" x14ac:dyDescent="0.35">
      <c r="A73" s="11"/>
      <c r="B73" s="11"/>
      <c r="C73" s="11"/>
      <c r="D73" s="11"/>
      <c r="E73" s="11"/>
      <c r="F73" s="11"/>
      <c r="G73" s="11"/>
      <c r="H73" s="185" t="s">
        <v>323</v>
      </c>
      <c r="I73" s="122" t="str">
        <f>IF(_epmOfflineCondition_,"T6",_xll.EVPRO($B$1,$H73,"STYLE"))</f>
        <v>T6</v>
      </c>
      <c r="J73" s="122" t="str">
        <f>IF(_epmOfflineCondition_,"Y",_xll.EVPRO($B$1,$H73,"CALC"))</f>
        <v>Y</v>
      </c>
      <c r="K73" s="90"/>
      <c r="L73" s="90" t="str">
        <f>IF(_epmOfflineCondition_,"465300",_xll.EVPRO($B$1,H73,"JDEID"))</f>
        <v>465300</v>
      </c>
      <c r="M73" s="90" t="str">
        <f>IF(_epmOfflineCondition_,"",IF(AND(I73="N",J73="N"),_xll.EVPRO($B$1,H73,"PSFTID"),""))</f>
        <v/>
      </c>
      <c r="N73" s="90" t="str">
        <f>IF(_epmOfflineCondition_,"Private Dining Beer",IF(_xll.EVDES(H73,$B$1)="#NODATA","",_xll.EVDES(H73,$B$1)))</f>
        <v>Private Dining Beer</v>
      </c>
      <c r="O73" s="143"/>
      <c r="P73" s="143"/>
      <c r="Q73" s="143"/>
      <c r="R73" s="143"/>
      <c r="S73" s="143"/>
      <c r="T73" s="143"/>
      <c r="U73" s="143"/>
      <c r="V73" s="143"/>
      <c r="W73" s="143"/>
      <c r="X73" s="143"/>
      <c r="Y73" s="143"/>
      <c r="Z73" s="143"/>
      <c r="AA73" s="143">
        <f t="shared" si="20"/>
        <v>0</v>
      </c>
      <c r="AB73" s="144" t="str">
        <f>IF(AA73=0,"",IFERROR(AA73/AA$19,""))</f>
        <v/>
      </c>
      <c r="AC73" s="140"/>
      <c r="AD73" s="143"/>
      <c r="AE73" s="144" t="str">
        <f>IF(AD73=0,"",IFERROR(AD73/AD$19,""))</f>
        <v/>
      </c>
      <c r="AF73" s="145">
        <f t="shared" si="21"/>
        <v>0</v>
      </c>
      <c r="AG73" s="143">
        <v>748</v>
      </c>
      <c r="AH73" s="144">
        <f>IF(AG73=0,"",IFERROR(AG73/AG$19,""))</f>
        <v>1.5206331314611533E-3</v>
      </c>
      <c r="AI73" s="145">
        <f t="shared" si="22"/>
        <v>-748</v>
      </c>
    </row>
    <row r="74" spans="1:35" x14ac:dyDescent="0.35">
      <c r="A74" s="11"/>
      <c r="B74" s="11"/>
      <c r="C74" s="11"/>
      <c r="D74" s="11"/>
      <c r="E74" s="11"/>
      <c r="F74" s="11"/>
      <c r="G74" s="11"/>
      <c r="H74" s="185" t="s">
        <v>322</v>
      </c>
      <c r="I74" s="122" t="str">
        <f>IF(_epmOfflineCondition_,"T6",_xll.EVPRO($B$1,$H74,"STYLE"))</f>
        <v>T6</v>
      </c>
      <c r="J74" s="122" t="str">
        <f>IF(_epmOfflineCondition_,"Y",_xll.EVPRO($B$1,$H74,"CALC"))</f>
        <v>Y</v>
      </c>
      <c r="K74" s="90"/>
      <c r="L74" s="90" t="str">
        <f>IF(_epmOfflineCondition_,"465400",_xll.EVPRO($B$1,H74,"JDEID"))</f>
        <v>465400</v>
      </c>
      <c r="M74" s="90" t="str">
        <f>IF(_epmOfflineCondition_,"",IF(AND(I74="N",J74="N"),_xll.EVPRO($B$1,H74,"PSFTID"),""))</f>
        <v/>
      </c>
      <c r="N74" s="90" t="str">
        <f>IF(_epmOfflineCondition_,"Private Dining Wine",IF(_xll.EVDES(H74,$B$1)="#NODATA","",_xll.EVDES(H74,$B$1)))</f>
        <v>Private Dining Wine</v>
      </c>
      <c r="O74" s="217"/>
      <c r="P74" s="217"/>
      <c r="Q74" s="217"/>
      <c r="R74" s="217"/>
      <c r="S74" s="217"/>
      <c r="T74" s="217"/>
      <c r="U74" s="217"/>
      <c r="V74" s="217"/>
      <c r="W74" s="217"/>
      <c r="X74" s="217"/>
      <c r="Y74" s="217"/>
      <c r="Z74" s="217"/>
      <c r="AA74" s="217">
        <f t="shared" si="20"/>
        <v>0</v>
      </c>
      <c r="AB74" s="219" t="str">
        <f>IF(AA74=0,"",IFERROR(AA74/AA$19,""))</f>
        <v/>
      </c>
      <c r="AC74" s="140"/>
      <c r="AD74" s="217"/>
      <c r="AE74" s="219" t="str">
        <f>IF(AD74=0,"",IFERROR(AD74/AD$19,""))</f>
        <v/>
      </c>
      <c r="AF74" s="220">
        <f t="shared" si="21"/>
        <v>0</v>
      </c>
      <c r="AG74" s="217">
        <v>40</v>
      </c>
      <c r="AH74" s="219">
        <f>IF(AG74=0,"",IFERROR(AG74/AG$19,""))</f>
        <v>8.1317279757280934E-5</v>
      </c>
      <c r="AI74" s="220">
        <f t="shared" si="22"/>
        <v>-40</v>
      </c>
    </row>
    <row r="75" spans="1:35" x14ac:dyDescent="0.35">
      <c r="A75" s="11"/>
      <c r="B75" s="11"/>
      <c r="C75" s="11"/>
      <c r="D75" s="11"/>
      <c r="E75" s="11"/>
      <c r="F75" s="11"/>
      <c r="G75" s="11"/>
      <c r="H75" s="185" t="s">
        <v>329</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IF(_epmOfflineCondition_,"Private Dining Revenue",IF(_xll.EVDES(H75,$B$1)="#NODATA","",_xll.EVDES(H75,$B$1)))</f>
        <v>Private Dining Revenue</v>
      </c>
      <c r="O75" s="166"/>
      <c r="P75" s="166"/>
      <c r="Q75" s="166"/>
      <c r="R75" s="166"/>
      <c r="S75" s="166"/>
      <c r="T75" s="166"/>
      <c r="U75" s="166"/>
      <c r="V75" s="166"/>
      <c r="W75" s="166"/>
      <c r="X75" s="166"/>
      <c r="Y75" s="166"/>
      <c r="Z75" s="166"/>
      <c r="AA75" s="166">
        <f t="shared" si="20"/>
        <v>0</v>
      </c>
      <c r="AB75" s="167" t="str">
        <f>IF(AA75=0,"",IFERROR(AA75/AA$19,""))</f>
        <v/>
      </c>
      <c r="AC75" s="140"/>
      <c r="AD75" s="166"/>
      <c r="AE75" s="167" t="str">
        <f>IF(AD75=0,"",IFERROR(AD75/AD$19,""))</f>
        <v/>
      </c>
      <c r="AF75" s="168">
        <f t="shared" si="21"/>
        <v>0</v>
      </c>
      <c r="AG75" s="166">
        <v>7052</v>
      </c>
      <c r="AH75" s="167">
        <f>IF(AG75=0,"",IFERROR(AG75/AG$19,""))</f>
        <v>1.4336236421208627E-2</v>
      </c>
      <c r="AI75" s="168">
        <f t="shared" si="22"/>
        <v>-7052</v>
      </c>
    </row>
    <row r="76" spans="1:35" x14ac:dyDescent="0.35">
      <c r="A76" s="11"/>
      <c r="B76" s="11"/>
      <c r="C76" s="11"/>
      <c r="D76" s="11"/>
      <c r="E76" s="11"/>
      <c r="F76" s="11"/>
      <c r="G76" s="11"/>
      <c r="H76" s="185" t="s">
        <v>300</v>
      </c>
      <c r="I76" s="122" t="str">
        <f>IF(_epmOfflineCondition_,"N",_xll.EVPRO($B$1,$H76,"STYLE"))</f>
        <v>N</v>
      </c>
      <c r="J76" s="122" t="str">
        <f>IF(_epmOfflineCondition_,"N",_xll.EVPRO($B$1,$H76,"CALC"))</f>
        <v>N</v>
      </c>
      <c r="K76" s="90"/>
      <c r="L76" s="90" t="str">
        <f>IF(_epmOfflineCondition_,"946400",_xll.EVPRO($B$1,H76,"JDEID"))</f>
        <v>946400</v>
      </c>
      <c r="M76" s="90" t="str">
        <f>IF(_epmOfflineCondition_,"991510",IF(AND(I76="N",J76="N"),_xll.EVPRO($B$1,H76,"PSFTID"),""))</f>
        <v>991510</v>
      </c>
      <c r="N76" s="90" t="str">
        <f>IF(_epmOfflineCondition_,"Private Dining Customers",IF(_xll.EVDES(H76,$B$1)="#NODATA","",_xll.EVDES(H76,$B$1)))</f>
        <v>Private Dining Customers</v>
      </c>
      <c r="O76" s="210"/>
      <c r="P76" s="210"/>
      <c r="Q76" s="210"/>
      <c r="R76" s="210"/>
      <c r="S76" s="210"/>
      <c r="T76" s="210"/>
      <c r="U76" s="210"/>
      <c r="V76" s="210"/>
      <c r="W76" s="210"/>
      <c r="X76" s="210"/>
      <c r="Y76" s="210"/>
      <c r="Z76" s="210"/>
      <c r="AA76" s="210">
        <f t="shared" si="20"/>
        <v>0</v>
      </c>
      <c r="AB76" s="211" t="str">
        <f>IF(AA76=0,"",IFERROR(AA76/AA$104,""))</f>
        <v/>
      </c>
      <c r="AC76" s="140"/>
      <c r="AD76" s="210"/>
      <c r="AE76" s="211" t="str">
        <f>IF(AD76=0,"",IFERROR(AD76/AD$104,""))</f>
        <v/>
      </c>
      <c r="AF76" s="253">
        <f t="shared" si="21"/>
        <v>0</v>
      </c>
      <c r="AG76" s="210">
        <v>150</v>
      </c>
      <c r="AH76" s="211">
        <f>IF(AG76=0,"",IFERROR(AG76/AG$104,""))</f>
        <v>8.7249883666821772E-3</v>
      </c>
      <c r="AI76" s="253">
        <f t="shared" si="22"/>
        <v>-150</v>
      </c>
    </row>
    <row r="77" spans="1:35" x14ac:dyDescent="0.35">
      <c r="A77" s="11"/>
      <c r="B77" s="11"/>
      <c r="C77" s="11"/>
      <c r="D77" s="11"/>
      <c r="E77" s="11"/>
      <c r="F77" s="11"/>
      <c r="G77" s="11"/>
      <c r="H77" s="185" t="s">
        <v>325</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IF(_epmOfflineCondition_,"Private Dining - Average Check",IF(_xll.EVDES(H77,$B$1)="#NODATA","",_xll.EVDES(H77,$B$1)))</f>
        <v>Private Dining - Average Check</v>
      </c>
      <c r="O77" s="495"/>
      <c r="P77" s="495"/>
      <c r="Q77" s="495"/>
      <c r="R77" s="495"/>
      <c r="S77" s="495"/>
      <c r="T77" s="495"/>
      <c r="U77" s="495"/>
      <c r="V77" s="495"/>
      <c r="W77" s="495"/>
      <c r="X77" s="495"/>
      <c r="Y77" s="495"/>
      <c r="Z77" s="495"/>
      <c r="AA77" s="495" t="str">
        <f>IFERROR(AA75/AA76,"")</f>
        <v/>
      </c>
      <c r="AB77" s="495"/>
      <c r="AC77" s="140"/>
      <c r="AD77" s="495"/>
      <c r="AE77" s="495"/>
      <c r="AF77" s="496" t="str">
        <f t="shared" si="21"/>
        <v/>
      </c>
      <c r="AG77" s="495">
        <v>47.0133333333333</v>
      </c>
      <c r="AH77" s="495"/>
      <c r="AI77" s="496" t="e">
        <f t="shared" si="22"/>
        <v>#VALUE!</v>
      </c>
    </row>
    <row r="78" spans="1:35" x14ac:dyDescent="0.35">
      <c r="A78" s="11"/>
      <c r="B78" s="11"/>
      <c r="C78" s="11"/>
      <c r="D78" s="11"/>
      <c r="E78" s="11"/>
      <c r="F78" s="11"/>
      <c r="G78" s="490">
        <f>COUNTIF(O79:AI79,FALSE)</f>
        <v>0</v>
      </c>
      <c r="H78" s="88"/>
      <c r="I78" s="122"/>
      <c r="J78" s="122"/>
      <c r="K78" s="90"/>
      <c r="L78" s="90"/>
      <c r="M78" s="90"/>
      <c r="N78" s="491" t="s">
        <v>345</v>
      </c>
      <c r="O78" s="497">
        <f t="shared" ref="O78:AA78" si="23">ROUND(IFERROR(O75/O76,0),2)</f>
        <v>0</v>
      </c>
      <c r="P78" s="498">
        <f t="shared" si="23"/>
        <v>0</v>
      </c>
      <c r="Q78" s="498">
        <f t="shared" si="23"/>
        <v>0</v>
      </c>
      <c r="R78" s="498">
        <f t="shared" si="23"/>
        <v>0</v>
      </c>
      <c r="S78" s="498">
        <f t="shared" si="23"/>
        <v>0</v>
      </c>
      <c r="T78" s="498">
        <f t="shared" si="23"/>
        <v>0</v>
      </c>
      <c r="U78" s="498">
        <f t="shared" si="23"/>
        <v>0</v>
      </c>
      <c r="V78" s="498">
        <f t="shared" si="23"/>
        <v>0</v>
      </c>
      <c r="W78" s="498">
        <f t="shared" si="23"/>
        <v>0</v>
      </c>
      <c r="X78" s="498">
        <f t="shared" si="23"/>
        <v>0</v>
      </c>
      <c r="Y78" s="498">
        <f t="shared" si="23"/>
        <v>0</v>
      </c>
      <c r="Z78" s="498">
        <f t="shared" si="23"/>
        <v>0</v>
      </c>
      <c r="AA78" s="498">
        <f t="shared" si="23"/>
        <v>0</v>
      </c>
      <c r="AB78" s="499"/>
      <c r="AC78" s="140"/>
      <c r="AD78" s="497">
        <f>ROUND(IFERROR(AD75/AD76,0),2)</f>
        <v>0</v>
      </c>
      <c r="AE78" s="498"/>
      <c r="AF78" s="159"/>
      <c r="AG78" s="497">
        <f>ROUND(IFERROR(AG75/AG76,0),2)</f>
        <v>47.01</v>
      </c>
      <c r="AH78" s="498"/>
      <c r="AI78" s="159"/>
    </row>
    <row r="79" spans="1:35" x14ac:dyDescent="0.35">
      <c r="A79" s="11"/>
      <c r="B79" s="11"/>
      <c r="C79" s="11"/>
      <c r="D79" s="11"/>
      <c r="E79" s="11"/>
      <c r="F79" s="11"/>
      <c r="G79" s="11"/>
      <c r="H79" s="185"/>
      <c r="I79" s="122"/>
      <c r="J79" s="122"/>
      <c r="K79" s="90"/>
      <c r="L79" s="90"/>
      <c r="M79" s="90"/>
      <c r="N79" s="53" t="s">
        <v>807</v>
      </c>
      <c r="O79" s="500" t="b">
        <f t="shared" ref="O79:AA79" si="24">ROUND(O77,2)=ROUND(O78,2)</f>
        <v>1</v>
      </c>
      <c r="P79" s="501" t="b">
        <f t="shared" si="24"/>
        <v>1</v>
      </c>
      <c r="Q79" s="501" t="b">
        <f t="shared" si="24"/>
        <v>1</v>
      </c>
      <c r="R79" s="501" t="b">
        <f t="shared" si="24"/>
        <v>1</v>
      </c>
      <c r="S79" s="501" t="b">
        <f t="shared" si="24"/>
        <v>1</v>
      </c>
      <c r="T79" s="501" t="b">
        <f t="shared" si="24"/>
        <v>1</v>
      </c>
      <c r="U79" s="501" t="b">
        <f t="shared" si="24"/>
        <v>1</v>
      </c>
      <c r="V79" s="501" t="b">
        <f t="shared" si="24"/>
        <v>1</v>
      </c>
      <c r="W79" s="501" t="b">
        <f t="shared" si="24"/>
        <v>1</v>
      </c>
      <c r="X79" s="501" t="b">
        <f t="shared" si="24"/>
        <v>1</v>
      </c>
      <c r="Y79" s="501" t="b">
        <f t="shared" si="24"/>
        <v>1</v>
      </c>
      <c r="Z79" s="501" t="b">
        <f t="shared" si="24"/>
        <v>1</v>
      </c>
      <c r="AA79" s="501" t="e">
        <f t="shared" si="24"/>
        <v>#VALUE!</v>
      </c>
      <c r="AB79" s="502"/>
      <c r="AC79" s="503"/>
      <c r="AD79" s="500"/>
      <c r="AE79" s="501" t="b">
        <f>ROUND(AD77,2)=ROUND(AD78,2)</f>
        <v>1</v>
      </c>
      <c r="AF79" s="502"/>
      <c r="AG79" s="500"/>
      <c r="AH79" s="501" t="b">
        <f>ROUND(AG77,2)=ROUND(AG78,2)</f>
        <v>1</v>
      </c>
      <c r="AI79" s="502"/>
    </row>
    <row r="80" spans="1:35" x14ac:dyDescent="0.35">
      <c r="A80" s="11"/>
      <c r="B80" s="11"/>
      <c r="C80" s="11"/>
      <c r="D80" s="11"/>
      <c r="E80" s="11"/>
      <c r="F80" s="11"/>
      <c r="G80" s="11"/>
      <c r="H80" s="185" t="s">
        <v>790</v>
      </c>
      <c r="I80" s="122" t="str">
        <f>IF(_epmOfflineCondition_,"N",_xll.EVPRO($B$1,$H80,"STYLE"))</f>
        <v>N</v>
      </c>
      <c r="J80" s="122" t="str">
        <f>IF(_epmOfflineCondition_,"N",_xll.EVPRO($B$1,$H80,"CALC"))</f>
        <v>N</v>
      </c>
      <c r="K80" s="90"/>
      <c r="L80" s="90" t="str">
        <f>IF(_epmOfflineCondition_,"471110",_xll.EVPRO($B$1,H80,"JDEID"))</f>
        <v>471110</v>
      </c>
      <c r="M80" s="90" t="str">
        <f>IF(_epmOfflineCondition_,"201017",IF(AND(I80="N",J80="N"),_xll.EVPRO($B$1,H80,"PSFTID"),""))</f>
        <v>201017</v>
      </c>
      <c r="N80" s="90" t="str">
        <f>IF(_epmOfflineCondition_,"Reception Food",IF(_xll.EVDES(H80,$B$1)="#NODATA","",_xll.EVDES(H80,$B$1)))</f>
        <v>Reception Food</v>
      </c>
      <c r="O80" s="143"/>
      <c r="P80" s="143"/>
      <c r="Q80" s="143"/>
      <c r="R80" s="143"/>
      <c r="S80" s="143"/>
      <c r="T80" s="143"/>
      <c r="U80" s="143"/>
      <c r="V80" s="143"/>
      <c r="W80" s="143"/>
      <c r="X80" s="143"/>
      <c r="Y80" s="143"/>
      <c r="Z80" s="143"/>
      <c r="AA80" s="143">
        <f t="shared" ref="AA80:AA85" si="25">SUM(O80:Z80)</f>
        <v>0</v>
      </c>
      <c r="AB80" s="144" t="str">
        <f>IF(AA80=0,"",IFERROR(AA80/AA$19,""))</f>
        <v/>
      </c>
      <c r="AC80" s="140"/>
      <c r="AD80" s="143"/>
      <c r="AE80" s="144" t="str">
        <f>IF(AD80=0,"",IFERROR(AD80/AD$19,""))</f>
        <v/>
      </c>
      <c r="AF80" s="145">
        <f t="shared" ref="AF80:AF86" si="26">IF(AND($AA80="",AD80=""),"",$AA80-AD80)</f>
        <v>0</v>
      </c>
      <c r="AG80" s="143">
        <v>3765</v>
      </c>
      <c r="AH80" s="144">
        <f>IF(AG80=0,"",IFERROR(AG80/AG$19,""))</f>
        <v>7.6539889571540674E-3</v>
      </c>
      <c r="AI80" s="145">
        <f t="shared" ref="AI80:AI86" si="27">IF(AND($AA80="",AG80=""),"",$AA80-AG80)</f>
        <v>-3765</v>
      </c>
    </row>
    <row r="81" spans="1:35" x14ac:dyDescent="0.35">
      <c r="A81" s="11"/>
      <c r="B81" s="11"/>
      <c r="C81" s="11"/>
      <c r="D81" s="11"/>
      <c r="E81" s="11"/>
      <c r="F81" s="11"/>
      <c r="G81" s="11"/>
      <c r="H81" s="185" t="s">
        <v>808</v>
      </c>
      <c r="I81" s="122" t="str">
        <f>IF(_epmOfflineCondition_,"N",_xll.EVPRO($B$1,$H81,"STYLE"))</f>
        <v>N</v>
      </c>
      <c r="J81" s="122" t="str">
        <f>IF(_epmOfflineCondition_,"N",_xll.EVPRO($B$1,$H81,"CALC"))</f>
        <v>N</v>
      </c>
      <c r="K81" s="90"/>
      <c r="L81" s="90" t="str">
        <f>IF(_epmOfflineCondition_,"471210",_xll.EVPRO($B$1,H81,"JDEID"))</f>
        <v>471210</v>
      </c>
      <c r="M81" s="90" t="str">
        <f>IF(_epmOfflineCondition_,"NA",IF(AND(I81="N",J81="N"),_xll.EVPRO($B$1,H81,"PSFTID"),""))</f>
        <v>NA</v>
      </c>
      <c r="N81" s="90" t="str">
        <f>IF(_epmOfflineCondition_,"Reception Liquor",IF(_xll.EVDES(H81,$B$1)="#NODATA","",_xll.EVDES(H81,$B$1)))</f>
        <v>Reception Liquor</v>
      </c>
      <c r="O81" s="143"/>
      <c r="P81" s="143"/>
      <c r="Q81" s="143"/>
      <c r="R81" s="143"/>
      <c r="S81" s="143"/>
      <c r="T81" s="143"/>
      <c r="U81" s="143"/>
      <c r="V81" s="143"/>
      <c r="W81" s="143"/>
      <c r="X81" s="143"/>
      <c r="Y81" s="143"/>
      <c r="Z81" s="143"/>
      <c r="AA81" s="143">
        <f t="shared" si="25"/>
        <v>0</v>
      </c>
      <c r="AB81" s="144" t="str">
        <f>IF(AA81=0,"",IFERROR(AA81/AA$19,""))</f>
        <v/>
      </c>
      <c r="AC81" s="140"/>
      <c r="AD81" s="143"/>
      <c r="AE81" s="144" t="str">
        <f>IF(AD81=0,"",IFERROR(AD81/AD$19,""))</f>
        <v/>
      </c>
      <c r="AF81" s="145">
        <f t="shared" si="26"/>
        <v>0</v>
      </c>
      <c r="AG81" s="143">
        <v>689</v>
      </c>
      <c r="AH81" s="144">
        <f>IF(AG81=0,"",IFERROR(AG81/AG$19,""))</f>
        <v>1.4006901438191641E-3</v>
      </c>
      <c r="AI81" s="145">
        <f t="shared" si="27"/>
        <v>-689</v>
      </c>
    </row>
    <row r="82" spans="1:35" x14ac:dyDescent="0.35">
      <c r="A82" s="11"/>
      <c r="B82" s="11"/>
      <c r="C82" s="11"/>
      <c r="D82" s="11"/>
      <c r="E82" s="11"/>
      <c r="F82" s="11"/>
      <c r="G82" s="11"/>
      <c r="H82" s="185" t="s">
        <v>809</v>
      </c>
      <c r="I82" s="122" t="str">
        <f>IF(_epmOfflineCondition_,"N",_xll.EVPRO($B$1,$H82,"STYLE"))</f>
        <v>N</v>
      </c>
      <c r="J82" s="122" t="str">
        <f>IF(_epmOfflineCondition_,"N",_xll.EVPRO($B$1,$H82,"CALC"))</f>
        <v>N</v>
      </c>
      <c r="K82" s="90"/>
      <c r="L82" s="90" t="str">
        <f>IF(_epmOfflineCondition_,"471310",_xll.EVPRO($B$1,H82,"JDEID"))</f>
        <v>471310</v>
      </c>
      <c r="M82" s="90" t="str">
        <f>IF(_epmOfflineCondition_,"NA",IF(AND(I82="N",J82="N"),_xll.EVPRO($B$1,H82,"PSFTID"),""))</f>
        <v>NA</v>
      </c>
      <c r="N82" s="90" t="str">
        <f>IF(_epmOfflineCondition_,"Reception Beer",IF(_xll.EVDES(H82,$B$1)="#NODATA","",_xll.EVDES(H82,$B$1)))</f>
        <v>Reception Beer</v>
      </c>
      <c r="O82" s="143"/>
      <c r="P82" s="143"/>
      <c r="Q82" s="143"/>
      <c r="R82" s="143"/>
      <c r="S82" s="143"/>
      <c r="T82" s="143"/>
      <c r="U82" s="143"/>
      <c r="V82" s="143"/>
      <c r="W82" s="143"/>
      <c r="X82" s="143"/>
      <c r="Y82" s="143"/>
      <c r="Z82" s="143"/>
      <c r="AA82" s="143">
        <f t="shared" si="25"/>
        <v>0</v>
      </c>
      <c r="AB82" s="144" t="str">
        <f>IF(AA82=0,"",IFERROR(AA82/AA$19,""))</f>
        <v/>
      </c>
      <c r="AC82" s="140"/>
      <c r="AD82" s="143"/>
      <c r="AE82" s="144" t="str">
        <f>IF(AD82=0,"",IFERROR(AD82/AD$19,""))</f>
        <v/>
      </c>
      <c r="AF82" s="145">
        <f t="shared" si="26"/>
        <v>0</v>
      </c>
      <c r="AG82" s="143">
        <v>125</v>
      </c>
      <c r="AH82" s="144">
        <f>IF(AG82=0,"",IFERROR(AG82/AG$19,""))</f>
        <v>2.5411649924150293E-4</v>
      </c>
      <c r="AI82" s="145">
        <f t="shared" si="27"/>
        <v>-125</v>
      </c>
    </row>
    <row r="83" spans="1:35" x14ac:dyDescent="0.35">
      <c r="A83" s="11"/>
      <c r="B83" s="11"/>
      <c r="C83" s="11"/>
      <c r="D83" s="11"/>
      <c r="E83" s="11"/>
      <c r="F83" s="11"/>
      <c r="G83" s="11"/>
      <c r="H83" s="185" t="s">
        <v>810</v>
      </c>
      <c r="I83" s="122" t="str">
        <f>IF(_epmOfflineCondition_,"N",_xll.EVPRO($B$1,$H83,"STYLE"))</f>
        <v>N</v>
      </c>
      <c r="J83" s="122" t="str">
        <f>IF(_epmOfflineCondition_,"N",_xll.EVPRO($B$1,$H83,"CALC"))</f>
        <v>N</v>
      </c>
      <c r="K83" s="90"/>
      <c r="L83" s="90" t="str">
        <f>IF(_epmOfflineCondition_,"471410",_xll.EVPRO($B$1,H83,"JDEID"))</f>
        <v>471410</v>
      </c>
      <c r="M83" s="90" t="str">
        <f>IF(_epmOfflineCondition_,"NA",IF(AND(I83="N",J83="N"),_xll.EVPRO($B$1,H83,"PSFTID"),""))</f>
        <v>NA</v>
      </c>
      <c r="N83" s="90" t="str">
        <f>IF(_epmOfflineCondition_,"Reception Wine",IF(_xll.EVDES(H83,$B$1)="#NODATA","",_xll.EVDES(H83,$B$1)))</f>
        <v>Reception Wine</v>
      </c>
      <c r="O83" s="217"/>
      <c r="P83" s="217"/>
      <c r="Q83" s="217"/>
      <c r="R83" s="217"/>
      <c r="S83" s="217"/>
      <c r="T83" s="217"/>
      <c r="U83" s="217"/>
      <c r="V83" s="217"/>
      <c r="W83" s="217"/>
      <c r="X83" s="217"/>
      <c r="Y83" s="217"/>
      <c r="Z83" s="217"/>
      <c r="AA83" s="217">
        <f t="shared" si="25"/>
        <v>0</v>
      </c>
      <c r="AB83" s="219" t="str">
        <f>IF(AA83=0,"",IFERROR(AA83/AA$19,""))</f>
        <v/>
      </c>
      <c r="AC83" s="140"/>
      <c r="AD83" s="217"/>
      <c r="AE83" s="219" t="str">
        <f>IF(AD83=0,"",IFERROR(AD83/AD$19,""))</f>
        <v/>
      </c>
      <c r="AF83" s="220">
        <f t="shared" si="26"/>
        <v>0</v>
      </c>
      <c r="AG83" s="217">
        <v>2108</v>
      </c>
      <c r="AH83" s="219">
        <f>IF(AG83=0,"",IFERROR(AG83/AG$19,""))</f>
        <v>4.2854206432087049E-3</v>
      </c>
      <c r="AI83" s="220">
        <f t="shared" si="27"/>
        <v>-2108</v>
      </c>
    </row>
    <row r="84" spans="1:35" x14ac:dyDescent="0.35">
      <c r="A84" s="11"/>
      <c r="B84" s="11"/>
      <c r="C84" s="11"/>
      <c r="D84" s="11"/>
      <c r="E84" s="11"/>
      <c r="F84" s="11"/>
      <c r="G84" s="11"/>
      <c r="H84" s="185" t="s">
        <v>811</v>
      </c>
      <c r="I84" s="122" t="str">
        <f>IF(_epmOfflineCondition_,"N",_xll.EVPRO($B$1,$H84,"STYLE"))</f>
        <v>N</v>
      </c>
      <c r="J84" s="122" t="str">
        <f>IF(_epmOfflineCondition_,"Y",_xll.EVPRO($B$1,$H84,"CALC"))</f>
        <v>Y</v>
      </c>
      <c r="K84" s="90"/>
      <c r="L84" s="90" t="str">
        <f>IF(_epmOfflineCondition_,"",_xll.EVPRO($B$1,H84,"JDEID"))</f>
        <v/>
      </c>
      <c r="M84" s="90" t="str">
        <f>IF(_epmOfflineCondition_,"",IF(AND(I84="N",J84="N"),_xll.EVPRO($B$1,H84,"PSFTID"),""))</f>
        <v/>
      </c>
      <c r="N84" s="106" t="str">
        <f>IF(_epmOfflineCondition_,"Reception Revenue",IF(_xll.EVDES(H84,$B$1)="#NODATA","",_xll.EVDES(H84,$B$1)))</f>
        <v>Reception Revenue</v>
      </c>
      <c r="O84" s="166"/>
      <c r="P84" s="166"/>
      <c r="Q84" s="166"/>
      <c r="R84" s="166"/>
      <c r="S84" s="166"/>
      <c r="T84" s="166"/>
      <c r="U84" s="166"/>
      <c r="V84" s="166"/>
      <c r="W84" s="166"/>
      <c r="X84" s="166"/>
      <c r="Y84" s="166"/>
      <c r="Z84" s="166"/>
      <c r="AA84" s="166">
        <f t="shared" si="25"/>
        <v>0</v>
      </c>
      <c r="AB84" s="167" t="str">
        <f>IF(AA84=0,"",IFERROR(AA84/AA$19,""))</f>
        <v/>
      </c>
      <c r="AC84" s="140"/>
      <c r="AD84" s="166"/>
      <c r="AE84" s="167" t="str">
        <f>IF(AD84=0,"",IFERROR(AD84/AD$19,""))</f>
        <v/>
      </c>
      <c r="AF84" s="168">
        <f t="shared" si="26"/>
        <v>0</v>
      </c>
      <c r="AG84" s="166">
        <v>6687</v>
      </c>
      <c r="AH84" s="167">
        <f>IF(AG84=0,"",IFERROR(AG84/AG$19,""))</f>
        <v>1.359421624342344E-2</v>
      </c>
      <c r="AI84" s="168">
        <f t="shared" si="27"/>
        <v>-6687</v>
      </c>
    </row>
    <row r="85" spans="1:35" x14ac:dyDescent="0.35">
      <c r="A85" s="11"/>
      <c r="B85" s="11"/>
      <c r="C85" s="11"/>
      <c r="D85" s="11"/>
      <c r="E85" s="11"/>
      <c r="F85" s="11"/>
      <c r="G85" s="11"/>
      <c r="H85" s="185" t="s">
        <v>812</v>
      </c>
      <c r="I85" s="122" t="str">
        <f>IF(_epmOfflineCondition_,"N",_xll.EVPRO($B$1,$H85,"STYLE"))</f>
        <v>N</v>
      </c>
      <c r="J85" s="122" t="str">
        <f>IF(_epmOfflineCondition_,"N",_xll.EVPRO($B$1,$H85,"CALC"))</f>
        <v>N</v>
      </c>
      <c r="K85" s="90"/>
      <c r="L85" s="90" t="str">
        <f>IF(_epmOfflineCondition_,"946700",_xll.EVPRO($B$1,H85,"JDEID"))</f>
        <v>946700</v>
      </c>
      <c r="M85" s="90" t="str">
        <f>IF(_epmOfflineCondition_,"991508",IF(AND(I85="N",J85="N"),_xll.EVPRO($B$1,H85,"PSFTID"),""))</f>
        <v>991508</v>
      </c>
      <c r="N85" s="90" t="str">
        <f>IF(_epmOfflineCondition_,"Reception Customers",IF(_xll.EVDES(H85,$B$1)="#NODATA","",_xll.EVDES(H85,$B$1)))</f>
        <v>Reception Customers</v>
      </c>
      <c r="O85" s="210"/>
      <c r="P85" s="210"/>
      <c r="Q85" s="210"/>
      <c r="R85" s="210">
        <v>71</v>
      </c>
      <c r="S85" s="210"/>
      <c r="T85" s="210"/>
      <c r="U85" s="210"/>
      <c r="V85" s="210"/>
      <c r="W85" s="210"/>
      <c r="X85" s="210"/>
      <c r="Y85" s="210"/>
      <c r="Z85" s="210"/>
      <c r="AA85" s="210">
        <f t="shared" si="25"/>
        <v>71</v>
      </c>
      <c r="AB85" s="211" t="str">
        <f>IF(AA85=0,"",IFERROR(AA85/AA$84,""))</f>
        <v/>
      </c>
      <c r="AC85" s="140"/>
      <c r="AD85" s="210"/>
      <c r="AE85" s="211" t="str">
        <f>IF(AD85=0,"",IFERROR(AD85/AD$84,""))</f>
        <v/>
      </c>
      <c r="AF85" s="253">
        <f t="shared" si="26"/>
        <v>71</v>
      </c>
      <c r="AG85" s="210">
        <v>105</v>
      </c>
      <c r="AH85" s="211">
        <f>IF(AG85=0,"",IFERROR(AG85/AG$84,""))</f>
        <v>1.5702108568864961E-2</v>
      </c>
      <c r="AI85" s="253">
        <f t="shared" si="27"/>
        <v>-34</v>
      </c>
    </row>
    <row r="86" spans="1:35" x14ac:dyDescent="0.35">
      <c r="A86" s="11"/>
      <c r="B86" s="11"/>
      <c r="C86" s="11"/>
      <c r="D86" s="11"/>
      <c r="E86" s="11"/>
      <c r="F86" s="11"/>
      <c r="G86" s="11"/>
      <c r="H86" s="185" t="s">
        <v>813</v>
      </c>
      <c r="I86" s="122" t="str">
        <f>IF(_epmOfflineCondition_,"N",_xll.EVPRO($B$1,$H86,"STYLE"))</f>
        <v>N</v>
      </c>
      <c r="J86" s="122" t="str">
        <f>IF(_epmOfflineCondition_,"Y",_xll.EVPRO($B$1,$H86,"CALC"))</f>
        <v>Y</v>
      </c>
      <c r="K86" s="90"/>
      <c r="L86" s="90" t="str">
        <f>IF(_epmOfflineCondition_,"",_xll.EVPRO($B$1,H86,"JDEID"))</f>
        <v/>
      </c>
      <c r="M86" s="90" t="str">
        <f>IF(_epmOfflineCondition_,"",IF(AND(I86="N",J86="N"),_xll.EVPRO($B$1,H86,"PSFTID"),""))</f>
        <v/>
      </c>
      <c r="N86" s="190" t="str">
        <f>IF(_epmOfflineCondition_,"Reception Average Check",IF(_xll.EVDES(H86,$B$1)="#NODATA","",_xll.EVDES(H86,$B$1)))</f>
        <v>Reception Average Check</v>
      </c>
      <c r="O86" s="495"/>
      <c r="P86" s="495"/>
      <c r="Q86" s="495"/>
      <c r="R86" s="495"/>
      <c r="S86" s="495"/>
      <c r="T86" s="495"/>
      <c r="U86" s="495"/>
      <c r="V86" s="495"/>
      <c r="W86" s="495"/>
      <c r="X86" s="495"/>
      <c r="Y86" s="495"/>
      <c r="Z86" s="495"/>
      <c r="AA86" s="495">
        <f>IFERROR(AA84/AA85,"")</f>
        <v>0</v>
      </c>
      <c r="AB86" s="495"/>
      <c r="AC86" s="140"/>
      <c r="AD86" s="495"/>
      <c r="AE86" s="495"/>
      <c r="AF86" s="496">
        <f t="shared" si="26"/>
        <v>0</v>
      </c>
      <c r="AG86" s="495">
        <v>63.685714285714297</v>
      </c>
      <c r="AH86" s="495"/>
      <c r="AI86" s="496">
        <f t="shared" si="27"/>
        <v>-63.685714285714297</v>
      </c>
    </row>
    <row r="87" spans="1:35" x14ac:dyDescent="0.35">
      <c r="A87" s="11"/>
      <c r="B87" s="11"/>
      <c r="C87" s="11"/>
      <c r="D87" s="11"/>
      <c r="E87" s="11"/>
      <c r="F87" s="11"/>
      <c r="G87" s="490">
        <f>COUNTIF(O88:AI88,FALSE)</f>
        <v>0</v>
      </c>
      <c r="H87" s="88"/>
      <c r="I87" s="122"/>
      <c r="J87" s="122"/>
      <c r="K87" s="90"/>
      <c r="L87" s="90"/>
      <c r="M87" s="90"/>
      <c r="N87" s="491" t="s">
        <v>345</v>
      </c>
      <c r="O87" s="497">
        <f t="shared" ref="O87:AA87" si="28">ROUND(IFERROR(O84/O85,0),2)</f>
        <v>0</v>
      </c>
      <c r="P87" s="498">
        <f t="shared" si="28"/>
        <v>0</v>
      </c>
      <c r="Q87" s="498">
        <f t="shared" si="28"/>
        <v>0</v>
      </c>
      <c r="R87" s="498">
        <f t="shared" si="28"/>
        <v>0</v>
      </c>
      <c r="S87" s="498">
        <f t="shared" si="28"/>
        <v>0</v>
      </c>
      <c r="T87" s="498">
        <f t="shared" si="28"/>
        <v>0</v>
      </c>
      <c r="U87" s="498">
        <f t="shared" si="28"/>
        <v>0</v>
      </c>
      <c r="V87" s="498">
        <f t="shared" si="28"/>
        <v>0</v>
      </c>
      <c r="W87" s="498">
        <f t="shared" si="28"/>
        <v>0</v>
      </c>
      <c r="X87" s="498">
        <f t="shared" si="28"/>
        <v>0</v>
      </c>
      <c r="Y87" s="498">
        <f t="shared" si="28"/>
        <v>0</v>
      </c>
      <c r="Z87" s="498">
        <f t="shared" si="28"/>
        <v>0</v>
      </c>
      <c r="AA87" s="498">
        <f t="shared" si="28"/>
        <v>0</v>
      </c>
      <c r="AB87" s="499"/>
      <c r="AC87" s="140"/>
      <c r="AD87" s="497">
        <f>ROUND(IFERROR(AD84/AD85,0),2)</f>
        <v>0</v>
      </c>
      <c r="AE87" s="498"/>
      <c r="AF87" s="159"/>
      <c r="AG87" s="497">
        <f>ROUND(IFERROR(AG84/AG85,0),2)</f>
        <v>63.69</v>
      </c>
      <c r="AH87" s="498"/>
      <c r="AI87" s="159"/>
    </row>
    <row r="88" spans="1:35" x14ac:dyDescent="0.35">
      <c r="A88" s="11"/>
      <c r="B88" s="11"/>
      <c r="C88" s="11"/>
      <c r="D88" s="11"/>
      <c r="E88" s="11"/>
      <c r="F88" s="11"/>
      <c r="G88" s="11"/>
      <c r="H88" s="185"/>
      <c r="I88" s="122"/>
      <c r="J88" s="122"/>
      <c r="K88" s="90"/>
      <c r="L88" s="90"/>
      <c r="M88" s="90"/>
      <c r="N88" s="53" t="s">
        <v>814</v>
      </c>
      <c r="O88" s="500" t="b">
        <f t="shared" ref="O88:AA88" si="29">ROUND(O86,2)=ROUND(O87,2)</f>
        <v>1</v>
      </c>
      <c r="P88" s="501" t="b">
        <f t="shared" si="29"/>
        <v>1</v>
      </c>
      <c r="Q88" s="501" t="b">
        <f t="shared" si="29"/>
        <v>1</v>
      </c>
      <c r="R88" s="501" t="b">
        <f t="shared" si="29"/>
        <v>1</v>
      </c>
      <c r="S88" s="501" t="b">
        <f t="shared" si="29"/>
        <v>1</v>
      </c>
      <c r="T88" s="501" t="b">
        <f t="shared" si="29"/>
        <v>1</v>
      </c>
      <c r="U88" s="501" t="b">
        <f t="shared" si="29"/>
        <v>1</v>
      </c>
      <c r="V88" s="501" t="b">
        <f t="shared" si="29"/>
        <v>1</v>
      </c>
      <c r="W88" s="501" t="b">
        <f t="shared" si="29"/>
        <v>1</v>
      </c>
      <c r="X88" s="501" t="b">
        <f t="shared" si="29"/>
        <v>1</v>
      </c>
      <c r="Y88" s="501" t="b">
        <f t="shared" si="29"/>
        <v>1</v>
      </c>
      <c r="Z88" s="501" t="b">
        <f t="shared" si="29"/>
        <v>1</v>
      </c>
      <c r="AA88" s="501" t="b">
        <f t="shared" si="29"/>
        <v>1</v>
      </c>
      <c r="AB88" s="502"/>
      <c r="AC88" s="503"/>
      <c r="AD88" s="500"/>
      <c r="AE88" s="501" t="b">
        <f>ROUND(AD86,2)=ROUND(AD87,2)</f>
        <v>1</v>
      </c>
      <c r="AF88" s="502"/>
      <c r="AG88" s="500"/>
      <c r="AH88" s="501" t="b">
        <f>ROUND(AG86,2)=ROUND(AG87,2)</f>
        <v>1</v>
      </c>
      <c r="AI88" s="502"/>
    </row>
    <row r="89" spans="1:35" x14ac:dyDescent="0.35">
      <c r="A89" s="11"/>
      <c r="B89" s="11"/>
      <c r="C89" s="11"/>
      <c r="D89" s="11"/>
      <c r="E89" s="11"/>
      <c r="F89" s="11"/>
      <c r="G89" s="11"/>
      <c r="H89" s="185" t="s">
        <v>789</v>
      </c>
      <c r="I89" s="122" t="str">
        <f>IF(_epmOfflineCondition_,"N",_xll.EVPRO($B$1,$H89,"STYLE"))</f>
        <v>N</v>
      </c>
      <c r="J89" s="122" t="str">
        <f>IF(_epmOfflineCondition_,"N",_xll.EVPRO($B$1,$H89,"CALC"))</f>
        <v>N</v>
      </c>
      <c r="K89" s="90"/>
      <c r="L89" s="90" t="str">
        <f>IF(_epmOfflineCondition_,"470110",_xll.EVPRO($B$1,H89,"JDEID"))</f>
        <v>470110</v>
      </c>
      <c r="M89" s="90" t="str">
        <f>IF(_epmOfflineCondition_,"201016",IF(AND(I89="N",J89="N"),_xll.EVPRO($B$1,H89,"PSFTID"),""))</f>
        <v>201016</v>
      </c>
      <c r="N89" s="90" t="str">
        <f>IF(_epmOfflineCondition_,"Break Food",IF(_xll.EVDES(H89,$B$1)="#NODATA","",_xll.EVDES(H89,$B$1)))</f>
        <v>Break Food</v>
      </c>
      <c r="O89" s="143"/>
      <c r="P89" s="143"/>
      <c r="Q89" s="143"/>
      <c r="R89" s="143"/>
      <c r="S89" s="143"/>
      <c r="T89" s="143"/>
      <c r="U89" s="143"/>
      <c r="V89" s="143"/>
      <c r="W89" s="143"/>
      <c r="X89" s="143"/>
      <c r="Y89" s="143"/>
      <c r="Z89" s="143"/>
      <c r="AA89" s="143">
        <f>SUM(O89:Z89)</f>
        <v>0</v>
      </c>
      <c r="AB89" s="144" t="str">
        <f>IF(AA89=0,"",IFERROR(AA89/AA$19,""))</f>
        <v/>
      </c>
      <c r="AC89" s="140"/>
      <c r="AD89" s="143"/>
      <c r="AE89" s="144" t="str">
        <f>IF(AD89=0,"",IFERROR(AD89/AD$19,""))</f>
        <v/>
      </c>
      <c r="AF89" s="145">
        <f>IF(AND($AA89="",AD89=""),"",$AA89-AD89)</f>
        <v>0</v>
      </c>
      <c r="AG89" s="143">
        <v>4453</v>
      </c>
      <c r="AH89" s="144">
        <f>IF(AG89=0,"",IFERROR(AG89/AG$19,""))</f>
        <v>9.0526461689793003E-3</v>
      </c>
      <c r="AI89" s="145">
        <f>IF(AND($AA89="",AG89=""),"",$AA89-AG89)</f>
        <v>-4453</v>
      </c>
    </row>
    <row r="90" spans="1:35" x14ac:dyDescent="0.35">
      <c r="A90" s="11"/>
      <c r="B90" s="11"/>
      <c r="C90" s="11"/>
      <c r="D90" s="11"/>
      <c r="E90" s="11"/>
      <c r="F90" s="11"/>
      <c r="G90" s="11"/>
      <c r="H90" s="185" t="s">
        <v>815</v>
      </c>
      <c r="I90" s="122" t="str">
        <f>IF(_epmOfflineCondition_,"N",_xll.EVPRO($B$1,$H90,"STYLE"))</f>
        <v>N</v>
      </c>
      <c r="J90" s="122" t="str">
        <f>IF(_epmOfflineCondition_,"Y",_xll.EVPRO($B$1,$H90,"CALC"))</f>
        <v>Y</v>
      </c>
      <c r="K90" s="90"/>
      <c r="L90" s="90" t="str">
        <f>IF(_epmOfflineCondition_,"",_xll.EVPRO($B$1,H90,"JDEID"))</f>
        <v/>
      </c>
      <c r="M90" s="90" t="str">
        <f>IF(_epmOfflineCondition_,"",IF(AND(I90="N",J90="N"),_xll.EVPRO($B$1,H90,"PSFTID"),""))</f>
        <v/>
      </c>
      <c r="N90" s="106" t="str">
        <f>IF(_epmOfflineCondition_,"Break Revenue",IF(_xll.EVDES(H90,$B$1)="#NODATA","",_xll.EVDES(H90,$B$1)))</f>
        <v>Break Revenue</v>
      </c>
      <c r="O90" s="166"/>
      <c r="P90" s="166"/>
      <c r="Q90" s="166"/>
      <c r="R90" s="166"/>
      <c r="S90" s="166"/>
      <c r="T90" s="166"/>
      <c r="U90" s="166"/>
      <c r="V90" s="166"/>
      <c r="W90" s="166"/>
      <c r="X90" s="166"/>
      <c r="Y90" s="166"/>
      <c r="Z90" s="166"/>
      <c r="AA90" s="166">
        <f>SUM(O90:Z90)</f>
        <v>0</v>
      </c>
      <c r="AB90" s="167" t="str">
        <f>IF(AA90=0,"",IFERROR(AA90/AA$19,""))</f>
        <v/>
      </c>
      <c r="AC90" s="140"/>
      <c r="AD90" s="166"/>
      <c r="AE90" s="167" t="str">
        <f>IF(AD90=0,"",IFERROR(AD90/AD$19,""))</f>
        <v/>
      </c>
      <c r="AF90" s="168">
        <f>IF(AND($AA90="",AD90=""),"",$AA90-AD90)</f>
        <v>0</v>
      </c>
      <c r="AG90" s="166">
        <v>4453</v>
      </c>
      <c r="AH90" s="167">
        <f>IF(AG90=0,"",IFERROR(AG90/AG$19,""))</f>
        <v>9.0526461689793003E-3</v>
      </c>
      <c r="AI90" s="168">
        <f>IF(AND($AA90="",AG90=""),"",$AA90-AG90)</f>
        <v>-4453</v>
      </c>
    </row>
    <row r="91" spans="1:35" x14ac:dyDescent="0.35">
      <c r="A91" s="11"/>
      <c r="B91" s="11"/>
      <c r="C91" s="11"/>
      <c r="D91" s="11"/>
      <c r="E91" s="11"/>
      <c r="F91" s="11"/>
      <c r="G91" s="11"/>
      <c r="H91" s="185" t="s">
        <v>816</v>
      </c>
      <c r="I91" s="122" t="str">
        <f>IF(_epmOfflineCondition_,"N",_xll.EVPRO($B$1,$H91,"STYLE"))</f>
        <v>N</v>
      </c>
      <c r="J91" s="122" t="str">
        <f>IF(_epmOfflineCondition_,"N",_xll.EVPRO($B$1,$H91,"CALC"))</f>
        <v>N</v>
      </c>
      <c r="K91" s="90"/>
      <c r="L91" s="90" t="str">
        <f>IF(_epmOfflineCondition_,"946600",_xll.EVPRO($B$1,H91,"JDEID"))</f>
        <v>946600</v>
      </c>
      <c r="M91" s="90" t="str">
        <f>IF(_epmOfflineCondition_,"991507",IF(AND(I91="N",J91="N"),_xll.EVPRO($B$1,H91,"PSFTID"),""))</f>
        <v>991507</v>
      </c>
      <c r="N91" s="90" t="str">
        <f>IF(_epmOfflineCondition_,"Break Customers",IF(_xll.EVDES(H91,$B$1)="#NODATA","",_xll.EVDES(H91,$B$1)))</f>
        <v>Break Customers</v>
      </c>
      <c r="O91" s="210"/>
      <c r="P91" s="210"/>
      <c r="Q91" s="210"/>
      <c r="R91" s="210"/>
      <c r="S91" s="210"/>
      <c r="T91" s="210"/>
      <c r="U91" s="210"/>
      <c r="V91" s="210"/>
      <c r="W91" s="210"/>
      <c r="X91" s="210"/>
      <c r="Y91" s="210"/>
      <c r="Z91" s="210"/>
      <c r="AA91" s="210">
        <f>SUM(O91:Z91)</f>
        <v>0</v>
      </c>
      <c r="AB91" s="211" t="str">
        <f>IF(AA91=0,"",IFERROR(AA91/AA$84,""))</f>
        <v/>
      </c>
      <c r="AC91" s="140"/>
      <c r="AD91" s="210"/>
      <c r="AE91" s="211" t="str">
        <f>IF(AD91=0,"",IFERROR(AD91/AD$84,""))</f>
        <v/>
      </c>
      <c r="AF91" s="253">
        <f>IF(AND($AA91="",AD91=""),"",$AA91-AD91)</f>
        <v>0</v>
      </c>
      <c r="AG91" s="210">
        <v>192</v>
      </c>
      <c r="AH91" s="211">
        <f>IF(AG91=0,"",IFERROR(AG91/AG$84,""))</f>
        <v>2.8712427097353072E-2</v>
      </c>
      <c r="AI91" s="253">
        <f>IF(AND($AA91="",AG91=""),"",$AA91-AG91)</f>
        <v>-192</v>
      </c>
    </row>
    <row r="92" spans="1:35" x14ac:dyDescent="0.35">
      <c r="A92" s="11"/>
      <c r="B92" s="11"/>
      <c r="C92" s="11"/>
      <c r="D92" s="11"/>
      <c r="E92" s="11"/>
      <c r="F92" s="11"/>
      <c r="G92" s="11"/>
      <c r="H92" s="185" t="s">
        <v>817</v>
      </c>
      <c r="I92" s="122" t="str">
        <f>IF(_epmOfflineCondition_,"N",_xll.EVPRO($B$1,$H92,"STYLE"))</f>
        <v>N</v>
      </c>
      <c r="J92" s="122" t="str">
        <f>IF(_epmOfflineCondition_,"Y",_xll.EVPRO($B$1,$H92,"CALC"))</f>
        <v>Y</v>
      </c>
      <c r="K92" s="90"/>
      <c r="L92" s="90" t="str">
        <f>IF(_epmOfflineCondition_,"",_xll.EVPRO($B$1,H92,"JDEID"))</f>
        <v/>
      </c>
      <c r="M92" s="90" t="str">
        <f>IF(_epmOfflineCondition_,"",IF(AND(I92="N",J92="N"),_xll.EVPRO($B$1,H92,"PSFTID"),""))</f>
        <v/>
      </c>
      <c r="N92" s="190" t="str">
        <f>IF(_epmOfflineCondition_,"Break Average Check",IF(_xll.EVDES(H92,$B$1)="#NODATA","",_xll.EVDES(H92,$B$1)))</f>
        <v>Break Average Check</v>
      </c>
      <c r="O92" s="495"/>
      <c r="P92" s="495"/>
      <c r="Q92" s="495"/>
      <c r="R92" s="495"/>
      <c r="S92" s="495"/>
      <c r="T92" s="495"/>
      <c r="U92" s="495"/>
      <c r="V92" s="495"/>
      <c r="W92" s="495"/>
      <c r="X92" s="495"/>
      <c r="Y92" s="495"/>
      <c r="Z92" s="495"/>
      <c r="AA92" s="495" t="str">
        <f>IFERROR(AA90/AA91,"")</f>
        <v/>
      </c>
      <c r="AB92" s="495"/>
      <c r="AC92" s="140"/>
      <c r="AD92" s="495"/>
      <c r="AE92" s="495"/>
      <c r="AF92" s="496" t="str">
        <f>IF(AND($AA92="",AD92=""),"",$AA92-AD92)</f>
        <v/>
      </c>
      <c r="AG92" s="495">
        <v>23.1927083333333</v>
      </c>
      <c r="AH92" s="495"/>
      <c r="AI92" s="496" t="e">
        <f>IF(AND($AA92="",AG92=""),"",$AA92-AG92)</f>
        <v>#VALUE!</v>
      </c>
    </row>
    <row r="93" spans="1:35" x14ac:dyDescent="0.35">
      <c r="A93" s="11"/>
      <c r="B93" s="11"/>
      <c r="C93" s="208"/>
      <c r="D93" s="11"/>
      <c r="E93" s="11"/>
      <c r="F93" s="11"/>
      <c r="G93" s="490">
        <f>COUNTIF(O94:AI94,FALSE)</f>
        <v>0</v>
      </c>
      <c r="H93" s="88"/>
      <c r="I93" s="122"/>
      <c r="J93" s="122"/>
      <c r="K93" s="90"/>
      <c r="L93" s="90"/>
      <c r="M93" s="90"/>
      <c r="N93" s="491" t="s">
        <v>345</v>
      </c>
      <c r="O93" s="497">
        <f t="shared" ref="O93:AA93" si="30">ROUND(IFERROR(O75/O76,0),2)</f>
        <v>0</v>
      </c>
      <c r="P93" s="498">
        <f t="shared" si="30"/>
        <v>0</v>
      </c>
      <c r="Q93" s="498">
        <f t="shared" si="30"/>
        <v>0</v>
      </c>
      <c r="R93" s="498">
        <f t="shared" si="30"/>
        <v>0</v>
      </c>
      <c r="S93" s="498">
        <f t="shared" si="30"/>
        <v>0</v>
      </c>
      <c r="T93" s="498">
        <f t="shared" si="30"/>
        <v>0</v>
      </c>
      <c r="U93" s="498">
        <f t="shared" si="30"/>
        <v>0</v>
      </c>
      <c r="V93" s="498">
        <f t="shared" si="30"/>
        <v>0</v>
      </c>
      <c r="W93" s="498">
        <f t="shared" si="30"/>
        <v>0</v>
      </c>
      <c r="X93" s="498">
        <f t="shared" si="30"/>
        <v>0</v>
      </c>
      <c r="Y93" s="498">
        <f t="shared" si="30"/>
        <v>0</v>
      </c>
      <c r="Z93" s="498">
        <f t="shared" si="30"/>
        <v>0</v>
      </c>
      <c r="AA93" s="498">
        <f t="shared" si="30"/>
        <v>0</v>
      </c>
      <c r="AB93" s="499"/>
      <c r="AC93" s="140"/>
      <c r="AD93" s="497">
        <f>ROUND(IFERROR(AD75/AD76,0),2)</f>
        <v>0</v>
      </c>
      <c r="AE93" s="498"/>
      <c r="AF93" s="159"/>
      <c r="AG93" s="497">
        <f>ROUND(IFERROR(AG75/AG76,0),2)</f>
        <v>47.01</v>
      </c>
      <c r="AH93" s="498"/>
      <c r="AI93" s="159"/>
    </row>
    <row r="94" spans="1:35" x14ac:dyDescent="0.35">
      <c r="A94" s="11"/>
      <c r="B94" s="11"/>
      <c r="C94" s="208"/>
      <c r="D94" s="11"/>
      <c r="E94" s="11"/>
      <c r="F94" s="11"/>
      <c r="G94" s="11"/>
      <c r="H94" s="88"/>
      <c r="I94" s="122"/>
      <c r="J94" s="122"/>
      <c r="K94" s="90"/>
      <c r="L94" s="90"/>
      <c r="M94" s="90"/>
      <c r="N94" s="53" t="s">
        <v>362</v>
      </c>
      <c r="O94" s="500" t="b">
        <f t="shared" ref="O94:AA94" si="31">ROUND(O77,2)=ROUND(O93,2)</f>
        <v>1</v>
      </c>
      <c r="P94" s="501" t="b">
        <f t="shared" si="31"/>
        <v>1</v>
      </c>
      <c r="Q94" s="501" t="b">
        <f t="shared" si="31"/>
        <v>1</v>
      </c>
      <c r="R94" s="501" t="b">
        <f t="shared" si="31"/>
        <v>1</v>
      </c>
      <c r="S94" s="501" t="b">
        <f t="shared" si="31"/>
        <v>1</v>
      </c>
      <c r="T94" s="501" t="b">
        <f t="shared" si="31"/>
        <v>1</v>
      </c>
      <c r="U94" s="501" t="b">
        <f t="shared" si="31"/>
        <v>1</v>
      </c>
      <c r="V94" s="501" t="b">
        <f t="shared" si="31"/>
        <v>1</v>
      </c>
      <c r="W94" s="501" t="b">
        <f t="shared" si="31"/>
        <v>1</v>
      </c>
      <c r="X94" s="501" t="b">
        <f t="shared" si="31"/>
        <v>1</v>
      </c>
      <c r="Y94" s="501" t="b">
        <f t="shared" si="31"/>
        <v>1</v>
      </c>
      <c r="Z94" s="501" t="b">
        <f t="shared" si="31"/>
        <v>1</v>
      </c>
      <c r="AA94" s="501" t="e">
        <f t="shared" si="31"/>
        <v>#VALUE!</v>
      </c>
      <c r="AB94" s="502"/>
      <c r="AC94" s="503"/>
      <c r="AD94" s="500"/>
      <c r="AE94" s="501" t="b">
        <f>ROUND(AD77,2)=ROUND(AD93,2)</f>
        <v>1</v>
      </c>
      <c r="AF94" s="502"/>
      <c r="AG94" s="500"/>
      <c r="AH94" s="501" t="b">
        <f>ROUND(AG77,2)=ROUND(AG93,2)</f>
        <v>1</v>
      </c>
      <c r="AI94" s="502"/>
    </row>
    <row r="95" spans="1:35" x14ac:dyDescent="0.35">
      <c r="A95" s="11"/>
      <c r="B95" s="11"/>
      <c r="C95" s="208"/>
      <c r="D95" s="11"/>
      <c r="E95" s="11"/>
      <c r="F95" s="11"/>
      <c r="G95" s="11"/>
      <c r="H95" s="88" t="s">
        <v>350</v>
      </c>
      <c r="I95" s="122" t="str">
        <f>IF(_epmOfflineCondition_,"T5",_xll.EVPRO($B$1,$H95,"STYLE"))</f>
        <v>T5</v>
      </c>
      <c r="J95" s="122" t="str">
        <f>IF(_epmOfflineCondition_,"Y",_xll.EVPRO($B$1,$H95,"CALC"))</f>
        <v>Y</v>
      </c>
      <c r="K95" s="90"/>
      <c r="L95" s="90" t="str">
        <f>IF(_epmOfflineCondition_,"467100",_xll.EVPRO($B$1,H95,"JDEID"))</f>
        <v>467100</v>
      </c>
      <c r="M95" s="90" t="str">
        <f>IF(_epmOfflineCondition_,"",IF(AND(I95="N",J95="N"),_xll.EVPRO($B$1,H95,"PSFTID"),""))</f>
        <v/>
      </c>
      <c r="N95" s="90" t="str">
        <f>IF(_epmOfflineCondition_,"Mini Bar Food",IF(_xll.EVDES(H95,$B$1)="#NODATA","",_xll.EVDES(H95,$B$1)))</f>
        <v>Mini Bar Food</v>
      </c>
      <c r="O95" s="143">
        <v>820</v>
      </c>
      <c r="P95" s="143">
        <v>601</v>
      </c>
      <c r="Q95" s="143">
        <v>860.87</v>
      </c>
      <c r="R95" s="143">
        <v>921.59</v>
      </c>
      <c r="S95" s="143">
        <v>1003</v>
      </c>
      <c r="T95" s="143">
        <v>3701</v>
      </c>
      <c r="U95" s="143">
        <v>5354.28</v>
      </c>
      <c r="V95" s="143">
        <v>4288</v>
      </c>
      <c r="W95" s="143">
        <v>3492</v>
      </c>
      <c r="X95" s="143">
        <v>3601</v>
      </c>
      <c r="Y95" s="143">
        <v>5439</v>
      </c>
      <c r="Z95" s="143">
        <v>7092</v>
      </c>
      <c r="AA95" s="143">
        <f>SUM(O95:Z95)</f>
        <v>37173.74</v>
      </c>
      <c r="AB95" s="144">
        <f>IF(AA95=0,"",IFERROR(AA95/AA$19,""))</f>
        <v>2.796492574671252E-2</v>
      </c>
      <c r="AC95" s="140"/>
      <c r="AD95" s="143">
        <v>37525</v>
      </c>
      <c r="AE95" s="144">
        <f>IF(AD95=0,"",IFERROR(AD95/AD$19,""))</f>
        <v>3.0005436208470779E-2</v>
      </c>
      <c r="AF95" s="145">
        <f>IF(AND($AA95="",AD95=""),"",$AA95-AD95)</f>
        <v>-351.26000000000204</v>
      </c>
      <c r="AG95" s="143">
        <v>23660.79</v>
      </c>
      <c r="AH95" s="144">
        <f>IF(AG95=0,"",IFERROR(AG95/AG$19,""))</f>
        <v>4.810077699270688E-2</v>
      </c>
      <c r="AI95" s="145">
        <f>IF(AND($AA95="",AG95=""),"",$AA95-AG95)</f>
        <v>13512.949999999997</v>
      </c>
    </row>
    <row r="96" spans="1:35" x14ac:dyDescent="0.35">
      <c r="A96" s="11"/>
      <c r="B96" s="11"/>
      <c r="C96" s="208"/>
      <c r="D96" s="11"/>
      <c r="E96" s="11"/>
      <c r="F96" s="11"/>
      <c r="G96" s="11"/>
      <c r="H96" s="88" t="s">
        <v>351</v>
      </c>
      <c r="I96" s="122" t="str">
        <f>IF(_epmOfflineCondition_,"T5",_xll.EVPRO($B$1,$H96,"STYLE"))</f>
        <v>T5</v>
      </c>
      <c r="J96" s="122" t="str">
        <f>IF(_epmOfflineCondition_,"Y",_xll.EVPRO($B$1,$H96,"CALC"))</f>
        <v>Y</v>
      </c>
      <c r="K96" s="90"/>
      <c r="L96" s="90" t="str">
        <f>IF(_epmOfflineCondition_,"467200",_xll.EVPRO($B$1,H96,"JDEID"))</f>
        <v>467200</v>
      </c>
      <c r="M96" s="90" t="str">
        <f>IF(_epmOfflineCondition_,"",IF(AND(I96="N",J96="N"),_xll.EVPRO($B$1,H96,"PSFTID"),""))</f>
        <v/>
      </c>
      <c r="N96" s="90" t="str">
        <f>IF(_epmOfflineCondition_,"Mini Bar Beverage",IF(_xll.EVDES(H96,$B$1)="#NODATA","",_xll.EVDES(H96,$B$1)))</f>
        <v>Mini Bar Beverage</v>
      </c>
      <c r="O96" s="143">
        <v>2220</v>
      </c>
      <c r="P96" s="143">
        <v>1751</v>
      </c>
      <c r="Q96" s="143">
        <v>2049</v>
      </c>
      <c r="R96" s="143">
        <v>2189</v>
      </c>
      <c r="S96" s="143">
        <v>1158</v>
      </c>
      <c r="T96" s="143">
        <v>560</v>
      </c>
      <c r="U96" s="143">
        <v>1659</v>
      </c>
      <c r="V96" s="143">
        <v>642</v>
      </c>
      <c r="W96" s="143">
        <v>620</v>
      </c>
      <c r="X96" s="143">
        <v>744</v>
      </c>
      <c r="Y96" s="143">
        <v>1239</v>
      </c>
      <c r="Z96" s="143">
        <v>705</v>
      </c>
      <c r="AA96" s="143">
        <f>SUM(O96:Z96)</f>
        <v>15536</v>
      </c>
      <c r="AB96" s="144">
        <f>IF(AA96=0,"",IFERROR(AA96/AA$19,""))</f>
        <v>1.1687365500509923E-2</v>
      </c>
      <c r="AC96" s="140"/>
      <c r="AD96" s="143">
        <v>45030</v>
      </c>
      <c r="AE96" s="144">
        <f>IF(AD96=0,"",IFERROR(AD96/AD$19,""))</f>
        <v>3.6006523450164932E-2</v>
      </c>
      <c r="AF96" s="145">
        <f>IF(AND($AA96="",AD96=""),"",$AA96-AD96)</f>
        <v>-29494</v>
      </c>
      <c r="AG96" s="143">
        <v>25206.75</v>
      </c>
      <c r="AH96" s="144">
        <f>IF(AG96=0,"",IFERROR(AG96/AG$19,""))</f>
        <v>5.1243608538046027E-2</v>
      </c>
      <c r="AI96" s="145">
        <f>IF(AND($AA96="",AG96=""),"",$AA96-AG96)</f>
        <v>-9670.75</v>
      </c>
    </row>
    <row r="97" spans="1:35" x14ac:dyDescent="0.35">
      <c r="A97" s="11"/>
      <c r="B97" s="11"/>
      <c r="C97" s="208"/>
      <c r="D97" s="11"/>
      <c r="E97" s="11"/>
      <c r="F97" s="11"/>
      <c r="G97" s="11"/>
      <c r="H97" s="88" t="s">
        <v>363</v>
      </c>
      <c r="I97" s="122" t="str">
        <f>IF(_epmOfflineCondition_,"N",_xll.EVPRO($B$1,$H97,"STYLE"))</f>
        <v>N</v>
      </c>
      <c r="J97" s="122" t="str">
        <f>IF(_epmOfflineCondition_,"Y",_xll.EVPRO($B$1,$H97,"CALC"))</f>
        <v>Y</v>
      </c>
      <c r="K97" s="90"/>
      <c r="L97" s="90" t="str">
        <f>IF(_epmOfflineCondition_,"",_xll.EVPRO($B$1,H97,"JDEID"))</f>
        <v/>
      </c>
      <c r="M97" s="90" t="str">
        <f>IF(_epmOfflineCondition_,"",IF(AND(I97="N",J97="N"),_xll.EVPRO($B$1,H97,"PSFTID"),""))</f>
        <v/>
      </c>
      <c r="N97" s="106" t="str">
        <f>IF(_epmOfflineCondition_,"Mini Bar F&amp;B Revenue",IF(_xll.EVDES(H97,$B$1)="#NODATA","",_xll.EVDES(H97,$B$1)))</f>
        <v>Mini Bar F&amp;B Revenue</v>
      </c>
      <c r="O97" s="166">
        <v>3040</v>
      </c>
      <c r="P97" s="166">
        <v>2352</v>
      </c>
      <c r="Q97" s="166">
        <v>2909.87</v>
      </c>
      <c r="R97" s="166">
        <v>3110.59</v>
      </c>
      <c r="S97" s="166">
        <v>2161</v>
      </c>
      <c r="T97" s="166">
        <v>4261</v>
      </c>
      <c r="U97" s="166">
        <v>7013.28</v>
      </c>
      <c r="V97" s="166">
        <v>4930</v>
      </c>
      <c r="W97" s="166">
        <v>4112</v>
      </c>
      <c r="X97" s="166">
        <v>4345</v>
      </c>
      <c r="Y97" s="166">
        <v>6678</v>
      </c>
      <c r="Z97" s="166">
        <v>7797</v>
      </c>
      <c r="AA97" s="166">
        <f>SUM(O97:Z97)</f>
        <v>52709.74</v>
      </c>
      <c r="AB97" s="167">
        <f>IF(AA97=0,"",IFERROR(AA97/AA$19,""))</f>
        <v>3.9652291247222443E-2</v>
      </c>
      <c r="AC97" s="140"/>
      <c r="AD97" s="166">
        <v>82555</v>
      </c>
      <c r="AE97" s="167">
        <f>IF(AD97=0,"",IFERROR(AD97/AD$19,""))</f>
        <v>6.601195965863571E-2</v>
      </c>
      <c r="AF97" s="168">
        <f>IF(AND($AA97="",AD97=""),"",$AA97-AD97)</f>
        <v>-29845.260000000002</v>
      </c>
      <c r="AG97" s="166">
        <v>48867.54</v>
      </c>
      <c r="AH97" s="167">
        <f>IF(AG97=0,"",IFERROR(AG97/AG$19,""))</f>
        <v>9.9344385530752907E-2</v>
      </c>
      <c r="AI97" s="168">
        <f>IF(AND($AA97="",AG97=""),"",$AA97-AG97)</f>
        <v>3842.1999999999971</v>
      </c>
    </row>
    <row r="98" spans="1:35" x14ac:dyDescent="0.35">
      <c r="A98" s="11"/>
      <c r="B98" s="11"/>
      <c r="C98" s="208"/>
      <c r="D98" s="11"/>
      <c r="E98" s="11"/>
      <c r="F98" s="11"/>
      <c r="G98" s="11"/>
      <c r="H98" s="88"/>
      <c r="I98" s="122"/>
      <c r="J98" s="122"/>
      <c r="K98" s="90"/>
      <c r="L98" s="90"/>
      <c r="M98" s="90"/>
      <c r="N98" s="491"/>
      <c r="O98" s="504"/>
      <c r="P98" s="505"/>
      <c r="Q98" s="505"/>
      <c r="R98" s="505"/>
      <c r="S98" s="505"/>
      <c r="T98" s="505"/>
      <c r="U98" s="505"/>
      <c r="V98" s="505"/>
      <c r="W98" s="505"/>
      <c r="X98" s="505"/>
      <c r="Y98" s="505"/>
      <c r="Z98" s="505"/>
      <c r="AA98" s="505"/>
      <c r="AB98" s="506"/>
      <c r="AC98" s="140"/>
      <c r="AD98" s="504"/>
      <c r="AE98" s="505"/>
      <c r="AF98" s="165"/>
      <c r="AG98" s="504"/>
      <c r="AH98" s="505"/>
      <c r="AI98" s="165"/>
    </row>
    <row r="99" spans="1:35" x14ac:dyDescent="0.35">
      <c r="A99" s="11"/>
      <c r="B99" s="11"/>
      <c r="C99" s="208"/>
      <c r="D99" s="11"/>
      <c r="E99" s="11"/>
      <c r="F99" s="11"/>
      <c r="G99" s="11"/>
      <c r="H99" s="88" t="s">
        <v>486</v>
      </c>
      <c r="I99" s="122" t="str">
        <f>IF(_epmOfflineCondition_,"T5",_xll.EVPRO($B$1,$H99,"STYLE"))</f>
        <v>T5</v>
      </c>
      <c r="J99" s="122" t="str">
        <f>IF(_epmOfflineCondition_,"Y",_xll.EVPRO($B$1,$H99,"CALC"))</f>
        <v>Y</v>
      </c>
      <c r="K99" s="90"/>
      <c r="L99" s="90" t="str">
        <f>IF(_epmOfflineCondition_,"",_xll.EVPRO($B$1,H99,"JDEID"))</f>
        <v/>
      </c>
      <c r="M99" s="90" t="str">
        <f>IF(_epmOfflineCondition_,"",IF(AND(I99="N",J99="N"),_xll.EVPRO($B$1,H99,"PSFTID"),""))</f>
        <v/>
      </c>
      <c r="N99" s="90" t="str">
        <f>IF(_epmOfflineCondition_,"Food &amp; Beverage: Allowances",IF(_xll.EVDES(H99,$B$1)="#NODATA","",_xll.EVDES(H99,$B$1)))</f>
        <v>Food &amp; Beverage: Allowances</v>
      </c>
      <c r="O99" s="143"/>
      <c r="P99" s="143"/>
      <c r="Q99" s="143">
        <v>-406.55</v>
      </c>
      <c r="R99" s="143">
        <v>-58.8</v>
      </c>
      <c r="S99" s="143">
        <v>-175.18</v>
      </c>
      <c r="T99" s="143">
        <v>-224.66</v>
      </c>
      <c r="U99" s="143">
        <v>-102.26</v>
      </c>
      <c r="V99" s="143"/>
      <c r="W99" s="143">
        <v>-408.84</v>
      </c>
      <c r="X99" s="143"/>
      <c r="Y99" s="143"/>
      <c r="Z99" s="143">
        <v>-231</v>
      </c>
      <c r="AA99" s="143">
        <f>SUM(O99:Z99)</f>
        <v>-1607.29</v>
      </c>
      <c r="AB99" s="144">
        <f>IF(AA99=0,"",IFERROR(AA99/AA$19,""))</f>
        <v>-1.2091262677210732E-3</v>
      </c>
      <c r="AC99" s="140"/>
      <c r="AD99" s="143"/>
      <c r="AE99" s="144" t="str">
        <f>IF(AD99=0,"",IFERROR(AD99/AD$19,""))</f>
        <v/>
      </c>
      <c r="AF99" s="145">
        <f>IF(AND($AA99="",AD99=""),"",$AA99-AD99)</f>
        <v>-1607.29</v>
      </c>
      <c r="AG99" s="143">
        <v>-1193.44</v>
      </c>
      <c r="AH99" s="144">
        <f>IF(AG99=0,"",IFERROR(AG99/AG$19,""))</f>
        <v>-2.4261823588382341E-3</v>
      </c>
      <c r="AI99" s="145">
        <f>IF(AND($AA99="",AG99=""),"",$AA99-AG99)</f>
        <v>-413.84999999999991</v>
      </c>
    </row>
    <row r="100" spans="1:35" x14ac:dyDescent="0.35">
      <c r="A100" s="11"/>
      <c r="B100" s="11"/>
      <c r="C100" s="208"/>
      <c r="D100" s="11"/>
      <c r="E100" s="11"/>
      <c r="F100" s="11"/>
      <c r="G100" s="11"/>
      <c r="H100" s="185"/>
      <c r="I100" s="122"/>
      <c r="J100" s="122"/>
      <c r="K100" s="11"/>
      <c r="L100" s="90"/>
      <c r="M100" s="90"/>
      <c r="N100" s="53" t="s">
        <v>348</v>
      </c>
      <c r="O100" s="162"/>
      <c r="P100" s="163"/>
      <c r="Q100" s="163"/>
      <c r="R100" s="163"/>
      <c r="S100" s="163"/>
      <c r="T100" s="163"/>
      <c r="U100" s="163"/>
      <c r="V100" s="163"/>
      <c r="W100" s="163"/>
      <c r="X100" s="163"/>
      <c r="Y100" s="163"/>
      <c r="Z100" s="163"/>
      <c r="AA100" s="163"/>
      <c r="AB100" s="164"/>
      <c r="AC100" s="140"/>
      <c r="AD100" s="162"/>
      <c r="AE100" s="163"/>
      <c r="AF100" s="164"/>
      <c r="AG100" s="162"/>
      <c r="AH100" s="163"/>
      <c r="AI100" s="164"/>
    </row>
    <row r="101" spans="1:35" x14ac:dyDescent="0.35">
      <c r="A101" s="11"/>
      <c r="B101" s="11"/>
      <c r="C101" s="208"/>
      <c r="D101" s="11"/>
      <c r="E101" s="11"/>
      <c r="F101" s="11"/>
      <c r="G101" s="11"/>
      <c r="H101" s="185"/>
      <c r="I101" s="122"/>
      <c r="J101" s="122"/>
      <c r="K101" s="11"/>
      <c r="L101" s="90"/>
      <c r="M101" s="90"/>
      <c r="N101" s="53"/>
      <c r="O101" s="162"/>
      <c r="P101" s="163"/>
      <c r="Q101" s="163"/>
      <c r="R101" s="163"/>
      <c r="S101" s="163"/>
      <c r="T101" s="163"/>
      <c r="U101" s="163"/>
      <c r="V101" s="163"/>
      <c r="W101" s="163"/>
      <c r="X101" s="163"/>
      <c r="Y101" s="163"/>
      <c r="Z101" s="163"/>
      <c r="AA101" s="163"/>
      <c r="AB101" s="164"/>
      <c r="AC101" s="140"/>
      <c r="AD101" s="162"/>
      <c r="AE101" s="163"/>
      <c r="AF101" s="164"/>
      <c r="AG101" s="162"/>
      <c r="AH101" s="163"/>
      <c r="AI101" s="164"/>
    </row>
    <row r="102" spans="1:35" x14ac:dyDescent="0.35">
      <c r="A102" s="11"/>
      <c r="B102" s="11"/>
      <c r="C102" s="208"/>
      <c r="D102" s="11"/>
      <c r="E102" s="11"/>
      <c r="F102" s="11"/>
      <c r="G102" s="11"/>
      <c r="H102" s="185" t="s">
        <v>273</v>
      </c>
      <c r="I102" s="122" t="str">
        <f>IF(_epmOfflineCondition_,"T4",_xll.EVPRO($B$1,$H102,"STYLE"))</f>
        <v>T4</v>
      </c>
      <c r="J102" s="122" t="str">
        <f>IF(_epmOfflineCondition_,"Y",_xll.EVPRO($B$1,$H102,"CALC"))</f>
        <v>Y</v>
      </c>
      <c r="K102" s="11"/>
      <c r="L102" s="90" t="str">
        <f>IF(_epmOfflineCondition_,"",_xll.EVPRO($B$1,H102,"JDEID"))</f>
        <v/>
      </c>
      <c r="M102" s="90" t="str">
        <f>IF(_epmOfflineCondition_,"",IF(AND(I102="N",J102="N"),_xll.EVPRO($B$1,H102,"PSFTID"),""))</f>
        <v/>
      </c>
      <c r="N102" s="90" t="str">
        <f>IF(_epmOfflineCondition_,"Total Food &amp; Beverage Revenue",IF(_xll.EVDES(H102,$B$1)="#NODATA","",_xll.EVDES(H102,$B$1)))</f>
        <v>Total Food &amp; Beverage Revenue</v>
      </c>
      <c r="O102" s="507">
        <v>55884.160000000003</v>
      </c>
      <c r="P102" s="507">
        <v>96938.46</v>
      </c>
      <c r="Q102" s="507">
        <v>120338.37</v>
      </c>
      <c r="R102" s="507">
        <v>132589.79</v>
      </c>
      <c r="S102" s="507">
        <v>121748</v>
      </c>
      <c r="T102" s="507">
        <v>116443.16</v>
      </c>
      <c r="U102" s="507">
        <v>126037.75</v>
      </c>
      <c r="V102" s="507">
        <v>84772.09</v>
      </c>
      <c r="W102" s="507">
        <v>74676.960000000006</v>
      </c>
      <c r="X102" s="507">
        <v>99385.919999999998</v>
      </c>
      <c r="Y102" s="507">
        <v>125429.61</v>
      </c>
      <c r="Z102" s="507">
        <v>175054.45</v>
      </c>
      <c r="AA102" s="507">
        <f>SUM(O102:Z102)</f>
        <v>1329298.72</v>
      </c>
      <c r="AB102" s="508">
        <f>IF(AA102=0,"",IFERROR(AA102/AA$19,""))</f>
        <v>1</v>
      </c>
      <c r="AC102" s="140"/>
      <c r="AD102" s="507">
        <v>1250606.7147061301</v>
      </c>
      <c r="AE102" s="508">
        <f>IF(AD102=0,"",IFERROR(AD102/AD$19,""))</f>
        <v>1</v>
      </c>
      <c r="AF102" s="509">
        <f>IF(AND($AA102="",AD102=""),"",$AA102-AD102)</f>
        <v>78692.005293869879</v>
      </c>
      <c r="AG102" s="507">
        <v>491900.37</v>
      </c>
      <c r="AH102" s="508">
        <f>IF(AG102=0,"",IFERROR(AG102/AG$19,""))</f>
        <v>1</v>
      </c>
      <c r="AI102" s="509">
        <f>IF(AND($AA102="",AG102=""),"",$AA102-AG102)</f>
        <v>837398.35</v>
      </c>
    </row>
    <row r="103" spans="1:35" x14ac:dyDescent="0.35">
      <c r="A103" s="11"/>
      <c r="B103" s="11"/>
      <c r="C103" s="208"/>
      <c r="D103" s="11"/>
      <c r="E103" s="11"/>
      <c r="F103" s="11"/>
      <c r="G103" s="11"/>
      <c r="H103" s="185" t="s">
        <v>767</v>
      </c>
      <c r="I103" s="122" t="str">
        <f>IF(_epmOfflineCondition_,"N",_xll.EVPRO($B$1,$H103,"STYLE"))</f>
        <v>N</v>
      </c>
      <c r="J103" s="122" t="str">
        <f>IF(_epmOfflineCondition_,"N",_xll.EVPRO($B$1,$H103,"CALC"))</f>
        <v>N</v>
      </c>
      <c r="K103" s="11"/>
      <c r="L103" s="90" t="str">
        <f>IF(_epmOfflineCondition_,"947500",_xll.EVPRO($B$1,H103,"JDEID"))</f>
        <v>947500</v>
      </c>
      <c r="M103" s="90" t="str">
        <f>IF(_epmOfflineCondition_,"991552",IF(AND(I103="N",J103="N"),_xll.EVPRO($B$1,H103,"PSFTID"),""))</f>
        <v>991552</v>
      </c>
      <c r="N103" s="90" t="str">
        <f>IF(_epmOfflineCondition_,"# of Seats in Outlet",IF(_xll.EVDES(H103,$B$1)="#NODATA","",_xll.EVDES(H103,$B$1)))</f>
        <v># of Seats in Outlet</v>
      </c>
      <c r="O103" s="507">
        <v>115</v>
      </c>
      <c r="P103" s="507">
        <v>115</v>
      </c>
      <c r="Q103" s="507">
        <v>115</v>
      </c>
      <c r="R103" s="507">
        <v>115</v>
      </c>
      <c r="S103" s="507">
        <v>115</v>
      </c>
      <c r="T103" s="507">
        <v>115</v>
      </c>
      <c r="U103" s="507">
        <v>115</v>
      </c>
      <c r="V103" s="507">
        <v>115</v>
      </c>
      <c r="W103" s="507">
        <v>115</v>
      </c>
      <c r="X103" s="507">
        <v>115</v>
      </c>
      <c r="Y103" s="507">
        <v>115</v>
      </c>
      <c r="Z103" s="507">
        <v>115</v>
      </c>
      <c r="AA103" s="507">
        <f>SUM(O103:Z103)</f>
        <v>1380</v>
      </c>
      <c r="AB103" s="508"/>
      <c r="AC103" s="140"/>
      <c r="AD103" s="507"/>
      <c r="AE103" s="508"/>
      <c r="AF103" s="509">
        <f>IF(AND($AA103="",AD103=""),"",$AA103-AD103)</f>
        <v>1380</v>
      </c>
      <c r="AG103" s="507">
        <v>973</v>
      </c>
      <c r="AH103" s="508"/>
      <c r="AI103" s="509">
        <f>IF(AND($AA103="",AG103=""),"",$AA103-AG103)</f>
        <v>407</v>
      </c>
    </row>
    <row r="104" spans="1:35" x14ac:dyDescent="0.35">
      <c r="A104" s="11"/>
      <c r="B104" s="11"/>
      <c r="C104" s="208"/>
      <c r="D104" s="11"/>
      <c r="E104" s="11"/>
      <c r="F104" s="11"/>
      <c r="G104" s="11"/>
      <c r="H104" s="185" t="s">
        <v>331</v>
      </c>
      <c r="I104" s="122" t="str">
        <f>IF(_epmOfflineCondition_,"T2",_xll.EVPRO($B$1,$H104,"STYLE"))</f>
        <v>T2</v>
      </c>
      <c r="J104" s="122" t="str">
        <f>IF(_epmOfflineCondition_,"Y",_xll.EVPRO($B$1,$H104,"CALC"))</f>
        <v>Y</v>
      </c>
      <c r="K104" s="11"/>
      <c r="L104" s="90" t="str">
        <f>IF(_epmOfflineCondition_,"946000",_xll.EVPRO($B$1,H104,"JDEID"))</f>
        <v>946000</v>
      </c>
      <c r="M104" s="90" t="str">
        <f>IF(_epmOfflineCondition_,"",IF(AND(I104="N",J104="N"),_xll.EVPRO($B$1,H104,"PSFTID"),""))</f>
        <v/>
      </c>
      <c r="N104" s="90" t="str">
        <f>IF(_epmOfflineCondition_,"Total Customers (excl Mini Bar)",IF(_xll.EVDES(H104,$B$1)="#NODATA","",_xll.EVDES(H104,$B$1))&amp;" (excl Mini Bar)")</f>
        <v>Total Customers (excl Mini Bar)</v>
      </c>
      <c r="O104" s="507">
        <v>2091</v>
      </c>
      <c r="P104" s="507">
        <v>3429</v>
      </c>
      <c r="Q104" s="507">
        <v>4254</v>
      </c>
      <c r="R104" s="507">
        <v>4190</v>
      </c>
      <c r="S104" s="507">
        <v>4112</v>
      </c>
      <c r="T104" s="507">
        <v>3968</v>
      </c>
      <c r="U104" s="507">
        <v>3976</v>
      </c>
      <c r="V104" s="507">
        <v>2505</v>
      </c>
      <c r="W104" s="507">
        <v>2161</v>
      </c>
      <c r="X104" s="507">
        <v>2824</v>
      </c>
      <c r="Y104" s="507">
        <v>3604</v>
      </c>
      <c r="Z104" s="507">
        <v>5343</v>
      </c>
      <c r="AA104" s="507">
        <f>SUM(O104:Z104)</f>
        <v>42457</v>
      </c>
      <c r="AB104" s="508">
        <f>IF(AA104=0,"",IFERROR(AA104/AA$20,""))</f>
        <v>1</v>
      </c>
      <c r="AC104" s="140"/>
      <c r="AD104" s="507">
        <v>38040.256470590997</v>
      </c>
      <c r="AE104" s="508">
        <f>IF(AD104=0,"",IFERROR(AD104/AD$20,""))</f>
        <v>1</v>
      </c>
      <c r="AF104" s="509">
        <f>IF(AND($AA104="",AD104=""),"",$AA104-AD104)</f>
        <v>4416.7435294090028</v>
      </c>
      <c r="AG104" s="507">
        <v>17192</v>
      </c>
      <c r="AH104" s="508">
        <f>IF(AG104=0,"",IFERROR(AG104/AG$20,""))</f>
        <v>1</v>
      </c>
      <c r="AI104" s="509">
        <f>IF(AND($AA104="",AG104=""),"",$AA104-AG104)</f>
        <v>25265</v>
      </c>
    </row>
    <row r="105" spans="1:35" x14ac:dyDescent="0.35">
      <c r="A105" s="11"/>
      <c r="B105" s="11"/>
      <c r="C105" s="208"/>
      <c r="D105" s="11"/>
      <c r="E105" s="11"/>
      <c r="F105" s="11"/>
      <c r="G105" s="11"/>
      <c r="H105" s="185" t="s">
        <v>311</v>
      </c>
      <c r="I105" s="122" t="str">
        <f>IF(_epmOfflineCondition_,"N",_xll.EVPRO($B$1,$H105,"STYLE"))</f>
        <v>N</v>
      </c>
      <c r="J105" s="122" t="str">
        <f>IF(_epmOfflineCondition_,"Y",_xll.EVPRO($B$1,$H105,"CALC"))</f>
        <v>Y</v>
      </c>
      <c r="K105" s="11"/>
      <c r="L105" s="90"/>
      <c r="M105" s="90"/>
      <c r="N105" s="90" t="str">
        <f>IF(_epmOfflineCondition_,"Total Average Check (excl Mini Bar)",IF(_xll.EVDES(H105,$B$1)="#NODATA","",_xll.EVDES(H105,$B$1))&amp;" (excl Mini Bar)")</f>
        <v>Total Average Check (excl Mini Bar)</v>
      </c>
      <c r="O105" s="495">
        <v>25.272195121951199</v>
      </c>
      <c r="P105" s="495">
        <v>27.584269466316702</v>
      </c>
      <c r="Q105" s="495">
        <v>27.604254818993901</v>
      </c>
      <c r="R105" s="495">
        <v>30.9019570405728</v>
      </c>
      <c r="S105" s="495">
        <v>29.082441634241199</v>
      </c>
      <c r="T105" s="495">
        <v>28.2717137096774</v>
      </c>
      <c r="U105" s="495">
        <v>29.935731891348102</v>
      </c>
      <c r="V105" s="495">
        <v>31.873089820359301</v>
      </c>
      <c r="W105" s="495">
        <v>32.653845441925</v>
      </c>
      <c r="X105" s="495">
        <v>33.654716713881001</v>
      </c>
      <c r="Y105" s="495">
        <v>32.949947280799101</v>
      </c>
      <c r="Z105" s="495">
        <v>31.3040333146173</v>
      </c>
      <c r="AA105" s="495">
        <f>IFERROR(AA102/AA104,"")</f>
        <v>31.309294580398991</v>
      </c>
      <c r="AB105" s="495"/>
      <c r="AC105" s="140"/>
      <c r="AD105" s="495">
        <v>30.7056740169234</v>
      </c>
      <c r="AE105" s="495"/>
      <c r="AF105" s="496">
        <f>IF(AND($AA105="",AD105=""),"",$AA105-AD105)</f>
        <v>0.6036205634755909</v>
      </c>
      <c r="AG105" s="495">
        <v>25.769708585388599</v>
      </c>
      <c r="AH105" s="495"/>
      <c r="AI105" s="496">
        <f>IF(AND($AA105="",AG105=""),"",$AA105-AG105)</f>
        <v>5.5395859950103912</v>
      </c>
    </row>
    <row r="106" spans="1:35" x14ac:dyDescent="0.35">
      <c r="A106" s="11"/>
      <c r="B106" s="11"/>
      <c r="C106" s="208"/>
      <c r="D106" s="11"/>
      <c r="E106" s="11"/>
      <c r="F106" s="11"/>
      <c r="G106" s="11"/>
      <c r="H106" s="185"/>
      <c r="I106" s="122"/>
      <c r="J106" s="122"/>
      <c r="K106" s="11"/>
      <c r="L106" s="90"/>
      <c r="M106" s="90"/>
      <c r="N106" s="90"/>
      <c r="O106" s="174"/>
      <c r="P106" s="175"/>
      <c r="Q106" s="175"/>
      <c r="R106" s="175"/>
      <c r="S106" s="175"/>
      <c r="T106" s="175"/>
      <c r="U106" s="175"/>
      <c r="V106" s="175"/>
      <c r="W106" s="175"/>
      <c r="X106" s="175"/>
      <c r="Y106" s="175"/>
      <c r="Z106" s="175"/>
      <c r="AA106" s="175"/>
      <c r="AB106" s="176"/>
      <c r="AC106" s="140"/>
      <c r="AD106" s="174"/>
      <c r="AE106" s="175"/>
      <c r="AF106" s="176"/>
      <c r="AG106" s="174"/>
      <c r="AH106" s="175"/>
      <c r="AI106" s="176"/>
    </row>
    <row r="107" spans="1:35" x14ac:dyDescent="0.35">
      <c r="A107" s="11"/>
      <c r="B107" s="11"/>
      <c r="C107" s="208"/>
      <c r="D107" s="11"/>
      <c r="E107" s="11"/>
      <c r="F107" s="11"/>
      <c r="G107" s="11"/>
      <c r="H107" s="185"/>
      <c r="I107" s="122"/>
      <c r="J107" s="122"/>
      <c r="K107" s="11"/>
      <c r="L107" s="90"/>
      <c r="M107" s="90"/>
      <c r="N107" s="53" t="s">
        <v>334</v>
      </c>
      <c r="O107" s="162"/>
      <c r="P107" s="163"/>
      <c r="Q107" s="163"/>
      <c r="R107" s="163"/>
      <c r="S107" s="163"/>
      <c r="T107" s="163"/>
      <c r="U107" s="163"/>
      <c r="V107" s="163"/>
      <c r="W107" s="163"/>
      <c r="X107" s="163"/>
      <c r="Y107" s="163"/>
      <c r="Z107" s="163"/>
      <c r="AA107" s="163"/>
      <c r="AB107" s="164"/>
      <c r="AC107" s="140"/>
      <c r="AD107" s="162"/>
      <c r="AE107" s="163"/>
      <c r="AF107" s="164"/>
      <c r="AG107" s="162"/>
      <c r="AH107" s="163"/>
      <c r="AI107" s="164"/>
    </row>
    <row r="108" spans="1:35" hidden="1" outlineLevel="1" x14ac:dyDescent="0.35">
      <c r="A108" s="11"/>
      <c r="B108" s="11"/>
      <c r="C108" s="208"/>
      <c r="D108" s="11"/>
      <c r="E108" s="11"/>
      <c r="F108" s="11"/>
      <c r="G108" s="11"/>
      <c r="H108" s="185" t="s">
        <v>332</v>
      </c>
      <c r="I108" s="122" t="str">
        <f>IF(_epmOfflineCondition_,"T4",_xll.EVPRO($B$1,$H108,"STYLE"))</f>
        <v>T4</v>
      </c>
      <c r="J108" s="122" t="str">
        <f>IF(_epmOfflineCondition_,"Y",_xll.EVPRO($B$1,$H108,"CALC"))</f>
        <v>Y</v>
      </c>
      <c r="K108" s="11"/>
      <c r="L108" s="90"/>
      <c r="M108" s="90"/>
      <c r="N108" s="90" t="str">
        <f>IF(_epmOfflineCondition_,"F&amp;B Kitchen - THW",IF(_xll.EVDES(H108,$B$1)="#NODATA","",_xll.EVDES(H108,$B$1)))</f>
        <v>F&amp;B Kitchen - THW</v>
      </c>
      <c r="O108" s="143">
        <v>610.5</v>
      </c>
      <c r="P108" s="143">
        <v>446.5</v>
      </c>
      <c r="Q108" s="143">
        <v>486.5</v>
      </c>
      <c r="R108" s="143">
        <v>308.25</v>
      </c>
      <c r="S108" s="143">
        <v>393.5</v>
      </c>
      <c r="T108" s="143">
        <v>408</v>
      </c>
      <c r="U108" s="143">
        <v>394</v>
      </c>
      <c r="V108" s="143">
        <v>319.75</v>
      </c>
      <c r="W108" s="143">
        <v>184.5</v>
      </c>
      <c r="X108" s="143">
        <v>283</v>
      </c>
      <c r="Y108" s="143">
        <v>432.75</v>
      </c>
      <c r="Z108" s="143">
        <v>394.5</v>
      </c>
      <c r="AA108" s="143">
        <f>SUM(O108:Z108)</f>
        <v>4661.75</v>
      </c>
      <c r="AB108" s="144"/>
      <c r="AC108" s="140"/>
      <c r="AD108" s="143">
        <v>9443.8285714295998</v>
      </c>
      <c r="AE108" s="144"/>
      <c r="AF108" s="145">
        <f>IF(AND($AA108="",AD108=""),"",$AA108-AD108)</f>
        <v>-4782.0785714295998</v>
      </c>
      <c r="AG108" s="143">
        <v>3380.75</v>
      </c>
      <c r="AH108" s="144"/>
      <c r="AI108" s="145">
        <f>IF(AND($AA108="",AG108=""),"",$AA108-AG108)</f>
        <v>1281</v>
      </c>
    </row>
    <row r="109" spans="1:35" hidden="1" outlineLevel="1" x14ac:dyDescent="0.35">
      <c r="A109" s="11"/>
      <c r="B109" s="11"/>
      <c r="C109" s="208"/>
      <c r="D109" s="11"/>
      <c r="E109" s="11"/>
      <c r="F109" s="11"/>
      <c r="G109" s="11"/>
      <c r="H109" s="185" t="s">
        <v>333</v>
      </c>
      <c r="I109" s="122" t="str">
        <f>IF(_epmOfflineCondition_,"T4",_xll.EVPRO($B$1,$H109,"STYLE"))</f>
        <v>T4</v>
      </c>
      <c r="J109" s="122" t="str">
        <f>IF(_epmOfflineCondition_,"Y",_xll.EVPRO($B$1,$H109,"CALC"))</f>
        <v>Y</v>
      </c>
      <c r="K109" s="11"/>
      <c r="L109" s="90"/>
      <c r="M109" s="90"/>
      <c r="N109" s="90" t="str">
        <f>IF(_epmOfflineCondition_,"F&amp;B Venues - THW",IF(_xll.EVDES(H109,$B$1)="#NODATA","",_xll.EVDES(H109,$B$1)))</f>
        <v>F&amp;B Venues - THW</v>
      </c>
      <c r="O109" s="143">
        <v>726.97</v>
      </c>
      <c r="P109" s="143">
        <v>1033.25</v>
      </c>
      <c r="Q109" s="143">
        <v>1273.2</v>
      </c>
      <c r="R109" s="143">
        <v>1239.25</v>
      </c>
      <c r="S109" s="143">
        <v>1224.25</v>
      </c>
      <c r="T109" s="143">
        <v>1213.25</v>
      </c>
      <c r="U109" s="143">
        <v>1456.75</v>
      </c>
      <c r="V109" s="143">
        <v>1133.5</v>
      </c>
      <c r="W109" s="143">
        <v>914.75</v>
      </c>
      <c r="X109" s="143">
        <v>1197</v>
      </c>
      <c r="Y109" s="143">
        <v>1170.75</v>
      </c>
      <c r="Z109" s="143">
        <v>1156.05</v>
      </c>
      <c r="AA109" s="143">
        <f>SUM(O109:Z109)</f>
        <v>13738.97</v>
      </c>
      <c r="AB109" s="144"/>
      <c r="AC109" s="140"/>
      <c r="AD109" s="143">
        <v>19840.285714286802</v>
      </c>
      <c r="AE109" s="144"/>
      <c r="AF109" s="145">
        <f>IF(AND($AA109="",AD109=""),"",$AA109-AD109)</f>
        <v>-6101.3157142868022</v>
      </c>
      <c r="AG109" s="143">
        <v>8709.7800000000007</v>
      </c>
      <c r="AH109" s="144"/>
      <c r="AI109" s="145">
        <f>IF(AND($AA109="",AG109=""),"",$AA109-AG109)</f>
        <v>5029.1899999999987</v>
      </c>
    </row>
    <row r="110" spans="1:35" collapsed="1" x14ac:dyDescent="0.35">
      <c r="A110" s="11"/>
      <c r="B110" s="11"/>
      <c r="C110" s="208"/>
      <c r="D110" s="11"/>
      <c r="E110" s="11"/>
      <c r="F110" s="11"/>
      <c r="G110" s="11"/>
      <c r="H110" s="185"/>
      <c r="I110" s="122"/>
      <c r="J110" s="122"/>
      <c r="K110" s="11"/>
      <c r="L110" s="90"/>
      <c r="M110" s="90"/>
      <c r="N110" s="104" t="s">
        <v>335</v>
      </c>
      <c r="O110" s="510">
        <f t="shared" ref="O110:AA110" si="32">IFERROR(O$104/O108,"")</f>
        <v>3.4250614250614251</v>
      </c>
      <c r="P110" s="510">
        <f t="shared" si="32"/>
        <v>7.67973124300112</v>
      </c>
      <c r="Q110" s="510">
        <f t="shared" si="32"/>
        <v>8.744090441932169</v>
      </c>
      <c r="R110" s="510">
        <f t="shared" si="32"/>
        <v>13.592862935928629</v>
      </c>
      <c r="S110" s="510">
        <f t="shared" si="32"/>
        <v>10.449809402795426</v>
      </c>
      <c r="T110" s="510">
        <f t="shared" si="32"/>
        <v>9.7254901960784306</v>
      </c>
      <c r="U110" s="510">
        <f t="shared" si="32"/>
        <v>10.091370558375635</v>
      </c>
      <c r="V110" s="510">
        <f t="shared" si="32"/>
        <v>7.8342455043002346</v>
      </c>
      <c r="W110" s="510">
        <f t="shared" si="32"/>
        <v>11.712737127371273</v>
      </c>
      <c r="X110" s="510">
        <f t="shared" si="32"/>
        <v>9.978798586572438</v>
      </c>
      <c r="Y110" s="510">
        <f t="shared" si="32"/>
        <v>8.3281340265742347</v>
      </c>
      <c r="Z110" s="510">
        <f t="shared" si="32"/>
        <v>13.543726235741445</v>
      </c>
      <c r="AA110" s="510">
        <f t="shared" si="32"/>
        <v>9.1075239984984186</v>
      </c>
      <c r="AB110" s="511"/>
      <c r="AC110" s="140"/>
      <c r="AD110" s="510">
        <f>IFERROR(AD$104/AD108,"")</f>
        <v>4.0280545313660321</v>
      </c>
      <c r="AE110" s="511"/>
      <c r="AF110" s="214">
        <f>IF(AND($AA110="",AD110=""),"",$AA110-AD110)</f>
        <v>5.0794694671323866</v>
      </c>
      <c r="AG110" s="510">
        <f>IFERROR(AG$104/AG108,"")</f>
        <v>5.0852621459735268</v>
      </c>
      <c r="AH110" s="511"/>
      <c r="AI110" s="214">
        <f>IF(AND($AA110="",AG110=""),"",$AA110-AG110)</f>
        <v>4.0222618525248919</v>
      </c>
    </row>
    <row r="111" spans="1:35" x14ac:dyDescent="0.35">
      <c r="A111" s="11"/>
      <c r="B111" s="11"/>
      <c r="C111" s="208"/>
      <c r="D111" s="11"/>
      <c r="E111" s="11"/>
      <c r="F111" s="11"/>
      <c r="G111" s="11"/>
      <c r="H111" s="185"/>
      <c r="I111" s="122"/>
      <c r="J111" s="122"/>
      <c r="K111" s="11"/>
      <c r="L111" s="90"/>
      <c r="M111" s="90"/>
      <c r="N111" s="104" t="s">
        <v>336</v>
      </c>
      <c r="O111" s="510">
        <f t="shared" ref="O111:AA111" si="33">IFERROR(O$104/O109,"")</f>
        <v>2.8763222691445312</v>
      </c>
      <c r="P111" s="510">
        <f t="shared" si="33"/>
        <v>3.318654730220179</v>
      </c>
      <c r="Q111" s="510">
        <f t="shared" si="33"/>
        <v>3.3411875589066917</v>
      </c>
      <c r="R111" s="510">
        <f t="shared" si="33"/>
        <v>3.3810772644744804</v>
      </c>
      <c r="S111" s="510">
        <f t="shared" si="33"/>
        <v>3.3587910965897487</v>
      </c>
      <c r="T111" s="510">
        <f t="shared" si="33"/>
        <v>3.2705542963115599</v>
      </c>
      <c r="U111" s="510">
        <f t="shared" si="33"/>
        <v>2.7293633087351981</v>
      </c>
      <c r="V111" s="510">
        <f t="shared" si="33"/>
        <v>2.2099691221879136</v>
      </c>
      <c r="W111" s="510">
        <f t="shared" si="33"/>
        <v>2.3623940967477455</v>
      </c>
      <c r="X111" s="510">
        <f t="shared" si="33"/>
        <v>2.3592314118629907</v>
      </c>
      <c r="Y111" s="510">
        <f t="shared" si="33"/>
        <v>3.0783685671578049</v>
      </c>
      <c r="Z111" s="510">
        <f t="shared" si="33"/>
        <v>4.6217724146879462</v>
      </c>
      <c r="AA111" s="510">
        <f t="shared" si="33"/>
        <v>3.0902607691842987</v>
      </c>
      <c r="AB111" s="511"/>
      <c r="AC111" s="140"/>
      <c r="AD111" s="510">
        <f>IFERROR(AD$104/AD109,"")</f>
        <v>1.9173240253893404</v>
      </c>
      <c r="AE111" s="511"/>
      <c r="AF111" s="214">
        <f>IF(AND($AA111="",AD111=""),"",$AA111-AD111)</f>
        <v>1.1729367437949583</v>
      </c>
      <c r="AG111" s="510">
        <f>IFERROR(AG$104/AG109,"")</f>
        <v>1.9738730484581699</v>
      </c>
      <c r="AH111" s="511"/>
      <c r="AI111" s="214">
        <f>IF(AND($AA111="",AG111=""),"",$AA111-AG111)</f>
        <v>1.1163877207261288</v>
      </c>
    </row>
    <row r="112" spans="1:35" x14ac:dyDescent="0.35">
      <c r="A112" s="11"/>
      <c r="B112" s="11"/>
      <c r="C112" s="208"/>
      <c r="D112" s="11"/>
      <c r="E112" s="11"/>
      <c r="F112" s="11"/>
      <c r="G112" s="11"/>
      <c r="H112" s="185"/>
      <c r="I112" s="122"/>
      <c r="J112" s="122"/>
      <c r="K112" s="11"/>
      <c r="L112" s="90"/>
      <c r="M112" s="90"/>
      <c r="N112" s="90"/>
      <c r="O112" s="512"/>
      <c r="P112" s="513"/>
      <c r="Q112" s="513"/>
      <c r="R112" s="513"/>
      <c r="S112" s="513"/>
      <c r="T112" s="513"/>
      <c r="U112" s="513"/>
      <c r="V112" s="513"/>
      <c r="W112" s="513"/>
      <c r="X112" s="513"/>
      <c r="Y112" s="513"/>
      <c r="Z112" s="513"/>
      <c r="AA112" s="513"/>
      <c r="AB112" s="161"/>
      <c r="AC112" s="140"/>
      <c r="AD112" s="514"/>
      <c r="AE112" s="459"/>
      <c r="AF112" s="161"/>
      <c r="AG112" s="459"/>
      <c r="AH112" s="459"/>
      <c r="AI112" s="161"/>
    </row>
    <row r="113" spans="1:35" x14ac:dyDescent="0.35">
      <c r="A113" s="11"/>
      <c r="B113" s="11"/>
      <c r="C113" s="208"/>
      <c r="D113" s="11"/>
      <c r="E113" s="11"/>
      <c r="F113" s="11"/>
      <c r="G113" s="11"/>
      <c r="H113" s="185"/>
      <c r="I113" s="122"/>
      <c r="J113" s="122"/>
      <c r="K113" s="11"/>
      <c r="L113" s="90"/>
      <c r="M113" s="90"/>
      <c r="N113" s="53" t="s">
        <v>343</v>
      </c>
      <c r="O113" s="514"/>
      <c r="P113" s="459"/>
      <c r="Q113" s="459"/>
      <c r="R113" s="459"/>
      <c r="S113" s="459"/>
      <c r="T113" s="459"/>
      <c r="U113" s="459"/>
      <c r="V113" s="459"/>
      <c r="W113" s="459"/>
      <c r="X113" s="459"/>
      <c r="Y113" s="459"/>
      <c r="Z113" s="459"/>
      <c r="AA113" s="459"/>
      <c r="AB113" s="515"/>
      <c r="AC113" s="140"/>
      <c r="AD113" s="516"/>
      <c r="AE113" s="517"/>
      <c r="AF113" s="161"/>
      <c r="AG113" s="459"/>
      <c r="AH113" s="517"/>
      <c r="AI113" s="161"/>
    </row>
    <row r="114" spans="1:35" x14ac:dyDescent="0.35">
      <c r="A114" s="11"/>
      <c r="B114" s="11"/>
      <c r="C114" s="208"/>
      <c r="D114" s="11"/>
      <c r="E114" s="11"/>
      <c r="F114" s="11"/>
      <c r="G114" s="11"/>
      <c r="H114" s="185"/>
      <c r="I114" s="122"/>
      <c r="J114" s="122"/>
      <c r="K114" s="11"/>
      <c r="L114" s="90"/>
      <c r="M114" s="90"/>
      <c r="N114" s="53" t="s">
        <v>337</v>
      </c>
      <c r="O114" s="162"/>
      <c r="P114" s="163"/>
      <c r="Q114" s="163"/>
      <c r="R114" s="163"/>
      <c r="S114" s="163"/>
      <c r="T114" s="163"/>
      <c r="U114" s="163"/>
      <c r="V114" s="163"/>
      <c r="W114" s="163"/>
      <c r="X114" s="163"/>
      <c r="Y114" s="163"/>
      <c r="Z114" s="163"/>
      <c r="AA114" s="163"/>
      <c r="AB114" s="164"/>
      <c r="AC114" s="140"/>
      <c r="AD114" s="162"/>
      <c r="AE114" s="163"/>
      <c r="AF114" s="164"/>
      <c r="AG114" s="163"/>
      <c r="AH114" s="163"/>
      <c r="AI114" s="164"/>
    </row>
    <row r="115" spans="1:35" x14ac:dyDescent="0.35">
      <c r="A115" s="11"/>
      <c r="B115" s="11"/>
      <c r="C115" s="208"/>
      <c r="D115" s="11"/>
      <c r="E115" s="11"/>
      <c r="F115" s="11"/>
      <c r="G115" s="11"/>
      <c r="H115" s="185" t="s">
        <v>294</v>
      </c>
      <c r="I115" s="122"/>
      <c r="J115" s="122"/>
      <c r="K115" s="11"/>
      <c r="L115" s="90" t="str">
        <f>IF(_epmOfflineCondition_,"461200",_xll.EVPRO($B$1,H115,"JDEID"))</f>
        <v>461200</v>
      </c>
      <c r="M115" s="90" t="str">
        <f>IF(_epmOfflineCondition_,"",IF(AND(I115="N",J115="N"),_xll.EVPRO($B$1,H115,"PSFTID"),""))</f>
        <v/>
      </c>
      <c r="N115" s="90" t="str">
        <f>IF(_epmOfflineCondition_,"Breakfast Liquor",IF(_xll.EVDES(H115,$B$1)="#NODATA","",_xll.EVDES(H115,$B$1)))</f>
        <v>Breakfast Liquor</v>
      </c>
      <c r="O115" s="143">
        <v>103</v>
      </c>
      <c r="P115" s="143">
        <v>154</v>
      </c>
      <c r="Q115" s="143">
        <v>255</v>
      </c>
      <c r="R115" s="143">
        <v>204</v>
      </c>
      <c r="S115" s="143">
        <v>592.79999999999995</v>
      </c>
      <c r="T115" s="143">
        <v>413</v>
      </c>
      <c r="U115" s="143">
        <v>656</v>
      </c>
      <c r="V115" s="143">
        <v>680.07</v>
      </c>
      <c r="W115" s="143">
        <v>222</v>
      </c>
      <c r="X115" s="143">
        <v>787</v>
      </c>
      <c r="Y115" s="143">
        <v>574</v>
      </c>
      <c r="Z115" s="143">
        <v>2052.1999999999998</v>
      </c>
      <c r="AA115" s="143">
        <f t="shared" ref="AA115:AA121" si="34">SUM(O115:Z115)</f>
        <v>6693.0700000000006</v>
      </c>
      <c r="AB115" s="144">
        <f t="shared" ref="AB115:AB121" si="35">IF(AA115=0,"",IFERROR(AA115/AA$19,""))</f>
        <v>5.0350383245686119E-3</v>
      </c>
      <c r="AC115" s="140"/>
      <c r="AD115" s="143">
        <v>11829.4125</v>
      </c>
      <c r="AE115" s="144">
        <f t="shared" ref="AE115:AE121" si="36">IF(AD115=0,"",IFERROR(AD115/AD$19,""))</f>
        <v>9.4589388981328945E-3</v>
      </c>
      <c r="AF115" s="145">
        <f t="shared" ref="AF115:AF121" si="37">IF(AND($AA115="",AD115=""),"",$AA115-AD115)</f>
        <v>-5136.3424999999997</v>
      </c>
      <c r="AG115" s="143">
        <v>1667.99</v>
      </c>
      <c r="AH115" s="144">
        <f t="shared" ref="AH115:AH121" si="38">IF(AG115=0,"",IFERROR(AG115/AG$19,""))</f>
        <v>3.3909102365586754E-3</v>
      </c>
      <c r="AI115" s="145">
        <f t="shared" ref="AI115:AI121" si="39">IF(AND($AA115="",AG115=""),"",$AA115-AG115)</f>
        <v>5025.0800000000008</v>
      </c>
    </row>
    <row r="116" spans="1:35" x14ac:dyDescent="0.35">
      <c r="A116" s="11"/>
      <c r="B116" s="11"/>
      <c r="C116" s="208"/>
      <c r="D116" s="11"/>
      <c r="E116" s="11"/>
      <c r="F116" s="11"/>
      <c r="G116" s="11"/>
      <c r="H116" s="185" t="s">
        <v>301</v>
      </c>
      <c r="I116" s="122"/>
      <c r="J116" s="122"/>
      <c r="K116" s="11"/>
      <c r="L116" s="90" t="str">
        <f>IF(_epmOfflineCondition_,"462200",_xll.EVPRO($B$1,H116,"JDEID"))</f>
        <v>462200</v>
      </c>
      <c r="M116" s="90" t="str">
        <f>IF(_epmOfflineCondition_,"",IF(AND(I116="N",J116="N"),_xll.EVPRO($B$1,H116,"PSFTID"),""))</f>
        <v/>
      </c>
      <c r="N116" s="90" t="str">
        <f>IF(_epmOfflineCondition_,"Lunch Liquor",IF(_xll.EVDES(H116,$B$1)="#NODATA","",_xll.EVDES(H116,$B$1)))</f>
        <v>Lunch Liquor</v>
      </c>
      <c r="O116" s="143">
        <v>8069.15</v>
      </c>
      <c r="P116" s="143">
        <v>12996.06</v>
      </c>
      <c r="Q116" s="143">
        <v>19916.8</v>
      </c>
      <c r="R116" s="143">
        <v>28335.360000000001</v>
      </c>
      <c r="S116" s="143">
        <v>30541.72</v>
      </c>
      <c r="T116" s="143">
        <v>27904.3</v>
      </c>
      <c r="U116" s="143">
        <v>30148.799999999999</v>
      </c>
      <c r="V116" s="143">
        <v>21877.4</v>
      </c>
      <c r="W116" s="143">
        <v>16327</v>
      </c>
      <c r="X116" s="143">
        <v>19521</v>
      </c>
      <c r="Y116" s="143">
        <v>21659</v>
      </c>
      <c r="Z116" s="143">
        <v>20511.599999999999</v>
      </c>
      <c r="AA116" s="143">
        <f t="shared" si="34"/>
        <v>257808.19</v>
      </c>
      <c r="AB116" s="144">
        <f t="shared" si="35"/>
        <v>0.19394300627928085</v>
      </c>
      <c r="AC116" s="140"/>
      <c r="AD116" s="143">
        <v>87640.672500000001</v>
      </c>
      <c r="AE116" s="144">
        <f t="shared" si="36"/>
        <v>7.0078523863190648E-2</v>
      </c>
      <c r="AF116" s="145">
        <f t="shared" si="37"/>
        <v>170167.51750000002</v>
      </c>
      <c r="AG116" s="143">
        <v>26252.31</v>
      </c>
      <c r="AH116" s="144">
        <f t="shared" si="38"/>
        <v>5.3369160913621594E-2</v>
      </c>
      <c r="AI116" s="145">
        <f t="shared" si="39"/>
        <v>231555.88</v>
      </c>
    </row>
    <row r="117" spans="1:35" x14ac:dyDescent="0.35">
      <c r="A117" s="11"/>
      <c r="B117" s="11"/>
      <c r="C117" s="208"/>
      <c r="D117" s="11"/>
      <c r="E117" s="11"/>
      <c r="F117" s="11"/>
      <c r="G117" s="11"/>
      <c r="H117" s="185" t="s">
        <v>302</v>
      </c>
      <c r="I117" s="122"/>
      <c r="J117" s="122"/>
      <c r="K117" s="11"/>
      <c r="L117" s="90" t="str">
        <f>IF(_epmOfflineCondition_,"463200",_xll.EVPRO($B$1,H117,"JDEID"))</f>
        <v>463200</v>
      </c>
      <c r="M117" s="90" t="str">
        <f>IF(_epmOfflineCondition_,"",IF(AND(I117="N",J117="N"),_xll.EVPRO($B$1,H117,"PSFTID"),""))</f>
        <v/>
      </c>
      <c r="N117" s="90" t="str">
        <f>IF(_epmOfflineCondition_,"Dinner Liquor",IF(_xll.EVDES(H117,$B$1)="#NODATA","",_xll.EVDES(H117,$B$1)))</f>
        <v>Dinner Liquor</v>
      </c>
      <c r="O117" s="143">
        <v>2393.9</v>
      </c>
      <c r="P117" s="143">
        <v>4982</v>
      </c>
      <c r="Q117" s="143">
        <v>7725.13</v>
      </c>
      <c r="R117" s="143">
        <v>7061.59</v>
      </c>
      <c r="S117" s="143">
        <v>4074.8</v>
      </c>
      <c r="T117" s="143">
        <v>5585.26</v>
      </c>
      <c r="U117" s="143">
        <v>5822</v>
      </c>
      <c r="V117" s="143">
        <v>3569.4</v>
      </c>
      <c r="W117" s="143">
        <v>2967</v>
      </c>
      <c r="X117" s="143">
        <v>4041.28</v>
      </c>
      <c r="Y117" s="143">
        <v>3824.6</v>
      </c>
      <c r="Z117" s="143">
        <v>6530.29</v>
      </c>
      <c r="AA117" s="143">
        <f t="shared" si="34"/>
        <v>58577.25</v>
      </c>
      <c r="AB117" s="144">
        <f t="shared" si="35"/>
        <v>4.406628030154125E-2</v>
      </c>
      <c r="AC117" s="140"/>
      <c r="AD117" s="143">
        <v>113932.569235348</v>
      </c>
      <c r="AE117" s="144">
        <f t="shared" si="36"/>
        <v>9.110183712880518E-2</v>
      </c>
      <c r="AF117" s="145">
        <f t="shared" si="37"/>
        <v>-55355.319235347997</v>
      </c>
      <c r="AG117" s="143">
        <v>25342.37</v>
      </c>
      <c r="AH117" s="144">
        <f t="shared" si="38"/>
        <v>5.1519314775063087E-2</v>
      </c>
      <c r="AI117" s="145">
        <f t="shared" si="39"/>
        <v>33234.880000000005</v>
      </c>
    </row>
    <row r="118" spans="1:35" x14ac:dyDescent="0.35">
      <c r="A118" s="11"/>
      <c r="B118" s="11"/>
      <c r="C118" s="208"/>
      <c r="D118" s="11"/>
      <c r="E118" s="11"/>
      <c r="F118" s="11"/>
      <c r="G118" s="11"/>
      <c r="H118" s="185" t="s">
        <v>308</v>
      </c>
      <c r="I118" s="122"/>
      <c r="J118" s="122"/>
      <c r="K118" s="11"/>
      <c r="L118" s="90" t="str">
        <f>IF(_epmOfflineCondition_,"464200",_xll.EVPRO($B$1,H118,"JDEID"))</f>
        <v>464200</v>
      </c>
      <c r="M118" s="90" t="str">
        <f>IF(_epmOfflineCondition_,"",IF(AND(I118="N",J118="N"),_xll.EVPRO($B$1,H118,"PSFTID"),""))</f>
        <v/>
      </c>
      <c r="N118" s="90" t="str">
        <f>IF(_epmOfflineCondition_,"Bar Liquor",IF(_xll.EVDES(H118,$B$1)="#NODATA","",_xll.EVDES(H118,$B$1)))</f>
        <v>Bar Liquor</v>
      </c>
      <c r="O118" s="143">
        <v>4090</v>
      </c>
      <c r="P118" s="143">
        <v>13699</v>
      </c>
      <c r="Q118" s="143">
        <v>11935.2</v>
      </c>
      <c r="R118" s="143">
        <v>7631.8</v>
      </c>
      <c r="S118" s="143">
        <v>7830.65</v>
      </c>
      <c r="T118" s="143">
        <v>8912</v>
      </c>
      <c r="U118" s="143">
        <v>6891.34</v>
      </c>
      <c r="V118" s="143">
        <v>1999</v>
      </c>
      <c r="W118" s="143">
        <v>2578.2600000000002</v>
      </c>
      <c r="X118" s="143">
        <v>4742</v>
      </c>
      <c r="Y118" s="143">
        <v>5236</v>
      </c>
      <c r="Z118" s="143">
        <v>15177.47</v>
      </c>
      <c r="AA118" s="143">
        <f t="shared" si="34"/>
        <v>90722.72</v>
      </c>
      <c r="AB118" s="144">
        <f t="shared" si="35"/>
        <v>6.8248557404764529E-2</v>
      </c>
      <c r="AC118" s="140"/>
      <c r="AD118" s="143">
        <v>71212.487999999998</v>
      </c>
      <c r="AE118" s="144">
        <f t="shared" si="36"/>
        <v>5.6942352190019738E-2</v>
      </c>
      <c r="AF118" s="145">
        <f t="shared" si="37"/>
        <v>19510.232000000004</v>
      </c>
      <c r="AG118" s="143">
        <v>50263.040000000001</v>
      </c>
      <c r="AH118" s="144">
        <f t="shared" si="38"/>
        <v>0.10218134212828504</v>
      </c>
      <c r="AI118" s="145">
        <f t="shared" si="39"/>
        <v>40459.68</v>
      </c>
    </row>
    <row r="119" spans="1:35" x14ac:dyDescent="0.35">
      <c r="A119" s="11"/>
      <c r="B119" s="11"/>
      <c r="C119" s="208"/>
      <c r="D119" s="11"/>
      <c r="E119" s="11"/>
      <c r="F119" s="11"/>
      <c r="G119" s="11"/>
      <c r="H119" s="185" t="s">
        <v>321</v>
      </c>
      <c r="I119" s="122"/>
      <c r="J119" s="122"/>
      <c r="K119" s="11"/>
      <c r="L119" s="90" t="str">
        <f>IF(_epmOfflineCondition_,"465200",_xll.EVPRO($B$1,H119,"JDEID"))</f>
        <v>465200</v>
      </c>
      <c r="M119" s="90" t="str">
        <f>IF(_epmOfflineCondition_,"",IF(AND(I119="N",J119="N"),_xll.EVPRO($B$1,H119,"PSFTID"),""))</f>
        <v/>
      </c>
      <c r="N119" s="90" t="str">
        <f>IF(_epmOfflineCondition_,"Private Dining Liquor",IF(_xll.EVDES(H119,$B$1)="#NODATA","",_xll.EVDES(H119,$B$1)))</f>
        <v>Private Dining Liquor</v>
      </c>
      <c r="O119" s="143"/>
      <c r="P119" s="143"/>
      <c r="Q119" s="143"/>
      <c r="R119" s="143"/>
      <c r="S119" s="143"/>
      <c r="T119" s="143"/>
      <c r="U119" s="143"/>
      <c r="V119" s="143"/>
      <c r="W119" s="143"/>
      <c r="X119" s="143"/>
      <c r="Y119" s="143"/>
      <c r="Z119" s="143"/>
      <c r="AA119" s="143">
        <f t="shared" si="34"/>
        <v>0</v>
      </c>
      <c r="AB119" s="144" t="str">
        <f t="shared" si="35"/>
        <v/>
      </c>
      <c r="AC119" s="140"/>
      <c r="AD119" s="143"/>
      <c r="AE119" s="144" t="str">
        <f t="shared" si="36"/>
        <v/>
      </c>
      <c r="AF119" s="145">
        <f t="shared" si="37"/>
        <v>0</v>
      </c>
      <c r="AG119" s="143">
        <v>2214</v>
      </c>
      <c r="AH119" s="144">
        <f t="shared" si="38"/>
        <v>4.5009114345654997E-3</v>
      </c>
      <c r="AI119" s="145">
        <f t="shared" si="39"/>
        <v>-2214</v>
      </c>
    </row>
    <row r="120" spans="1:35" x14ac:dyDescent="0.35">
      <c r="A120" s="11"/>
      <c r="B120" s="11"/>
      <c r="C120" s="208"/>
      <c r="D120" s="11"/>
      <c r="E120" s="11"/>
      <c r="F120" s="11"/>
      <c r="G120" s="11"/>
      <c r="H120" s="185" t="s">
        <v>808</v>
      </c>
      <c r="I120" s="122"/>
      <c r="J120" s="122"/>
      <c r="K120" s="11"/>
      <c r="L120" s="90" t="str">
        <f>IF(_epmOfflineCondition_,"471210",_xll.EVPRO($B$1,H120,"JDEID"))</f>
        <v>471210</v>
      </c>
      <c r="M120" s="90" t="str">
        <f>IF(_epmOfflineCondition_,"",IF(AND(I120="N",J120="N"),_xll.EVPRO($B$1,H120,"PSFTID"),""))</f>
        <v/>
      </c>
      <c r="N120" s="90" t="str">
        <f>IF(_epmOfflineCondition_,"Reception Liquor",IF(_xll.EVDES(H120,$B$1)="#NODATA","",_xll.EVDES(H120,$B$1)))</f>
        <v>Reception Liquor</v>
      </c>
      <c r="O120" s="143"/>
      <c r="P120" s="143"/>
      <c r="Q120" s="143"/>
      <c r="R120" s="143"/>
      <c r="S120" s="143"/>
      <c r="T120" s="143"/>
      <c r="U120" s="143"/>
      <c r="V120" s="143"/>
      <c r="W120" s="143"/>
      <c r="X120" s="143"/>
      <c r="Y120" s="143"/>
      <c r="Z120" s="143"/>
      <c r="AA120" s="143">
        <f t="shared" si="34"/>
        <v>0</v>
      </c>
      <c r="AB120" s="144" t="str">
        <f t="shared" si="35"/>
        <v/>
      </c>
      <c r="AC120" s="140"/>
      <c r="AD120" s="143"/>
      <c r="AE120" s="144" t="str">
        <f t="shared" si="36"/>
        <v/>
      </c>
      <c r="AF120" s="145">
        <f t="shared" si="37"/>
        <v>0</v>
      </c>
      <c r="AG120" s="143">
        <v>689</v>
      </c>
      <c r="AH120" s="144">
        <f t="shared" si="38"/>
        <v>1.4006901438191641E-3</v>
      </c>
      <c r="AI120" s="145">
        <f t="shared" si="39"/>
        <v>-689</v>
      </c>
    </row>
    <row r="121" spans="1:35" x14ac:dyDescent="0.35">
      <c r="A121" s="11"/>
      <c r="B121" s="11"/>
      <c r="C121" s="208"/>
      <c r="D121" s="11"/>
      <c r="E121" s="11"/>
      <c r="F121" s="11"/>
      <c r="G121" s="11"/>
      <c r="H121" s="185" t="s">
        <v>340</v>
      </c>
      <c r="I121" s="122"/>
      <c r="J121" s="122"/>
      <c r="K121" s="11"/>
      <c r="L121" s="90" t="str">
        <f>IF(_epmOfflineCondition_,"",_xll.EVPRO($B$1,H121,"JDEID"))</f>
        <v/>
      </c>
      <c r="M121" s="90" t="str">
        <f>IF(_epmOfflineCondition_,"",IF(AND(I121="N",J121="N"),_xll.EVPRO($B$1,H121,"PSFTID"),""))</f>
        <v/>
      </c>
      <c r="N121" s="106" t="str">
        <f>IF(_epmOfflineCondition_,"Liquor Revenue ",IF(_xll.EVDES(H121,$B$1)="#NODATA","",_xll.EVDES(H121,$B$1)))</f>
        <v xml:space="preserve">Liquor Revenue </v>
      </c>
      <c r="O121" s="166">
        <v>14656.05</v>
      </c>
      <c r="P121" s="166">
        <v>31831.06</v>
      </c>
      <c r="Q121" s="166">
        <v>39832.129999999997</v>
      </c>
      <c r="R121" s="166">
        <v>43232.75</v>
      </c>
      <c r="S121" s="166">
        <v>43039.97</v>
      </c>
      <c r="T121" s="166">
        <v>42814.559999999998</v>
      </c>
      <c r="U121" s="166">
        <v>43518.14</v>
      </c>
      <c r="V121" s="166">
        <v>28125.87</v>
      </c>
      <c r="W121" s="166">
        <v>22094.26</v>
      </c>
      <c r="X121" s="166">
        <v>29091.279999999999</v>
      </c>
      <c r="Y121" s="166">
        <v>31293.599999999999</v>
      </c>
      <c r="Z121" s="166">
        <v>44271.56</v>
      </c>
      <c r="AA121" s="166">
        <f t="shared" si="34"/>
        <v>413801.22999999992</v>
      </c>
      <c r="AB121" s="167">
        <f t="shared" si="35"/>
        <v>0.31129288231015517</v>
      </c>
      <c r="AC121" s="140"/>
      <c r="AD121" s="166">
        <v>284615.142235348</v>
      </c>
      <c r="AE121" s="167">
        <f t="shared" si="36"/>
        <v>0.22758165208014847</v>
      </c>
      <c r="AF121" s="168">
        <f t="shared" si="37"/>
        <v>129186.08776465192</v>
      </c>
      <c r="AG121" s="166">
        <v>106428.71</v>
      </c>
      <c r="AH121" s="167">
        <f t="shared" si="38"/>
        <v>0.21636232963191307</v>
      </c>
      <c r="AI121" s="168">
        <f t="shared" si="39"/>
        <v>307372.5199999999</v>
      </c>
    </row>
    <row r="122" spans="1:35" x14ac:dyDescent="0.35">
      <c r="A122" s="11"/>
      <c r="B122" s="11"/>
      <c r="C122" s="208"/>
      <c r="D122" s="11"/>
      <c r="E122" s="11"/>
      <c r="F122" s="11"/>
      <c r="G122" s="11"/>
      <c r="H122" s="185"/>
      <c r="I122" s="122"/>
      <c r="J122" s="122"/>
      <c r="K122" s="11"/>
      <c r="L122" s="90"/>
      <c r="M122" s="90"/>
      <c r="N122" s="53"/>
      <c r="O122" s="174"/>
      <c r="P122" s="175"/>
      <c r="Q122" s="175"/>
      <c r="R122" s="175"/>
      <c r="S122" s="175"/>
      <c r="T122" s="175"/>
      <c r="U122" s="175"/>
      <c r="V122" s="175"/>
      <c r="W122" s="175"/>
      <c r="X122" s="175"/>
      <c r="Y122" s="175"/>
      <c r="Z122" s="175"/>
      <c r="AA122" s="175"/>
      <c r="AB122" s="176"/>
      <c r="AC122" s="140"/>
      <c r="AD122" s="174"/>
      <c r="AE122" s="175"/>
      <c r="AF122" s="176"/>
      <c r="AG122" s="174"/>
      <c r="AH122" s="175"/>
      <c r="AI122" s="176"/>
    </row>
    <row r="123" spans="1:35" x14ac:dyDescent="0.35">
      <c r="A123" s="11"/>
      <c r="B123" s="11"/>
      <c r="C123" s="208"/>
      <c r="D123" s="11"/>
      <c r="E123" s="11"/>
      <c r="F123" s="11"/>
      <c r="G123" s="11"/>
      <c r="H123" s="185"/>
      <c r="I123" s="122"/>
      <c r="J123" s="122"/>
      <c r="K123" s="11"/>
      <c r="L123" s="90"/>
      <c r="M123" s="90"/>
      <c r="N123" s="53" t="s">
        <v>339</v>
      </c>
      <c r="O123" s="162"/>
      <c r="P123" s="163"/>
      <c r="Q123" s="163"/>
      <c r="R123" s="163"/>
      <c r="S123" s="163"/>
      <c r="T123" s="163"/>
      <c r="U123" s="163"/>
      <c r="V123" s="163"/>
      <c r="W123" s="163"/>
      <c r="X123" s="163"/>
      <c r="Y123" s="163"/>
      <c r="Z123" s="163"/>
      <c r="AA123" s="163"/>
      <c r="AB123" s="164"/>
      <c r="AC123" s="140"/>
      <c r="AD123" s="162"/>
      <c r="AE123" s="163"/>
      <c r="AF123" s="164"/>
      <c r="AG123" s="162"/>
      <c r="AH123" s="163"/>
      <c r="AI123" s="164"/>
    </row>
    <row r="124" spans="1:35" x14ac:dyDescent="0.35">
      <c r="A124" s="11"/>
      <c r="B124" s="11"/>
      <c r="C124" s="208"/>
      <c r="D124" s="11"/>
      <c r="E124" s="11"/>
      <c r="F124" s="11"/>
      <c r="G124" s="11"/>
      <c r="H124" s="185" t="s">
        <v>295</v>
      </c>
      <c r="I124" s="122"/>
      <c r="J124" s="122"/>
      <c r="K124" s="11"/>
      <c r="L124" s="90" t="str">
        <f>IF(_epmOfflineCondition_,"461300",_xll.EVPRO($B$1,H124,"JDEID"))</f>
        <v>461300</v>
      </c>
      <c r="M124" s="90" t="str">
        <f>IF(_epmOfflineCondition_,"",IF(AND(I124="N",J124="N"),_xll.EVPRO($B$1,H124,"PSFTID"),""))</f>
        <v/>
      </c>
      <c r="N124" s="90" t="str">
        <f>IF(_epmOfflineCondition_,"Breakfast Beer",IF(_xll.EVDES(H124,$B$1)="#NODATA","",_xll.EVDES(H124,$B$1)))</f>
        <v>Breakfast Beer</v>
      </c>
      <c r="O124" s="143"/>
      <c r="P124" s="143">
        <v>24</v>
      </c>
      <c r="Q124" s="143">
        <v>42</v>
      </c>
      <c r="R124" s="143">
        <v>28</v>
      </c>
      <c r="S124" s="143">
        <v>129</v>
      </c>
      <c r="T124" s="143"/>
      <c r="U124" s="143">
        <v>22</v>
      </c>
      <c r="V124" s="143">
        <v>40</v>
      </c>
      <c r="W124" s="143">
        <v>16</v>
      </c>
      <c r="X124" s="143">
        <v>23</v>
      </c>
      <c r="Y124" s="143">
        <v>32</v>
      </c>
      <c r="Z124" s="143">
        <v>384</v>
      </c>
      <c r="AA124" s="143">
        <f t="shared" ref="AA124:AA130" si="40">SUM(O124:Z124)</f>
        <v>740</v>
      </c>
      <c r="AB124" s="144">
        <f t="shared" ref="AB124:AB130" si="41">IF(AA124=0,"",IFERROR(AA124/AA$19,""))</f>
        <v>5.5668450504488569E-4</v>
      </c>
      <c r="AC124" s="140"/>
      <c r="AD124" s="143"/>
      <c r="AE124" s="144" t="str">
        <f t="shared" ref="AE124:AE130" si="42">IF(AD124=0,"",IFERROR(AD124/AD$19,""))</f>
        <v/>
      </c>
      <c r="AF124" s="145">
        <f t="shared" ref="AF124:AF130" si="43">IF(AND($AA124="",AD124=""),"",$AA124-AD124)</f>
        <v>740</v>
      </c>
      <c r="AG124" s="143">
        <v>91</v>
      </c>
      <c r="AH124" s="144">
        <f t="shared" ref="AH124:AH130" si="44">IF(AG124=0,"",IFERROR(AG124/AG$19,""))</f>
        <v>1.8499681144781412E-4</v>
      </c>
      <c r="AI124" s="145">
        <f t="shared" ref="AI124:AI130" si="45">IF(AND($AA124="",AG124=""),"",$AA124-AG124)</f>
        <v>649</v>
      </c>
    </row>
    <row r="125" spans="1:35" x14ac:dyDescent="0.35">
      <c r="A125" s="11"/>
      <c r="B125" s="11"/>
      <c r="C125" s="208"/>
      <c r="D125" s="11"/>
      <c r="E125" s="11"/>
      <c r="F125" s="11"/>
      <c r="G125" s="11"/>
      <c r="H125" s="185" t="s">
        <v>305</v>
      </c>
      <c r="I125" s="122"/>
      <c r="J125" s="122"/>
      <c r="K125" s="11"/>
      <c r="L125" s="90" t="str">
        <f>IF(_epmOfflineCondition_,"462300",_xll.EVPRO($B$1,H125,"JDEID"))</f>
        <v>462300</v>
      </c>
      <c r="M125" s="90" t="str">
        <f>IF(_epmOfflineCondition_,"",IF(AND(I125="N",J125="N"),_xll.EVPRO($B$1,H125,"PSFTID"),""))</f>
        <v/>
      </c>
      <c r="N125" s="90" t="str">
        <f>IF(_epmOfflineCondition_,"Lunch Beer",IF(_xll.EVDES(H125,$B$1)="#NODATA","",_xll.EVDES(H125,$B$1)))</f>
        <v>Lunch Beer</v>
      </c>
      <c r="O125" s="143">
        <v>612.79999999999995</v>
      </c>
      <c r="P125" s="143">
        <v>1124</v>
      </c>
      <c r="Q125" s="143">
        <v>1737</v>
      </c>
      <c r="R125" s="143">
        <v>2516.1999999999998</v>
      </c>
      <c r="S125" s="143">
        <v>2894</v>
      </c>
      <c r="T125" s="143">
        <v>1915.2</v>
      </c>
      <c r="U125" s="143">
        <v>2133</v>
      </c>
      <c r="V125" s="143">
        <v>1660.4</v>
      </c>
      <c r="W125" s="143">
        <v>1216</v>
      </c>
      <c r="X125" s="143">
        <v>2294.4</v>
      </c>
      <c r="Y125" s="143">
        <v>2936</v>
      </c>
      <c r="Z125" s="143">
        <v>3119</v>
      </c>
      <c r="AA125" s="143">
        <f t="shared" si="40"/>
        <v>24158</v>
      </c>
      <c r="AB125" s="144">
        <f t="shared" si="41"/>
        <v>1.8173492260641008E-2</v>
      </c>
      <c r="AC125" s="140"/>
      <c r="AD125" s="143">
        <v>25334.415000000001</v>
      </c>
      <c r="AE125" s="144">
        <f t="shared" si="42"/>
        <v>2.0257699484648242E-2</v>
      </c>
      <c r="AF125" s="145">
        <f t="shared" si="43"/>
        <v>-1176.4150000000009</v>
      </c>
      <c r="AG125" s="143">
        <v>5409.2</v>
      </c>
      <c r="AH125" s="144">
        <f t="shared" si="44"/>
        <v>1.09965357415771E-2</v>
      </c>
      <c r="AI125" s="145">
        <f t="shared" si="45"/>
        <v>18748.8</v>
      </c>
    </row>
    <row r="126" spans="1:35" x14ac:dyDescent="0.35">
      <c r="A126" s="11"/>
      <c r="B126" s="11"/>
      <c r="C126" s="208"/>
      <c r="D126" s="11"/>
      <c r="E126" s="11"/>
      <c r="F126" s="11"/>
      <c r="G126" s="11"/>
      <c r="H126" s="185" t="s">
        <v>306</v>
      </c>
      <c r="I126" s="122"/>
      <c r="J126" s="122"/>
      <c r="K126" s="11"/>
      <c r="L126" s="90" t="str">
        <f>IF(_epmOfflineCondition_,"463300",_xll.EVPRO($B$1,H126,"JDEID"))</f>
        <v>463300</v>
      </c>
      <c r="M126" s="90" t="str">
        <f>IF(_epmOfflineCondition_,"",IF(AND(I126="N",J126="N"),_xll.EVPRO($B$1,H126,"PSFTID"),""))</f>
        <v/>
      </c>
      <c r="N126" s="90" t="str">
        <f>IF(_epmOfflineCondition_,"Dinner Beer",IF(_xll.EVDES(H126,$B$1)="#NODATA","",_xll.EVDES(H126,$B$1)))</f>
        <v>Dinner Beer</v>
      </c>
      <c r="O126" s="143">
        <v>744.8</v>
      </c>
      <c r="P126" s="143">
        <v>973</v>
      </c>
      <c r="Q126" s="143">
        <v>950.54</v>
      </c>
      <c r="R126" s="143">
        <v>687.37</v>
      </c>
      <c r="S126" s="143">
        <v>587</v>
      </c>
      <c r="T126" s="143">
        <v>313</v>
      </c>
      <c r="U126" s="143">
        <v>441</v>
      </c>
      <c r="V126" s="143">
        <v>218</v>
      </c>
      <c r="W126" s="143">
        <v>223</v>
      </c>
      <c r="X126" s="143">
        <v>412.01</v>
      </c>
      <c r="Y126" s="143">
        <v>513</v>
      </c>
      <c r="Z126" s="143">
        <v>767</v>
      </c>
      <c r="AA126" s="143">
        <f t="shared" si="40"/>
        <v>6829.72</v>
      </c>
      <c r="AB126" s="144">
        <f t="shared" si="41"/>
        <v>5.1378368889123732E-3</v>
      </c>
      <c r="AC126" s="140"/>
      <c r="AD126" s="143">
        <v>20715.012588245099</v>
      </c>
      <c r="AE126" s="144">
        <f t="shared" si="42"/>
        <v>1.6563970387055496E-2</v>
      </c>
      <c r="AF126" s="145">
        <f t="shared" si="43"/>
        <v>-13885.292588245098</v>
      </c>
      <c r="AG126" s="143">
        <v>3194.96</v>
      </c>
      <c r="AH126" s="144">
        <f t="shared" si="44"/>
        <v>6.4951364033330574E-3</v>
      </c>
      <c r="AI126" s="145">
        <f t="shared" si="45"/>
        <v>3634.76</v>
      </c>
    </row>
    <row r="127" spans="1:35" x14ac:dyDescent="0.35">
      <c r="A127" s="11"/>
      <c r="B127" s="11"/>
      <c r="C127" s="208"/>
      <c r="D127" s="11"/>
      <c r="E127" s="11"/>
      <c r="F127" s="11"/>
      <c r="G127" s="11"/>
      <c r="H127" s="185" t="s">
        <v>310</v>
      </c>
      <c r="I127" s="122"/>
      <c r="J127" s="122"/>
      <c r="K127" s="11"/>
      <c r="L127" s="90" t="str">
        <f>IF(_epmOfflineCondition_,"464300",_xll.EVPRO($B$1,H127,"JDEID"))</f>
        <v>464300</v>
      </c>
      <c r="M127" s="90" t="str">
        <f>IF(_epmOfflineCondition_,"",IF(AND(I127="N",J127="N"),_xll.EVPRO($B$1,H127,"PSFTID"),""))</f>
        <v/>
      </c>
      <c r="N127" s="90" t="str">
        <f>IF(_epmOfflineCondition_,"Bar Beer",IF(_xll.EVDES(H127,$B$1)="#NODATA","",_xll.EVDES(H127,$B$1)))</f>
        <v>Bar Beer</v>
      </c>
      <c r="O127" s="143">
        <v>391</v>
      </c>
      <c r="P127" s="143">
        <v>1022</v>
      </c>
      <c r="Q127" s="143">
        <v>946.9</v>
      </c>
      <c r="R127" s="143">
        <v>678</v>
      </c>
      <c r="S127" s="143">
        <v>634</v>
      </c>
      <c r="T127" s="143">
        <v>438</v>
      </c>
      <c r="U127" s="143">
        <v>431</v>
      </c>
      <c r="V127" s="143">
        <v>145</v>
      </c>
      <c r="W127" s="143">
        <v>151</v>
      </c>
      <c r="X127" s="143">
        <v>295</v>
      </c>
      <c r="Y127" s="143">
        <v>614</v>
      </c>
      <c r="Z127" s="143">
        <v>1743.58</v>
      </c>
      <c r="AA127" s="143">
        <f t="shared" si="40"/>
        <v>7489.48</v>
      </c>
      <c r="AB127" s="144">
        <f t="shared" si="41"/>
        <v>5.6341587389777967E-3</v>
      </c>
      <c r="AC127" s="140"/>
      <c r="AD127" s="143">
        <v>14536.880999999999</v>
      </c>
      <c r="AE127" s="144">
        <f t="shared" si="42"/>
        <v>1.1623862905146725E-2</v>
      </c>
      <c r="AF127" s="145">
        <f t="shared" si="43"/>
        <v>-7047.4009999999998</v>
      </c>
      <c r="AG127" s="143">
        <v>7892.51</v>
      </c>
      <c r="AH127" s="144">
        <f t="shared" si="44"/>
        <v>1.6044936091428433E-2</v>
      </c>
      <c r="AI127" s="145">
        <f t="shared" si="45"/>
        <v>-403.03000000000065</v>
      </c>
    </row>
    <row r="128" spans="1:35" x14ac:dyDescent="0.35">
      <c r="A128" s="11"/>
      <c r="B128" s="11"/>
      <c r="C128" s="208"/>
      <c r="D128" s="11"/>
      <c r="E128" s="11"/>
      <c r="F128" s="11"/>
      <c r="G128" s="11"/>
      <c r="H128" s="185" t="s">
        <v>323</v>
      </c>
      <c r="I128" s="122"/>
      <c r="J128" s="122"/>
      <c r="K128" s="11"/>
      <c r="L128" s="90" t="str">
        <f>IF(_epmOfflineCondition_,"465300",_xll.EVPRO($B$1,H128,"JDEID"))</f>
        <v>465300</v>
      </c>
      <c r="M128" s="90" t="str">
        <f>IF(_epmOfflineCondition_,"",IF(AND(I128="N",J128="N"),_xll.EVPRO($B$1,H128,"PSFTID"),""))</f>
        <v/>
      </c>
      <c r="N128" s="90" t="str">
        <f>IF(_epmOfflineCondition_,"Private Dining Beer",IF(_xll.EVDES(H128,$B$1)="#NODATA","",_xll.EVDES(H128,$B$1)))</f>
        <v>Private Dining Beer</v>
      </c>
      <c r="O128" s="143"/>
      <c r="P128" s="143"/>
      <c r="Q128" s="143"/>
      <c r="R128" s="143"/>
      <c r="S128" s="143"/>
      <c r="T128" s="143"/>
      <c r="U128" s="143"/>
      <c r="V128" s="143"/>
      <c r="W128" s="143"/>
      <c r="X128" s="143"/>
      <c r="Y128" s="143"/>
      <c r="Z128" s="143"/>
      <c r="AA128" s="143">
        <f t="shared" si="40"/>
        <v>0</v>
      </c>
      <c r="AB128" s="144" t="str">
        <f t="shared" si="41"/>
        <v/>
      </c>
      <c r="AC128" s="140"/>
      <c r="AD128" s="143"/>
      <c r="AE128" s="144" t="str">
        <f t="shared" si="42"/>
        <v/>
      </c>
      <c r="AF128" s="145">
        <f t="shared" si="43"/>
        <v>0</v>
      </c>
      <c r="AG128" s="143">
        <v>748</v>
      </c>
      <c r="AH128" s="144">
        <f t="shared" si="44"/>
        <v>1.5206331314611533E-3</v>
      </c>
      <c r="AI128" s="145">
        <f t="shared" si="45"/>
        <v>-748</v>
      </c>
    </row>
    <row r="129" spans="1:35" x14ac:dyDescent="0.35">
      <c r="A129" s="11"/>
      <c r="B129" s="11"/>
      <c r="C129" s="208"/>
      <c r="D129" s="11"/>
      <c r="E129" s="11"/>
      <c r="F129" s="11"/>
      <c r="G129" s="11"/>
      <c r="H129" s="185" t="s">
        <v>809</v>
      </c>
      <c r="I129" s="122"/>
      <c r="J129" s="122"/>
      <c r="K129" s="11"/>
      <c r="L129" s="90" t="str">
        <f>IF(_epmOfflineCondition_,"471310",_xll.EVPRO($B$1,H129,"JDEID"))</f>
        <v>471310</v>
      </c>
      <c r="M129" s="90" t="str">
        <f>IF(_epmOfflineCondition_,"",IF(AND(I129="N",J129="N"),_xll.EVPRO($B$1,H129,"PSFTID"),""))</f>
        <v/>
      </c>
      <c r="N129" s="90" t="str">
        <f>IF(_epmOfflineCondition_,"Reception Beer",IF(_xll.EVDES(H129,$B$1)="#NODATA","",_xll.EVDES(H129,$B$1)))</f>
        <v>Reception Beer</v>
      </c>
      <c r="O129" s="143"/>
      <c r="P129" s="143"/>
      <c r="Q129" s="143"/>
      <c r="R129" s="143"/>
      <c r="S129" s="143"/>
      <c r="T129" s="143"/>
      <c r="U129" s="143"/>
      <c r="V129" s="143"/>
      <c r="W129" s="143"/>
      <c r="X129" s="143"/>
      <c r="Y129" s="143"/>
      <c r="Z129" s="143"/>
      <c r="AA129" s="143">
        <f t="shared" si="40"/>
        <v>0</v>
      </c>
      <c r="AB129" s="144" t="str">
        <f t="shared" si="41"/>
        <v/>
      </c>
      <c r="AC129" s="140"/>
      <c r="AD129" s="143"/>
      <c r="AE129" s="144" t="str">
        <f t="shared" si="42"/>
        <v/>
      </c>
      <c r="AF129" s="145">
        <f t="shared" si="43"/>
        <v>0</v>
      </c>
      <c r="AG129" s="143">
        <v>125</v>
      </c>
      <c r="AH129" s="144">
        <f t="shared" si="44"/>
        <v>2.5411649924150293E-4</v>
      </c>
      <c r="AI129" s="145">
        <f t="shared" si="45"/>
        <v>-125</v>
      </c>
    </row>
    <row r="130" spans="1:35" x14ac:dyDescent="0.35">
      <c r="A130" s="11"/>
      <c r="B130" s="11"/>
      <c r="C130" s="208"/>
      <c r="D130" s="11"/>
      <c r="E130" s="11"/>
      <c r="F130" s="11"/>
      <c r="G130" s="11"/>
      <c r="H130" s="185" t="s">
        <v>342</v>
      </c>
      <c r="I130" s="122"/>
      <c r="J130" s="122"/>
      <c r="K130" s="11"/>
      <c r="L130" s="90" t="str">
        <f>IF(_epmOfflineCondition_,"",_xll.EVPRO($B$1,H130,"JDEID"))</f>
        <v/>
      </c>
      <c r="M130" s="90" t="str">
        <f>IF(_epmOfflineCondition_,"",IF(AND(I130="N",J130="N"),_xll.EVPRO($B$1,H130,"PSFTID"),""))</f>
        <v/>
      </c>
      <c r="N130" s="106" t="str">
        <f>IF(_epmOfflineCondition_,"Beer Revenue",IF(_xll.EVDES(H130,$B$1)="#NODATA","",_xll.EVDES(H130,$B$1)))</f>
        <v>Beer Revenue</v>
      </c>
      <c r="O130" s="166">
        <v>1748.6</v>
      </c>
      <c r="P130" s="166">
        <v>3143</v>
      </c>
      <c r="Q130" s="166">
        <v>3676.44</v>
      </c>
      <c r="R130" s="166">
        <v>3909.57</v>
      </c>
      <c r="S130" s="166">
        <v>4244</v>
      </c>
      <c r="T130" s="166">
        <v>2666.2</v>
      </c>
      <c r="U130" s="166">
        <v>3027</v>
      </c>
      <c r="V130" s="166">
        <v>2063.4</v>
      </c>
      <c r="W130" s="166">
        <v>1606</v>
      </c>
      <c r="X130" s="166">
        <v>3024.41</v>
      </c>
      <c r="Y130" s="166">
        <v>4095</v>
      </c>
      <c r="Z130" s="166">
        <v>6013.58</v>
      </c>
      <c r="AA130" s="166">
        <f t="shared" si="40"/>
        <v>39217.200000000004</v>
      </c>
      <c r="AB130" s="167">
        <f t="shared" si="41"/>
        <v>2.9502172393576068E-2</v>
      </c>
      <c r="AC130" s="140"/>
      <c r="AD130" s="166">
        <v>60586.308588245098</v>
      </c>
      <c r="AE130" s="167">
        <f t="shared" si="42"/>
        <v>4.8445532776850458E-2</v>
      </c>
      <c r="AF130" s="168">
        <f t="shared" si="43"/>
        <v>-21369.108588245093</v>
      </c>
      <c r="AG130" s="166">
        <v>17460.669999999998</v>
      </c>
      <c r="AH130" s="167">
        <f t="shared" si="44"/>
        <v>3.5496354678489057E-2</v>
      </c>
      <c r="AI130" s="168">
        <f t="shared" si="45"/>
        <v>21756.530000000006</v>
      </c>
    </row>
    <row r="131" spans="1:35" x14ac:dyDescent="0.35">
      <c r="A131" s="11"/>
      <c r="B131" s="11"/>
      <c r="C131" s="208"/>
      <c r="D131" s="11"/>
      <c r="E131" s="11"/>
      <c r="F131" s="11"/>
      <c r="G131" s="11"/>
      <c r="H131" s="185"/>
      <c r="I131" s="122"/>
      <c r="J131" s="122"/>
      <c r="K131" s="11"/>
      <c r="L131" s="90"/>
      <c r="M131" s="90"/>
      <c r="N131" s="53"/>
      <c r="O131" s="174"/>
      <c r="P131" s="175"/>
      <c r="Q131" s="175"/>
      <c r="R131" s="175"/>
      <c r="S131" s="175"/>
      <c r="T131" s="175"/>
      <c r="U131" s="175"/>
      <c r="V131" s="175"/>
      <c r="W131" s="175"/>
      <c r="X131" s="175"/>
      <c r="Y131" s="175"/>
      <c r="Z131" s="175"/>
      <c r="AA131" s="175"/>
      <c r="AB131" s="176"/>
      <c r="AC131" s="140"/>
      <c r="AD131" s="174"/>
      <c r="AE131" s="175"/>
      <c r="AF131" s="176"/>
      <c r="AG131" s="174"/>
      <c r="AH131" s="175"/>
      <c r="AI131" s="176"/>
    </row>
    <row r="132" spans="1:35" x14ac:dyDescent="0.35">
      <c r="A132" s="11"/>
      <c r="B132" s="11"/>
      <c r="C132" s="208"/>
      <c r="D132" s="11"/>
      <c r="E132" s="11"/>
      <c r="F132" s="11"/>
      <c r="G132" s="11"/>
      <c r="H132" s="185"/>
      <c r="I132" s="122"/>
      <c r="J132" s="122"/>
      <c r="K132" s="11"/>
      <c r="L132" s="90"/>
      <c r="M132" s="90"/>
      <c r="N132" s="53" t="s">
        <v>338</v>
      </c>
      <c r="O132" s="162"/>
      <c r="P132" s="163"/>
      <c r="Q132" s="163"/>
      <c r="R132" s="163"/>
      <c r="S132" s="163"/>
      <c r="T132" s="163"/>
      <c r="U132" s="163"/>
      <c r="V132" s="163"/>
      <c r="W132" s="163"/>
      <c r="X132" s="163"/>
      <c r="Y132" s="163"/>
      <c r="Z132" s="163"/>
      <c r="AA132" s="163"/>
      <c r="AB132" s="164"/>
      <c r="AC132" s="140"/>
      <c r="AD132" s="162"/>
      <c r="AE132" s="163"/>
      <c r="AF132" s="164"/>
      <c r="AG132" s="162"/>
      <c r="AH132" s="163"/>
      <c r="AI132" s="164"/>
    </row>
    <row r="133" spans="1:35" x14ac:dyDescent="0.35">
      <c r="A133" s="11"/>
      <c r="B133" s="11"/>
      <c r="C133" s="208"/>
      <c r="D133" s="11"/>
      <c r="E133" s="11"/>
      <c r="F133" s="11"/>
      <c r="G133" s="11"/>
      <c r="H133" s="185" t="s">
        <v>296</v>
      </c>
      <c r="I133" s="122"/>
      <c r="J133" s="122"/>
      <c r="K133" s="11"/>
      <c r="L133" s="90" t="str">
        <f>IF(_epmOfflineCondition_,"461400",_xll.EVPRO($B$1,H133,"JDEID"))</f>
        <v>461400</v>
      </c>
      <c r="M133" s="90" t="str">
        <f>IF(_epmOfflineCondition_,"",IF(AND(I133="N",J133="N"),_xll.EVPRO($B$1,H133,"PSFTID"),""))</f>
        <v/>
      </c>
      <c r="N133" s="90" t="str">
        <f>IF(_epmOfflineCondition_,"Breakfast Wine",IF(_xll.EVDES(H133,$B$1)="#NODATA","",_xll.EVDES(H133,$B$1)))</f>
        <v>Breakfast Wine</v>
      </c>
      <c r="O133" s="143">
        <v>755</v>
      </c>
      <c r="P133" s="143">
        <v>1134</v>
      </c>
      <c r="Q133" s="143">
        <v>1574</v>
      </c>
      <c r="R133" s="143">
        <v>1548</v>
      </c>
      <c r="S133" s="143">
        <v>1739</v>
      </c>
      <c r="T133" s="143">
        <v>1592</v>
      </c>
      <c r="U133" s="143">
        <v>1678</v>
      </c>
      <c r="V133" s="143">
        <v>558</v>
      </c>
      <c r="W133" s="143">
        <v>823</v>
      </c>
      <c r="X133" s="143">
        <v>1896</v>
      </c>
      <c r="Y133" s="143">
        <v>1134</v>
      </c>
      <c r="Z133" s="143">
        <v>2684.1</v>
      </c>
      <c r="AA133" s="143">
        <f t="shared" ref="AA133:AA139" si="46">SUM(O133:Z133)</f>
        <v>17115.099999999999</v>
      </c>
      <c r="AB133" s="144">
        <f t="shared" ref="AB133:AB139" si="47">IF(AA133=0,"",IFERROR(AA133/AA$19,""))</f>
        <v>1.2875285097694218E-2</v>
      </c>
      <c r="AC133" s="140"/>
      <c r="AD133" s="143">
        <v>11829.4125</v>
      </c>
      <c r="AE133" s="144">
        <f t="shared" ref="AE133:AE139" si="48">IF(AD133=0,"",IFERROR(AD133/AD$19,""))</f>
        <v>9.4589388981328945E-3</v>
      </c>
      <c r="AF133" s="145">
        <f t="shared" ref="AF133:AF139" si="49">IF(AND($AA133="",AD133=""),"",$AA133-AD133)</f>
        <v>5285.6874999999982</v>
      </c>
      <c r="AG133" s="143">
        <v>2186</v>
      </c>
      <c r="AH133" s="144">
        <f t="shared" ref="AH133:AH139" si="50">IF(AG133=0,"",IFERROR(AG133/AG$19,""))</f>
        <v>4.4439893387354032E-3</v>
      </c>
      <c r="AI133" s="145">
        <f t="shared" ref="AI133:AI139" si="51">IF(AND($AA133="",AG133=""),"",$AA133-AG133)</f>
        <v>14929.099999999999</v>
      </c>
    </row>
    <row r="134" spans="1:35" x14ac:dyDescent="0.35">
      <c r="A134" s="11"/>
      <c r="B134" s="11"/>
      <c r="C134" s="208"/>
      <c r="D134" s="11"/>
      <c r="E134" s="11"/>
      <c r="F134" s="11"/>
      <c r="G134" s="11"/>
      <c r="H134" s="185" t="s">
        <v>303</v>
      </c>
      <c r="I134" s="122"/>
      <c r="J134" s="122"/>
      <c r="K134" s="11"/>
      <c r="L134" s="90" t="str">
        <f>IF(_epmOfflineCondition_,"462400",_xll.EVPRO($B$1,H134,"JDEID"))</f>
        <v>462400</v>
      </c>
      <c r="M134" s="90" t="str">
        <f>IF(_epmOfflineCondition_,"",IF(AND(I134="N",J134="N"),_xll.EVPRO($B$1,H134,"PSFTID"),""))</f>
        <v/>
      </c>
      <c r="N134" s="90" t="str">
        <f>IF(_epmOfflineCondition_,"Lunch Wine",IF(_xll.EVDES(H134,$B$1)="#NODATA","",_xll.EVDES(H134,$B$1)))</f>
        <v>Lunch Wine</v>
      </c>
      <c r="O134" s="143">
        <v>870</v>
      </c>
      <c r="P134" s="143">
        <v>1759</v>
      </c>
      <c r="Q134" s="143">
        <v>2664</v>
      </c>
      <c r="R134" s="143">
        <v>3822.6</v>
      </c>
      <c r="S134" s="143">
        <v>4958</v>
      </c>
      <c r="T134" s="143">
        <v>2405</v>
      </c>
      <c r="U134" s="143">
        <v>4066</v>
      </c>
      <c r="V134" s="143">
        <v>3047.6</v>
      </c>
      <c r="W134" s="143">
        <v>2844.74</v>
      </c>
      <c r="X134" s="143">
        <v>3263</v>
      </c>
      <c r="Y134" s="143">
        <v>5772</v>
      </c>
      <c r="Z134" s="143">
        <v>5294</v>
      </c>
      <c r="AA134" s="143">
        <f t="shared" si="46"/>
        <v>40765.939999999995</v>
      </c>
      <c r="AB134" s="144">
        <f t="shared" si="47"/>
        <v>3.0667252880526356E-2</v>
      </c>
      <c r="AC134" s="140"/>
      <c r="AD134" s="143">
        <v>35121.802499999998</v>
      </c>
      <c r="AE134" s="144">
        <f t="shared" si="48"/>
        <v>2.808381091113283E-2</v>
      </c>
      <c r="AF134" s="145">
        <f t="shared" si="49"/>
        <v>5644.1374999999971</v>
      </c>
      <c r="AG134" s="143">
        <v>11105.7</v>
      </c>
      <c r="AH134" s="144">
        <f t="shared" si="50"/>
        <v>2.2577132845010874E-2</v>
      </c>
      <c r="AI134" s="145">
        <f t="shared" si="51"/>
        <v>29660.239999999994</v>
      </c>
    </row>
    <row r="135" spans="1:35" x14ac:dyDescent="0.35">
      <c r="A135" s="11"/>
      <c r="B135" s="11"/>
      <c r="C135" s="208"/>
      <c r="D135" s="11"/>
      <c r="E135" s="11"/>
      <c r="F135" s="11"/>
      <c r="G135" s="11"/>
      <c r="H135" s="185" t="s">
        <v>304</v>
      </c>
      <c r="I135" s="122"/>
      <c r="J135" s="122"/>
      <c r="K135" s="11"/>
      <c r="L135" s="90" t="str">
        <f>IF(_epmOfflineCondition_,"463400",_xll.EVPRO($B$1,H135,"JDEID"))</f>
        <v>463400</v>
      </c>
      <c r="M135" s="90" t="str">
        <f>IF(_epmOfflineCondition_,"",IF(AND(I135="N",J135="N"),_xll.EVPRO($B$1,H135,"PSFTID"),""))</f>
        <v/>
      </c>
      <c r="N135" s="90" t="str">
        <f>IF(_epmOfflineCondition_,"Dinner Wine",IF(_xll.EVDES(H135,$B$1)="#NODATA","",_xll.EVDES(H135,$B$1)))</f>
        <v>Dinner Wine</v>
      </c>
      <c r="O135" s="143">
        <v>3140</v>
      </c>
      <c r="P135" s="143">
        <v>4539</v>
      </c>
      <c r="Q135" s="143">
        <v>3719.45</v>
      </c>
      <c r="R135" s="143">
        <v>3668.95</v>
      </c>
      <c r="S135" s="143">
        <v>2462.8000000000002</v>
      </c>
      <c r="T135" s="143">
        <v>1790.06</v>
      </c>
      <c r="U135" s="143">
        <v>1828</v>
      </c>
      <c r="V135" s="143">
        <v>1402</v>
      </c>
      <c r="W135" s="143">
        <v>1880.08</v>
      </c>
      <c r="X135" s="143">
        <v>1540</v>
      </c>
      <c r="Y135" s="143">
        <v>3032.2</v>
      </c>
      <c r="Z135" s="143">
        <v>5855.78</v>
      </c>
      <c r="AA135" s="143">
        <f t="shared" si="46"/>
        <v>34858.320000000007</v>
      </c>
      <c r="AB135" s="144">
        <f t="shared" si="47"/>
        <v>2.6223090021481408E-2</v>
      </c>
      <c r="AC135" s="140"/>
      <c r="AD135" s="143">
        <v>113932.569235348</v>
      </c>
      <c r="AE135" s="144">
        <f t="shared" si="48"/>
        <v>9.110183712880518E-2</v>
      </c>
      <c r="AF135" s="145">
        <f t="shared" si="49"/>
        <v>-79074.24923534799</v>
      </c>
      <c r="AG135" s="143">
        <v>20001.060000000001</v>
      </c>
      <c r="AH135" s="144">
        <f t="shared" si="50"/>
        <v>4.0660794786554037E-2</v>
      </c>
      <c r="AI135" s="145">
        <f t="shared" si="51"/>
        <v>14857.260000000006</v>
      </c>
    </row>
    <row r="136" spans="1:35" x14ac:dyDescent="0.35">
      <c r="A136" s="11"/>
      <c r="B136" s="11"/>
      <c r="C136" s="208"/>
      <c r="D136" s="11"/>
      <c r="E136" s="11"/>
      <c r="F136" s="11"/>
      <c r="G136" s="11"/>
      <c r="H136" s="185" t="s">
        <v>309</v>
      </c>
      <c r="I136" s="122"/>
      <c r="J136" s="122"/>
      <c r="K136" s="11"/>
      <c r="L136" s="90" t="str">
        <f>IF(_epmOfflineCondition_,"464400",_xll.EVPRO($B$1,H136,"JDEID"))</f>
        <v>464400</v>
      </c>
      <c r="M136" s="90" t="str">
        <f>IF(_epmOfflineCondition_,"",IF(AND(I136="N",J136="N"),_xll.EVPRO($B$1,H136,"PSFTID"),""))</f>
        <v/>
      </c>
      <c r="N136" s="90" t="str">
        <f>IF(_epmOfflineCondition_,"Bar Wine",IF(_xll.EVDES(H136,$B$1)="#NODATA","",_xll.EVDES(H136,$B$1)))</f>
        <v>Bar Wine</v>
      </c>
      <c r="O136" s="143">
        <v>801.33</v>
      </c>
      <c r="P136" s="143">
        <v>2497.1999999999998</v>
      </c>
      <c r="Q136" s="143">
        <v>1650</v>
      </c>
      <c r="R136" s="143">
        <v>1129</v>
      </c>
      <c r="S136" s="143">
        <v>830</v>
      </c>
      <c r="T136" s="143">
        <v>928</v>
      </c>
      <c r="U136" s="143">
        <v>735</v>
      </c>
      <c r="V136" s="143">
        <v>196</v>
      </c>
      <c r="W136" s="143">
        <v>257</v>
      </c>
      <c r="X136" s="143">
        <v>664.5</v>
      </c>
      <c r="Y136" s="143">
        <v>1555</v>
      </c>
      <c r="Z136" s="143">
        <v>3504</v>
      </c>
      <c r="AA136" s="143">
        <f t="shared" si="46"/>
        <v>14747.029999999999</v>
      </c>
      <c r="AB136" s="144">
        <f t="shared" si="47"/>
        <v>1.1093842022205513E-2</v>
      </c>
      <c r="AC136" s="140"/>
      <c r="AD136" s="143">
        <v>27174.312000000002</v>
      </c>
      <c r="AE136" s="144">
        <f t="shared" si="48"/>
        <v>2.172890300399952E-2</v>
      </c>
      <c r="AF136" s="145">
        <f t="shared" si="49"/>
        <v>-12427.282000000003</v>
      </c>
      <c r="AG136" s="143">
        <v>16114.69</v>
      </c>
      <c r="AH136" s="144">
        <f t="shared" si="50"/>
        <v>3.2760068873296438E-2</v>
      </c>
      <c r="AI136" s="145">
        <f t="shared" si="51"/>
        <v>-1367.6600000000017</v>
      </c>
    </row>
    <row r="137" spans="1:35" x14ac:dyDescent="0.35">
      <c r="A137" s="11"/>
      <c r="B137" s="11"/>
      <c r="C137" s="208"/>
      <c r="D137" s="11"/>
      <c r="E137" s="11"/>
      <c r="F137" s="11"/>
      <c r="G137" s="11"/>
      <c r="H137" s="185" t="s">
        <v>322</v>
      </c>
      <c r="I137" s="122"/>
      <c r="J137" s="122"/>
      <c r="K137" s="11"/>
      <c r="L137" s="90" t="str">
        <f>IF(_epmOfflineCondition_,"465400",_xll.EVPRO($B$1,H137,"JDEID"))</f>
        <v>465400</v>
      </c>
      <c r="M137" s="90" t="str">
        <f>IF(_epmOfflineCondition_,"",IF(AND(I137="N",J137="N"),_xll.EVPRO($B$1,H137,"PSFTID"),""))</f>
        <v/>
      </c>
      <c r="N137" s="90" t="str">
        <f>IF(_epmOfflineCondition_,"Private Dining Wine",IF(_xll.EVDES(H137,$B$1)="#NODATA","",_xll.EVDES(H137,$B$1)))</f>
        <v>Private Dining Wine</v>
      </c>
      <c r="O137" s="143"/>
      <c r="P137" s="143"/>
      <c r="Q137" s="143"/>
      <c r="R137" s="143"/>
      <c r="S137" s="143"/>
      <c r="T137" s="143"/>
      <c r="U137" s="143"/>
      <c r="V137" s="143"/>
      <c r="W137" s="143"/>
      <c r="X137" s="143"/>
      <c r="Y137" s="143"/>
      <c r="Z137" s="143"/>
      <c r="AA137" s="143">
        <f t="shared" si="46"/>
        <v>0</v>
      </c>
      <c r="AB137" s="144" t="str">
        <f t="shared" si="47"/>
        <v/>
      </c>
      <c r="AC137" s="140"/>
      <c r="AD137" s="143"/>
      <c r="AE137" s="144" t="str">
        <f t="shared" si="48"/>
        <v/>
      </c>
      <c r="AF137" s="145">
        <f t="shared" si="49"/>
        <v>0</v>
      </c>
      <c r="AG137" s="143">
        <v>40</v>
      </c>
      <c r="AH137" s="144">
        <f t="shared" si="50"/>
        <v>8.1317279757280934E-5</v>
      </c>
      <c r="AI137" s="145">
        <f t="shared" si="51"/>
        <v>-40</v>
      </c>
    </row>
    <row r="138" spans="1:35" x14ac:dyDescent="0.35">
      <c r="A138" s="11"/>
      <c r="B138" s="11"/>
      <c r="C138" s="208"/>
      <c r="D138" s="11"/>
      <c r="E138" s="11"/>
      <c r="F138" s="11"/>
      <c r="G138" s="11"/>
      <c r="H138" s="185" t="s">
        <v>810</v>
      </c>
      <c r="I138" s="122"/>
      <c r="J138" s="122"/>
      <c r="K138" s="11"/>
      <c r="L138" s="90" t="str">
        <f>IF(_epmOfflineCondition_,"471410",_xll.EVPRO($B$1,H138,"JDEID"))</f>
        <v>471410</v>
      </c>
      <c r="M138" s="90" t="str">
        <f>IF(_epmOfflineCondition_,"",IF(AND(I138="N",J138="N"),_xll.EVPRO($B$1,H138,"PSFTID"),""))</f>
        <v/>
      </c>
      <c r="N138" s="90" t="str">
        <f>IF(_epmOfflineCondition_,"Reception Wine",IF(_xll.EVDES(H138,$B$1)="#NODATA","",_xll.EVDES(H138,$B$1)))</f>
        <v>Reception Wine</v>
      </c>
      <c r="O138" s="143"/>
      <c r="P138" s="143"/>
      <c r="Q138" s="143"/>
      <c r="R138" s="143"/>
      <c r="S138" s="143"/>
      <c r="T138" s="143"/>
      <c r="U138" s="143"/>
      <c r="V138" s="143"/>
      <c r="W138" s="143"/>
      <c r="X138" s="143"/>
      <c r="Y138" s="143"/>
      <c r="Z138" s="143"/>
      <c r="AA138" s="143">
        <f t="shared" si="46"/>
        <v>0</v>
      </c>
      <c r="AB138" s="144" t="str">
        <f t="shared" si="47"/>
        <v/>
      </c>
      <c r="AC138" s="140"/>
      <c r="AD138" s="143"/>
      <c r="AE138" s="144" t="str">
        <f t="shared" si="48"/>
        <v/>
      </c>
      <c r="AF138" s="145">
        <f t="shared" si="49"/>
        <v>0</v>
      </c>
      <c r="AG138" s="143">
        <v>2108</v>
      </c>
      <c r="AH138" s="144">
        <f t="shared" si="50"/>
        <v>4.2854206432087049E-3</v>
      </c>
      <c r="AI138" s="145">
        <f t="shared" si="51"/>
        <v>-2108</v>
      </c>
    </row>
    <row r="139" spans="1:35" x14ac:dyDescent="0.35">
      <c r="A139" s="11"/>
      <c r="B139" s="11"/>
      <c r="C139" s="208"/>
      <c r="D139" s="11"/>
      <c r="E139" s="11"/>
      <c r="F139" s="11"/>
      <c r="G139" s="11"/>
      <c r="H139" s="185" t="s">
        <v>341</v>
      </c>
      <c r="I139" s="122"/>
      <c r="J139" s="122"/>
      <c r="K139" s="11"/>
      <c r="L139" s="90" t="str">
        <f>IF(_epmOfflineCondition_,"",_xll.EVPRO($B$1,H139,"JDEID"))</f>
        <v/>
      </c>
      <c r="M139" s="90" t="str">
        <f>IF(_epmOfflineCondition_,"",IF(AND(I139="N",J139="N"),_xll.EVPRO($B$1,H139,"PSFTID"),""))</f>
        <v/>
      </c>
      <c r="N139" s="106" t="str">
        <f>IF(_epmOfflineCondition_,"Wine Revenue",IF(_xll.EVDES(H139,$B$1)="#NODATA","",_xll.EVDES(H139,$B$1)))</f>
        <v>Wine Revenue</v>
      </c>
      <c r="O139" s="166">
        <v>5566.33</v>
      </c>
      <c r="P139" s="166">
        <v>9929.2000000000007</v>
      </c>
      <c r="Q139" s="166">
        <v>9607.4500000000007</v>
      </c>
      <c r="R139" s="166">
        <v>10168.549999999999</v>
      </c>
      <c r="S139" s="166">
        <v>9989.7999999999993</v>
      </c>
      <c r="T139" s="166">
        <v>6715.06</v>
      </c>
      <c r="U139" s="166">
        <v>8307</v>
      </c>
      <c r="V139" s="166">
        <v>5203.6000000000004</v>
      </c>
      <c r="W139" s="166">
        <v>5804.82</v>
      </c>
      <c r="X139" s="166">
        <v>7363.5</v>
      </c>
      <c r="Y139" s="166">
        <v>11493.2</v>
      </c>
      <c r="Z139" s="166">
        <v>17337.88</v>
      </c>
      <c r="AA139" s="166">
        <f t="shared" si="46"/>
        <v>107486.39</v>
      </c>
      <c r="AB139" s="167">
        <f t="shared" si="47"/>
        <v>8.0859470021907492E-2</v>
      </c>
      <c r="AC139" s="140"/>
      <c r="AD139" s="166">
        <v>188058.096235348</v>
      </c>
      <c r="AE139" s="167">
        <f t="shared" si="48"/>
        <v>0.15037348994207042</v>
      </c>
      <c r="AF139" s="168">
        <f t="shared" si="49"/>
        <v>-80571.706235348</v>
      </c>
      <c r="AG139" s="166">
        <v>51555.45</v>
      </c>
      <c r="AH139" s="167">
        <f t="shared" si="50"/>
        <v>0.10480872376656272</v>
      </c>
      <c r="AI139" s="168">
        <f t="shared" si="51"/>
        <v>55930.94</v>
      </c>
    </row>
    <row r="140" spans="1:35" x14ac:dyDescent="0.35">
      <c r="A140" s="11"/>
      <c r="B140" s="11"/>
      <c r="C140" s="208"/>
      <c r="D140" s="11"/>
      <c r="E140" s="11"/>
      <c r="F140" s="11"/>
      <c r="G140" s="11"/>
      <c r="H140" s="185"/>
      <c r="I140" s="122"/>
      <c r="J140" s="122"/>
      <c r="K140" s="11"/>
      <c r="L140" s="90"/>
      <c r="M140" s="90"/>
      <c r="N140" s="11"/>
      <c r="O140" s="174"/>
      <c r="P140" s="175"/>
      <c r="Q140" s="175"/>
      <c r="R140" s="175"/>
      <c r="S140" s="175"/>
      <c r="T140" s="175"/>
      <c r="U140" s="175"/>
      <c r="V140" s="175"/>
      <c r="W140" s="175"/>
      <c r="X140" s="175"/>
      <c r="Y140" s="175"/>
      <c r="Z140" s="175"/>
      <c r="AA140" s="175"/>
      <c r="AB140" s="176"/>
      <c r="AC140" s="140"/>
      <c r="AD140" s="174"/>
      <c r="AE140" s="175"/>
      <c r="AF140" s="176"/>
      <c r="AG140" s="174"/>
      <c r="AH140" s="175"/>
      <c r="AI140" s="176"/>
    </row>
    <row r="141" spans="1:35" x14ac:dyDescent="0.35">
      <c r="A141" s="11"/>
      <c r="B141" s="11"/>
      <c r="C141" s="208"/>
      <c r="D141" s="11"/>
      <c r="E141" s="11"/>
      <c r="F141" s="11"/>
      <c r="G141" s="11"/>
      <c r="H141" s="88" t="s">
        <v>267</v>
      </c>
      <c r="I141" s="122"/>
      <c r="J141" s="122"/>
      <c r="K141" s="11"/>
      <c r="L141" s="90" t="str">
        <f>IF(_epmOfflineCondition_,"",_xll.EVPRO($B$1,H141,"JDEID"))</f>
        <v/>
      </c>
      <c r="M141" s="90" t="str">
        <f>IF(_epmOfflineCondition_,"",IF(AND(I141="N",J141="N"),_xll.EVPRO($B$1,H141,"PSFTID"),""))</f>
        <v/>
      </c>
      <c r="N141" s="90" t="str">
        <f>IF(_epmOfflineCondition_,"Breakfast  Beverage Revenue",IF(_xll.EVDES(H141,$B$1)="#NODATA","",_xll.EVDES(H141,$B$1)))</f>
        <v>Breakfast  Beverage Revenue</v>
      </c>
      <c r="O141" s="143">
        <f t="shared" ref="O141:Z141" si="52">O115+O124+O133</f>
        <v>858</v>
      </c>
      <c r="P141" s="143">
        <f t="shared" si="52"/>
        <v>1312</v>
      </c>
      <c r="Q141" s="143">
        <f t="shared" si="52"/>
        <v>1871</v>
      </c>
      <c r="R141" s="143">
        <f t="shared" si="52"/>
        <v>1780</v>
      </c>
      <c r="S141" s="143">
        <f t="shared" si="52"/>
        <v>2460.8000000000002</v>
      </c>
      <c r="T141" s="143">
        <f t="shared" si="52"/>
        <v>2005</v>
      </c>
      <c r="U141" s="143">
        <f t="shared" si="52"/>
        <v>2356</v>
      </c>
      <c r="V141" s="143">
        <f t="shared" si="52"/>
        <v>1278.0700000000002</v>
      </c>
      <c r="W141" s="143">
        <f t="shared" si="52"/>
        <v>1061</v>
      </c>
      <c r="X141" s="143">
        <f t="shared" si="52"/>
        <v>2706</v>
      </c>
      <c r="Y141" s="143">
        <f t="shared" si="52"/>
        <v>1740</v>
      </c>
      <c r="Z141" s="143">
        <f t="shared" si="52"/>
        <v>5120.2999999999993</v>
      </c>
      <c r="AA141" s="143">
        <f t="shared" ref="AA141:AA148" si="53">SUM(O141:Z141)</f>
        <v>24548.17</v>
      </c>
      <c r="AB141" s="144">
        <f t="shared" ref="AB141:AB148" si="54">IF(AA141=0,"",IFERROR(AA141/AA$19,""))</f>
        <v>1.8467007927307714E-2</v>
      </c>
      <c r="AC141" s="140"/>
      <c r="AD141" s="143">
        <f t="shared" ref="AD141:AD146" si="55">AD115+AD124+AD133</f>
        <v>23658.825000000001</v>
      </c>
      <c r="AE141" s="144">
        <f t="shared" ref="AE141:AE148" si="56">IF(AD141=0,"",IFERROR(AD141/AD$19,""))</f>
        <v>1.8917877796265789E-2</v>
      </c>
      <c r="AF141" s="145">
        <f t="shared" ref="AF141:AF148" si="57">IF(AND($AA141="",AD141=""),"",$AA141-AD141)</f>
        <v>889.34499999999753</v>
      </c>
      <c r="AG141" s="143">
        <f t="shared" ref="AG141:AG146" si="58">AG115+AG124+AG133</f>
        <v>3944.99</v>
      </c>
      <c r="AH141" s="144">
        <f t="shared" ref="AH141:AH148" si="59">IF(AG141=0,"",IFERROR(AG141/AG$19,""))</f>
        <v>8.0198963867418923E-3</v>
      </c>
      <c r="AI141" s="145">
        <f t="shared" ref="AI141:AI148" si="60">IF(AND($AA141="",AG141=""),"",$AA141-AG141)</f>
        <v>20603.18</v>
      </c>
    </row>
    <row r="142" spans="1:35" x14ac:dyDescent="0.35">
      <c r="A142" s="11"/>
      <c r="B142" s="11"/>
      <c r="C142" s="208"/>
      <c r="D142" s="11"/>
      <c r="E142" s="11"/>
      <c r="F142" s="11"/>
      <c r="G142" s="11"/>
      <c r="H142" s="88" t="s">
        <v>268</v>
      </c>
      <c r="I142" s="122"/>
      <c r="J142" s="122"/>
      <c r="K142" s="11"/>
      <c r="L142" s="90" t="str">
        <f>IF(_epmOfflineCondition_,"",_xll.EVPRO($B$1,H142,"JDEID"))</f>
        <v/>
      </c>
      <c r="M142" s="90" t="str">
        <f>IF(_epmOfflineCondition_,"",IF(AND(I142="N",J142="N"),_xll.EVPRO($B$1,H142,"PSFTID"),""))</f>
        <v/>
      </c>
      <c r="N142" s="90" t="str">
        <f>IF(_epmOfflineCondition_,"Lunch Beverage Revenue",IF(_xll.EVDES(H142,$B$1)="#NODATA","",_xll.EVDES(H142,$B$1)))</f>
        <v>Lunch Beverage Revenue</v>
      </c>
      <c r="O142" s="143">
        <f t="shared" ref="O142:Z142" si="61">O116+O125+O134</f>
        <v>9551.9499999999989</v>
      </c>
      <c r="P142" s="143">
        <f t="shared" si="61"/>
        <v>15879.06</v>
      </c>
      <c r="Q142" s="143">
        <f t="shared" si="61"/>
        <v>24317.8</v>
      </c>
      <c r="R142" s="143">
        <f t="shared" si="61"/>
        <v>34674.160000000003</v>
      </c>
      <c r="S142" s="143">
        <f t="shared" si="61"/>
        <v>38393.72</v>
      </c>
      <c r="T142" s="143">
        <f t="shared" si="61"/>
        <v>32224.5</v>
      </c>
      <c r="U142" s="143">
        <f t="shared" si="61"/>
        <v>36347.800000000003</v>
      </c>
      <c r="V142" s="143">
        <f t="shared" si="61"/>
        <v>26585.4</v>
      </c>
      <c r="W142" s="143">
        <f t="shared" si="61"/>
        <v>20387.739999999998</v>
      </c>
      <c r="X142" s="143">
        <f t="shared" si="61"/>
        <v>25078.400000000001</v>
      </c>
      <c r="Y142" s="143">
        <f t="shared" si="61"/>
        <v>30367</v>
      </c>
      <c r="Z142" s="143">
        <f t="shared" si="61"/>
        <v>28924.6</v>
      </c>
      <c r="AA142" s="143">
        <f t="shared" si="53"/>
        <v>322732.12999999995</v>
      </c>
      <c r="AB142" s="144">
        <f t="shared" si="54"/>
        <v>0.2427837514204482</v>
      </c>
      <c r="AC142" s="140"/>
      <c r="AD142" s="143">
        <f t="shared" si="55"/>
        <v>148096.88999999998</v>
      </c>
      <c r="AE142" s="144">
        <f t="shared" si="56"/>
        <v>0.11842003425897171</v>
      </c>
      <c r="AF142" s="145">
        <f t="shared" si="57"/>
        <v>174635.23999999996</v>
      </c>
      <c r="AG142" s="143">
        <f t="shared" si="58"/>
        <v>42767.210000000006</v>
      </c>
      <c r="AH142" s="144">
        <f t="shared" si="59"/>
        <v>8.6942829500209581E-2</v>
      </c>
      <c r="AI142" s="145">
        <f t="shared" si="60"/>
        <v>279964.91999999993</v>
      </c>
    </row>
    <row r="143" spans="1:35" x14ac:dyDescent="0.35">
      <c r="A143" s="11"/>
      <c r="B143" s="11"/>
      <c r="C143" s="208"/>
      <c r="D143" s="11"/>
      <c r="E143" s="11"/>
      <c r="F143" s="11"/>
      <c r="G143" s="11"/>
      <c r="H143" s="185" t="s">
        <v>269</v>
      </c>
      <c r="I143" s="122"/>
      <c r="J143" s="122"/>
      <c r="K143" s="11"/>
      <c r="L143" s="90" t="str">
        <f>IF(_epmOfflineCondition_,"",_xll.EVPRO($B$1,H143,"JDEID"))</f>
        <v/>
      </c>
      <c r="M143" s="90" t="str">
        <f>IF(_epmOfflineCondition_,"",IF(AND(I143="N",J143="N"),_xll.EVPRO($B$1,H143,"PSFTID"),""))</f>
        <v/>
      </c>
      <c r="N143" s="90" t="str">
        <f>IF(_epmOfflineCondition_,"Dinner Beverage Revenue",IF(_xll.EVDES(H143,$B$1)="#NODATA","",_xll.EVDES(H143,$B$1)))</f>
        <v>Dinner Beverage Revenue</v>
      </c>
      <c r="O143" s="143">
        <f t="shared" ref="O143:Z143" si="62">O117+O126+O135</f>
        <v>6278.7</v>
      </c>
      <c r="P143" s="143">
        <f t="shared" si="62"/>
        <v>10494</v>
      </c>
      <c r="Q143" s="143">
        <f t="shared" si="62"/>
        <v>12395.119999999999</v>
      </c>
      <c r="R143" s="143">
        <f t="shared" si="62"/>
        <v>11417.91</v>
      </c>
      <c r="S143" s="143">
        <f t="shared" si="62"/>
        <v>7124.6</v>
      </c>
      <c r="T143" s="143">
        <f t="shared" si="62"/>
        <v>7688.32</v>
      </c>
      <c r="U143" s="143">
        <f t="shared" si="62"/>
        <v>8091</v>
      </c>
      <c r="V143" s="143">
        <f t="shared" si="62"/>
        <v>5189.3999999999996</v>
      </c>
      <c r="W143" s="143">
        <f t="shared" si="62"/>
        <v>5070.08</v>
      </c>
      <c r="X143" s="143">
        <f t="shared" si="62"/>
        <v>5993.29</v>
      </c>
      <c r="Y143" s="143">
        <f t="shared" si="62"/>
        <v>7369.8</v>
      </c>
      <c r="Z143" s="143">
        <f t="shared" si="62"/>
        <v>13153.07</v>
      </c>
      <c r="AA143" s="143">
        <f t="shared" si="53"/>
        <v>100265.28999999998</v>
      </c>
      <c r="AB143" s="144">
        <f t="shared" si="54"/>
        <v>7.5427207211935007E-2</v>
      </c>
      <c r="AC143" s="140"/>
      <c r="AD143" s="143">
        <f t="shared" si="55"/>
        <v>248580.15105894109</v>
      </c>
      <c r="AE143" s="144">
        <f t="shared" si="56"/>
        <v>0.19876764464466587</v>
      </c>
      <c r="AF143" s="145">
        <f t="shared" si="57"/>
        <v>-148314.86105894111</v>
      </c>
      <c r="AG143" s="143">
        <f t="shared" si="58"/>
        <v>48538.39</v>
      </c>
      <c r="AH143" s="144">
        <f t="shared" si="59"/>
        <v>9.8675245964950184E-2</v>
      </c>
      <c r="AI143" s="145">
        <f t="shared" si="60"/>
        <v>51726.89999999998</v>
      </c>
    </row>
    <row r="144" spans="1:35" x14ac:dyDescent="0.35">
      <c r="A144" s="11"/>
      <c r="B144" s="11"/>
      <c r="C144" s="208"/>
      <c r="D144" s="11"/>
      <c r="E144" s="11"/>
      <c r="F144" s="11"/>
      <c r="G144" s="11"/>
      <c r="H144" s="185" t="s">
        <v>270</v>
      </c>
      <c r="I144" s="122"/>
      <c r="J144" s="122"/>
      <c r="K144" s="11"/>
      <c r="L144" s="90" t="str">
        <f>IF(_epmOfflineCondition_,"",_xll.EVPRO($B$1,H144,"JDEID"))</f>
        <v/>
      </c>
      <c r="M144" s="90" t="str">
        <f>IF(_epmOfflineCondition_,"",IF(AND(I144="N",J144="N"),_xll.EVPRO($B$1,H144,"PSFTID"),""))</f>
        <v/>
      </c>
      <c r="N144" s="90" t="str">
        <f>IF(_epmOfflineCondition_,"Bar Beverage Revenue",IF(_xll.EVDES(H144,$B$1)="#NODATA","",_xll.EVDES(H144,$B$1)))</f>
        <v>Bar Beverage Revenue</v>
      </c>
      <c r="O144" s="143">
        <f t="shared" ref="O144:Z144" si="63">O118+O127+O136</f>
        <v>5282.33</v>
      </c>
      <c r="P144" s="143">
        <f t="shared" si="63"/>
        <v>17218.2</v>
      </c>
      <c r="Q144" s="143">
        <f t="shared" si="63"/>
        <v>14532.1</v>
      </c>
      <c r="R144" s="143">
        <f t="shared" si="63"/>
        <v>9438.7999999999993</v>
      </c>
      <c r="S144" s="143">
        <f t="shared" si="63"/>
        <v>9294.65</v>
      </c>
      <c r="T144" s="143">
        <f t="shared" si="63"/>
        <v>10278</v>
      </c>
      <c r="U144" s="143">
        <f t="shared" si="63"/>
        <v>8057.34</v>
      </c>
      <c r="V144" s="143">
        <f t="shared" si="63"/>
        <v>2340</v>
      </c>
      <c r="W144" s="143">
        <f t="shared" si="63"/>
        <v>2986.26</v>
      </c>
      <c r="X144" s="143">
        <f t="shared" si="63"/>
        <v>5701.5</v>
      </c>
      <c r="Y144" s="143">
        <f t="shared" si="63"/>
        <v>7405</v>
      </c>
      <c r="Z144" s="143">
        <f t="shared" si="63"/>
        <v>20425.05</v>
      </c>
      <c r="AA144" s="143">
        <f t="shared" si="53"/>
        <v>112959.22999999998</v>
      </c>
      <c r="AB144" s="144">
        <f t="shared" si="54"/>
        <v>8.4976558165947819E-2</v>
      </c>
      <c r="AC144" s="140"/>
      <c r="AD144" s="143">
        <f t="shared" si="55"/>
        <v>112923.681</v>
      </c>
      <c r="AE144" s="144">
        <f t="shared" si="56"/>
        <v>9.0295118099165989E-2</v>
      </c>
      <c r="AF144" s="145">
        <f t="shared" si="57"/>
        <v>35.548999999984517</v>
      </c>
      <c r="AG144" s="143">
        <f t="shared" si="58"/>
        <v>74270.240000000005</v>
      </c>
      <c r="AH144" s="144">
        <f t="shared" si="59"/>
        <v>0.15098634709300993</v>
      </c>
      <c r="AI144" s="145">
        <f t="shared" si="60"/>
        <v>38688.989999999976</v>
      </c>
    </row>
    <row r="145" spans="1:35" x14ac:dyDescent="0.35">
      <c r="A145" s="11"/>
      <c r="B145" s="11"/>
      <c r="C145" s="208"/>
      <c r="D145" s="11"/>
      <c r="E145" s="11"/>
      <c r="F145" s="11"/>
      <c r="G145" s="11"/>
      <c r="H145" s="185" t="s">
        <v>271</v>
      </c>
      <c r="I145" s="122"/>
      <c r="J145" s="122"/>
      <c r="K145" s="11"/>
      <c r="L145" s="90" t="str">
        <f>IF(_epmOfflineCondition_,"",_xll.EVPRO($B$1,H145,"JDEID"))</f>
        <v/>
      </c>
      <c r="M145" s="90" t="str">
        <f>IF(_epmOfflineCondition_,"",IF(AND(I145="N",J145="N"),_xll.EVPRO($B$1,H145,"PSFTID"),""))</f>
        <v/>
      </c>
      <c r="N145" s="90" t="str">
        <f>IF(_epmOfflineCondition_,"Private Dining Beverage Revenue",IF(_xll.EVDES(H145,$B$1)="#NODATA","",_xll.EVDES(H145,$B$1)))</f>
        <v>Private Dining Beverage Revenue</v>
      </c>
      <c r="O145" s="143">
        <f t="shared" ref="O145:Z145" si="64">O119+O128+O137</f>
        <v>0</v>
      </c>
      <c r="P145" s="143">
        <f t="shared" si="64"/>
        <v>0</v>
      </c>
      <c r="Q145" s="143">
        <f t="shared" si="64"/>
        <v>0</v>
      </c>
      <c r="R145" s="143">
        <f t="shared" si="64"/>
        <v>0</v>
      </c>
      <c r="S145" s="143">
        <f t="shared" si="64"/>
        <v>0</v>
      </c>
      <c r="T145" s="143">
        <f t="shared" si="64"/>
        <v>0</v>
      </c>
      <c r="U145" s="143">
        <f t="shared" si="64"/>
        <v>0</v>
      </c>
      <c r="V145" s="143">
        <f t="shared" si="64"/>
        <v>0</v>
      </c>
      <c r="W145" s="143">
        <f t="shared" si="64"/>
        <v>0</v>
      </c>
      <c r="X145" s="143">
        <f t="shared" si="64"/>
        <v>0</v>
      </c>
      <c r="Y145" s="143">
        <f t="shared" si="64"/>
        <v>0</v>
      </c>
      <c r="Z145" s="143">
        <f t="shared" si="64"/>
        <v>0</v>
      </c>
      <c r="AA145" s="143">
        <f t="shared" si="53"/>
        <v>0</v>
      </c>
      <c r="AB145" s="144" t="str">
        <f t="shared" si="54"/>
        <v/>
      </c>
      <c r="AC145" s="140"/>
      <c r="AD145" s="143">
        <f t="shared" si="55"/>
        <v>0</v>
      </c>
      <c r="AE145" s="144" t="str">
        <f t="shared" si="56"/>
        <v/>
      </c>
      <c r="AF145" s="145">
        <f t="shared" si="57"/>
        <v>0</v>
      </c>
      <c r="AG145" s="143">
        <f t="shared" si="58"/>
        <v>3002</v>
      </c>
      <c r="AH145" s="144">
        <f t="shared" si="59"/>
        <v>6.1028618457839336E-3</v>
      </c>
      <c r="AI145" s="145">
        <f t="shared" si="60"/>
        <v>-3002</v>
      </c>
    </row>
    <row r="146" spans="1:35" x14ac:dyDescent="0.35">
      <c r="A146" s="11"/>
      <c r="B146" s="11"/>
      <c r="C146" s="208"/>
      <c r="D146" s="11"/>
      <c r="E146" s="11"/>
      <c r="F146" s="11"/>
      <c r="G146" s="11"/>
      <c r="H146" s="185" t="s">
        <v>811</v>
      </c>
      <c r="I146" s="122"/>
      <c r="J146" s="122"/>
      <c r="K146" s="11"/>
      <c r="L146" s="90" t="str">
        <f>IF(_epmOfflineCondition_,"",_xll.EVPRO($B$1,H146,"JDEID"))</f>
        <v/>
      </c>
      <c r="M146" s="90" t="str">
        <f>IF(_epmOfflineCondition_,"",IF(AND(I146="N",J146="N"),_xll.EVPRO($B$1,H146,"PSFTID"),""))</f>
        <v/>
      </c>
      <c r="N146" s="90" t="str">
        <f>IF(_epmOfflineCondition_,"Reception Revenue",IF(_xll.EVDES(H146,$B$1)="#NODATA","",_xll.EVDES(H146,$B$1)))</f>
        <v>Reception Revenue</v>
      </c>
      <c r="O146" s="143">
        <f t="shared" ref="O146:Z146" si="65">O120+O129+O138</f>
        <v>0</v>
      </c>
      <c r="P146" s="143">
        <f t="shared" si="65"/>
        <v>0</v>
      </c>
      <c r="Q146" s="143">
        <f t="shared" si="65"/>
        <v>0</v>
      </c>
      <c r="R146" s="143">
        <f t="shared" si="65"/>
        <v>0</v>
      </c>
      <c r="S146" s="143">
        <f t="shared" si="65"/>
        <v>0</v>
      </c>
      <c r="T146" s="143">
        <f t="shared" si="65"/>
        <v>0</v>
      </c>
      <c r="U146" s="143">
        <f t="shared" si="65"/>
        <v>0</v>
      </c>
      <c r="V146" s="143">
        <f t="shared" si="65"/>
        <v>0</v>
      </c>
      <c r="W146" s="143">
        <f t="shared" si="65"/>
        <v>0</v>
      </c>
      <c r="X146" s="143">
        <f t="shared" si="65"/>
        <v>0</v>
      </c>
      <c r="Y146" s="143">
        <f t="shared" si="65"/>
        <v>0</v>
      </c>
      <c r="Z146" s="143">
        <f t="shared" si="65"/>
        <v>0</v>
      </c>
      <c r="AA146" s="143">
        <f t="shared" si="53"/>
        <v>0</v>
      </c>
      <c r="AB146" s="144" t="str">
        <f t="shared" si="54"/>
        <v/>
      </c>
      <c r="AC146" s="140"/>
      <c r="AD146" s="143">
        <f t="shared" si="55"/>
        <v>0</v>
      </c>
      <c r="AE146" s="144" t="str">
        <f t="shared" si="56"/>
        <v/>
      </c>
      <c r="AF146" s="145">
        <f t="shared" si="57"/>
        <v>0</v>
      </c>
      <c r="AG146" s="143">
        <f t="shared" si="58"/>
        <v>2922</v>
      </c>
      <c r="AH146" s="144">
        <f t="shared" si="59"/>
        <v>5.9402272862693721E-3</v>
      </c>
      <c r="AI146" s="145">
        <f t="shared" si="60"/>
        <v>-2922</v>
      </c>
    </row>
    <row r="147" spans="1:35" x14ac:dyDescent="0.35">
      <c r="A147" s="11"/>
      <c r="B147" s="11"/>
      <c r="C147" s="208"/>
      <c r="D147" s="11"/>
      <c r="E147" s="11"/>
      <c r="F147" s="11"/>
      <c r="G147" s="11"/>
      <c r="H147" s="185" t="s">
        <v>351</v>
      </c>
      <c r="I147" s="122"/>
      <c r="J147" s="122"/>
      <c r="K147" s="11"/>
      <c r="L147" s="90" t="str">
        <f>IF(_epmOfflineCondition_,"467200",_xll.EVPRO($B$1,H147,"JDEID"))</f>
        <v>467200</v>
      </c>
      <c r="M147" s="90" t="str">
        <f>IF(_epmOfflineCondition_,"",IF(AND(I147="N",J147="N"),_xll.EVPRO($B$1,H147,"PSFTID"),""))</f>
        <v/>
      </c>
      <c r="N147" s="90" t="str">
        <f>IF(_epmOfflineCondition_,"Mini Bar Beverage",IF(_xll.EVDES(H147,$B$1)="#NODATA","",_xll.EVDES(H147,$B$1)))</f>
        <v>Mini Bar Beverage</v>
      </c>
      <c r="O147" s="143">
        <f t="shared" ref="O147:Z147" si="66">O96</f>
        <v>2220</v>
      </c>
      <c r="P147" s="143">
        <f t="shared" si="66"/>
        <v>1751</v>
      </c>
      <c r="Q147" s="143">
        <f t="shared" si="66"/>
        <v>2049</v>
      </c>
      <c r="R147" s="143">
        <f t="shared" si="66"/>
        <v>2189</v>
      </c>
      <c r="S147" s="143">
        <f t="shared" si="66"/>
        <v>1158</v>
      </c>
      <c r="T147" s="143">
        <f t="shared" si="66"/>
        <v>560</v>
      </c>
      <c r="U147" s="143">
        <f t="shared" si="66"/>
        <v>1659</v>
      </c>
      <c r="V147" s="143">
        <f t="shared" si="66"/>
        <v>642</v>
      </c>
      <c r="W147" s="143">
        <f t="shared" si="66"/>
        <v>620</v>
      </c>
      <c r="X147" s="143">
        <f t="shared" si="66"/>
        <v>744</v>
      </c>
      <c r="Y147" s="143">
        <f t="shared" si="66"/>
        <v>1239</v>
      </c>
      <c r="Z147" s="143">
        <f t="shared" si="66"/>
        <v>705</v>
      </c>
      <c r="AA147" s="143">
        <f t="shared" si="53"/>
        <v>15536</v>
      </c>
      <c r="AB147" s="144">
        <f t="shared" si="54"/>
        <v>1.1687365500509923E-2</v>
      </c>
      <c r="AC147" s="140"/>
      <c r="AD147" s="143">
        <f>AD96</f>
        <v>45030</v>
      </c>
      <c r="AE147" s="144">
        <f t="shared" si="56"/>
        <v>3.6006523450164932E-2</v>
      </c>
      <c r="AF147" s="145">
        <f t="shared" si="57"/>
        <v>-29494</v>
      </c>
      <c r="AG147" s="143">
        <f>AG96</f>
        <v>25206.75</v>
      </c>
      <c r="AH147" s="144">
        <f t="shared" si="59"/>
        <v>5.1243608538046027E-2</v>
      </c>
      <c r="AI147" s="145">
        <f t="shared" si="60"/>
        <v>-9670.75</v>
      </c>
    </row>
    <row r="148" spans="1:35" x14ac:dyDescent="0.35">
      <c r="A148" s="11"/>
      <c r="B148" s="11"/>
      <c r="C148" s="208"/>
      <c r="D148" s="11"/>
      <c r="E148" s="11"/>
      <c r="F148" s="11"/>
      <c r="G148" s="11"/>
      <c r="H148" s="88" t="s">
        <v>272</v>
      </c>
      <c r="I148" s="122"/>
      <c r="J148" s="122"/>
      <c r="K148" s="11"/>
      <c r="L148" s="90" t="str">
        <f>IF(_epmOfflineCondition_,"",_xll.EVPRO($B$1,H148,"JDEID"))</f>
        <v/>
      </c>
      <c r="M148" s="90" t="str">
        <f>IF(_epmOfflineCondition_,"",IF(AND(I148="N",J148="N"),_xll.EVPRO($B$1,H148,"PSFTID"),""))</f>
        <v/>
      </c>
      <c r="N148" s="106" t="str">
        <f>IF(_epmOfflineCondition_,"Total Beverage Revenue",IF(_xll.EVDES(H148,$B$1)="#NODATA","",_xll.EVDES(H148,$B$1)))</f>
        <v>Total Beverage Revenue</v>
      </c>
      <c r="O148" s="166">
        <f t="shared" ref="O148:Z148" si="67">SUM(O141:O147)</f>
        <v>24190.979999999996</v>
      </c>
      <c r="P148" s="166">
        <f t="shared" si="67"/>
        <v>46654.259999999995</v>
      </c>
      <c r="Q148" s="166">
        <f t="shared" si="67"/>
        <v>55165.02</v>
      </c>
      <c r="R148" s="166">
        <f t="shared" si="67"/>
        <v>59499.87000000001</v>
      </c>
      <c r="S148" s="166">
        <f t="shared" si="67"/>
        <v>58431.770000000004</v>
      </c>
      <c r="T148" s="166">
        <f t="shared" si="67"/>
        <v>52755.82</v>
      </c>
      <c r="U148" s="166">
        <f t="shared" si="67"/>
        <v>56511.14</v>
      </c>
      <c r="V148" s="166">
        <f t="shared" si="67"/>
        <v>36034.870000000003</v>
      </c>
      <c r="W148" s="166">
        <f t="shared" si="67"/>
        <v>30125.08</v>
      </c>
      <c r="X148" s="166">
        <f t="shared" si="67"/>
        <v>40223.19</v>
      </c>
      <c r="Y148" s="166">
        <f t="shared" si="67"/>
        <v>48120.800000000003</v>
      </c>
      <c r="Z148" s="166">
        <f t="shared" si="67"/>
        <v>68328.01999999999</v>
      </c>
      <c r="AA148" s="166">
        <f t="shared" si="53"/>
        <v>576040.82000000007</v>
      </c>
      <c r="AB148" s="167">
        <f t="shared" si="54"/>
        <v>0.43334189022614877</v>
      </c>
      <c r="AC148" s="140"/>
      <c r="AD148" s="166">
        <f>SUM(AD141:AD147)</f>
        <v>578289.5470589411</v>
      </c>
      <c r="AE148" s="167">
        <f t="shared" si="56"/>
        <v>0.46240719824923432</v>
      </c>
      <c r="AF148" s="168">
        <f t="shared" si="57"/>
        <v>-2248.7270589410327</v>
      </c>
      <c r="AG148" s="166">
        <f>SUM(AG141:AG147)</f>
        <v>200651.58000000002</v>
      </c>
      <c r="AH148" s="167">
        <f t="shared" si="59"/>
        <v>0.40791101661501089</v>
      </c>
      <c r="AI148" s="168">
        <f t="shared" si="60"/>
        <v>375389.24000000005</v>
      </c>
    </row>
    <row r="149" spans="1:35" x14ac:dyDescent="0.35">
      <c r="A149" s="11"/>
      <c r="B149" s="11"/>
      <c r="C149" s="208"/>
      <c r="D149" s="11"/>
      <c r="E149" s="11"/>
      <c r="F149" s="11"/>
      <c r="G149" s="11"/>
      <c r="H149" s="185"/>
      <c r="I149" s="122"/>
      <c r="J149" s="122"/>
      <c r="K149" s="11"/>
      <c r="L149" s="11"/>
      <c r="M149" s="11"/>
      <c r="N149" s="11"/>
      <c r="O149" s="174"/>
      <c r="P149" s="175"/>
      <c r="Q149" s="175"/>
      <c r="R149" s="175"/>
      <c r="S149" s="175"/>
      <c r="T149" s="175"/>
      <c r="U149" s="175"/>
      <c r="V149" s="175"/>
      <c r="W149" s="175"/>
      <c r="X149" s="175"/>
      <c r="Y149" s="175"/>
      <c r="Z149" s="175"/>
      <c r="AA149" s="175"/>
      <c r="AB149" s="176"/>
      <c r="AC149" s="140"/>
      <c r="AD149" s="174"/>
      <c r="AE149" s="175"/>
      <c r="AF149" s="176"/>
      <c r="AG149" s="174"/>
      <c r="AH149" s="175"/>
      <c r="AI149" s="176"/>
    </row>
    <row r="150" spans="1:35" x14ac:dyDescent="0.35">
      <c r="A150" s="11"/>
      <c r="B150" s="11"/>
      <c r="C150" s="208"/>
      <c r="D150" s="11"/>
      <c r="E150" s="11"/>
      <c r="F150" s="11"/>
      <c r="G150" s="11"/>
      <c r="H150" s="185"/>
      <c r="I150" s="122"/>
      <c r="J150" s="122"/>
      <c r="K150" s="11"/>
      <c r="L150" s="11"/>
      <c r="M150" s="11"/>
      <c r="N150" s="11"/>
      <c r="O150" s="162"/>
      <c r="P150" s="163"/>
      <c r="Q150" s="163"/>
      <c r="R150" s="163"/>
      <c r="S150" s="163"/>
      <c r="T150" s="163"/>
      <c r="U150" s="163"/>
      <c r="V150" s="163"/>
      <c r="W150" s="163"/>
      <c r="X150" s="163"/>
      <c r="Y150" s="163"/>
      <c r="Z150" s="163"/>
      <c r="AA150" s="163"/>
      <c r="AB150" s="164"/>
      <c r="AC150" s="140"/>
      <c r="AD150" s="162"/>
      <c r="AE150" s="163"/>
      <c r="AF150" s="164"/>
      <c r="AG150" s="162"/>
      <c r="AH150" s="163"/>
      <c r="AI150" s="164"/>
    </row>
    <row r="151" spans="1:35" ht="15" customHeight="1" x14ac:dyDescent="0.35">
      <c r="A151" s="11"/>
      <c r="B151" s="11"/>
      <c r="C151" s="208"/>
      <c r="D151" s="11"/>
      <c r="E151" s="11"/>
      <c r="F151" s="11"/>
      <c r="G151" s="11"/>
      <c r="H151" s="185" t="s">
        <v>281</v>
      </c>
      <c r="I151" s="122"/>
      <c r="J151" s="122"/>
      <c r="K151" s="11"/>
      <c r="L151" s="11"/>
      <c r="M151" s="11"/>
      <c r="N151" s="489" t="str">
        <f>IF(_epmOfflineCondition_,"Cost of Sales",IF(_xll.EVDES(H151,$B$1)="#NODATA","",_xll.EVDES(H151,$B$1)))</f>
        <v>Cost of Sales</v>
      </c>
      <c r="O151" s="518"/>
      <c r="P151" s="519"/>
      <c r="Q151" s="519"/>
      <c r="R151" s="519"/>
      <c r="S151" s="519"/>
      <c r="T151" s="519"/>
      <c r="U151" s="519"/>
      <c r="V151" s="519"/>
      <c r="W151" s="519"/>
      <c r="X151" s="519"/>
      <c r="Y151" s="519"/>
      <c r="Z151" s="519"/>
      <c r="AA151" s="519"/>
      <c r="AB151" s="520"/>
      <c r="AC151" s="140"/>
      <c r="AD151" s="518"/>
      <c r="AE151" s="519"/>
      <c r="AF151" s="519"/>
      <c r="AG151" s="519"/>
      <c r="AH151" s="519"/>
      <c r="AI151" s="520"/>
    </row>
    <row r="152" spans="1:35" x14ac:dyDescent="0.35">
      <c r="A152" s="11"/>
      <c r="B152" s="11"/>
      <c r="C152" s="208"/>
      <c r="D152" s="11"/>
      <c r="E152" s="11"/>
      <c r="F152" s="11"/>
      <c r="G152" s="11"/>
      <c r="H152" s="185">
        <v>561100</v>
      </c>
      <c r="I152" s="122"/>
      <c r="J152" s="122"/>
      <c r="K152" s="11"/>
      <c r="L152" s="90" t="str">
        <f>IF(_epmOfflineCondition_,"561100",_xll.EVPRO($B$1,H152,"JDEID"))</f>
        <v>561100</v>
      </c>
      <c r="M152" s="90" t="str">
        <f>IF(_epmOfflineCondition_,"",IF(AND(I152="N",J152="N"),_xll.EVPRO($B$1,H152,"PSFTID"),""))</f>
        <v/>
      </c>
      <c r="N152" s="90" t="str">
        <f>IF(_epmOfflineCondition_,"Cost of Food Sales",IF(_xll.EVDES(H152,$B$1)="#NODATA","",_xll.EVDES(H152,$B$1)))</f>
        <v>Cost of Food Sales</v>
      </c>
      <c r="O152" s="143">
        <v>9980.42</v>
      </c>
      <c r="P152" s="143">
        <v>16399.830000000002</v>
      </c>
      <c r="Q152" s="143">
        <v>23005.84</v>
      </c>
      <c r="R152" s="143">
        <v>28280.880000000001</v>
      </c>
      <c r="S152" s="143">
        <v>29451.99</v>
      </c>
      <c r="T152" s="143">
        <v>20262.18</v>
      </c>
      <c r="U152" s="143">
        <v>22161.63</v>
      </c>
      <c r="V152" s="143">
        <v>16261.93</v>
      </c>
      <c r="W152" s="143">
        <v>14375.52</v>
      </c>
      <c r="X152" s="143">
        <v>17684.509999999998</v>
      </c>
      <c r="Y152" s="143">
        <v>22308.720000000001</v>
      </c>
      <c r="Z152" s="143">
        <v>32759.119999999999</v>
      </c>
      <c r="AA152" s="143">
        <f>SUM(O152:Z152)</f>
        <v>252932.57</v>
      </c>
      <c r="AB152" s="436">
        <f>IF(_epmOfflineCondition_,0.335069855320789,IF(AA152=0,"",IFERROR(AA152/_xll.EVGTS($B$1,1,_xll.EVPRO($B$1,$H152,"COSBASIS"),$B$3,$B$5,$B$6,$B$7,$B$9,AA$16,AA$17,AA$11),"")))</f>
        <v>0.33506985532078898</v>
      </c>
      <c r="AC152" s="140"/>
      <c r="AD152" s="143">
        <v>198601.86499999999</v>
      </c>
      <c r="AE152" s="436">
        <f>IF(_epmOfflineCondition_,0.295399068411445,IF(AD152=0,"",IFERROR(AD152/_xll.EVGTS($B$1,1,_xll.EVPRO($B$1,$H152,"COSBASIS"),$B$3,$B$5,$B$6,$B$7,$B$9,AD$16,AD$17,AD$18),"")))</f>
        <v>0.29539906841144498</v>
      </c>
      <c r="AF152" s="145">
        <f t="shared" ref="AF152:AF157" si="68">IF(AND($AA152="",AD152=""),"",$AA152-AD152)</f>
        <v>54330.705000000016</v>
      </c>
      <c r="AG152" s="143">
        <v>125800.95</v>
      </c>
      <c r="AH152" s="436">
        <f>IF(_epmOfflineCondition_,0.430173679088687,IF(AG152=0,"",IFERROR(AG152/_xll.EVGTS($B$1,1,_xll.EVPRO($B$1,$H152,"COSBASIS"),$B$3,$B$5,$B$6,$B$7,$B$9,AG$16,AG$17,AG$18),"")))</f>
        <v>0.43017367908868698</v>
      </c>
      <c r="AI152" s="145">
        <f t="shared" ref="AI152:AI157" si="69">IF(AND($AA152="",AG152=""),"",$AA152-AG152)</f>
        <v>127131.62000000001</v>
      </c>
    </row>
    <row r="153" spans="1:35" x14ac:dyDescent="0.35">
      <c r="A153" s="11"/>
      <c r="B153" s="11"/>
      <c r="C153" s="208"/>
      <c r="D153" s="11"/>
      <c r="E153" s="11"/>
      <c r="F153" s="11"/>
      <c r="G153" s="11"/>
      <c r="H153" s="185" t="s">
        <v>756</v>
      </c>
      <c r="I153" s="122"/>
      <c r="J153" s="122"/>
      <c r="K153" s="11"/>
      <c r="L153" s="90" t="str">
        <f>IF(_epmOfflineCondition_,"",_xll.EVPRO($B$1,H153,"JDEID"))</f>
        <v/>
      </c>
      <c r="M153" s="90" t="str">
        <f>IF(_epmOfflineCondition_,"",IF(AND(I153="N",J153="N"),_xll.EVPRO($B$1,H153,"PSFTID"),""))</f>
        <v/>
      </c>
      <c r="N153" s="493" t="str">
        <f>IF(_epmOfflineCondition_,"Food Cost %",IF(_xll.EVDES(H153,$B$1)="#NODATA","",_xll.EVDES(H153,$B$1)))</f>
        <v>Food Cost %</v>
      </c>
      <c r="O153" s="508">
        <v>0.314907497448978</v>
      </c>
      <c r="P153" s="508">
        <v>0.32614280430035703</v>
      </c>
      <c r="Q153" s="508">
        <v>0.35080626838406298</v>
      </c>
      <c r="R153" s="508">
        <v>0.38662166610707599</v>
      </c>
      <c r="S153" s="508">
        <v>0.46387361691920198</v>
      </c>
      <c r="T153" s="508">
        <v>0.31703248216297403</v>
      </c>
      <c r="U153" s="508">
        <v>0.31828220104677801</v>
      </c>
      <c r="V153" s="508">
        <v>0.33366552298223001</v>
      </c>
      <c r="W153" s="508">
        <v>0.31973509321025101</v>
      </c>
      <c r="X153" s="508">
        <v>0.29891301500116702</v>
      </c>
      <c r="Y153" s="508">
        <v>0.288566335453877</v>
      </c>
      <c r="Z153" s="508">
        <v>0.306281854378887</v>
      </c>
      <c r="AA153" s="508">
        <v>0.33506985532078898</v>
      </c>
      <c r="AB153" s="436"/>
      <c r="AC153" s="140"/>
      <c r="AD153" s="508">
        <v>0.29539906841144498</v>
      </c>
      <c r="AE153" s="436"/>
      <c r="AF153" s="521">
        <f t="shared" si="68"/>
        <v>3.9670786909344002E-2</v>
      </c>
      <c r="AG153" s="508">
        <v>0.43017367908868698</v>
      </c>
      <c r="AH153" s="436"/>
      <c r="AI153" s="521">
        <f t="shared" si="69"/>
        <v>-9.5103823767897999E-2</v>
      </c>
    </row>
    <row r="154" spans="1:35" x14ac:dyDescent="0.35">
      <c r="A154" s="11"/>
      <c r="B154" s="11"/>
      <c r="C154" s="208"/>
      <c r="D154" s="11"/>
      <c r="E154" s="11"/>
      <c r="F154" s="11"/>
      <c r="G154" s="11"/>
      <c r="H154" s="185" t="s">
        <v>770</v>
      </c>
      <c r="I154" s="122"/>
      <c r="J154" s="122"/>
      <c r="K154" s="11"/>
      <c r="L154" s="90" t="str">
        <f>IF(_epmOfflineCondition_,"",_xll.EVPRO($B$1,H154,"JDEID"))</f>
        <v/>
      </c>
      <c r="M154" s="90" t="str">
        <f>IF(_epmOfflineCondition_,"",IF(AND(I154="N",J154="N"),_xll.EVPRO($B$1,H154,"PSFTID"),""))</f>
        <v/>
      </c>
      <c r="N154" s="90" t="str">
        <f>IF(_epmOfflineCondition_,"Cost of Food (Excl Minibar)",IF(_xll.EVDES(H154,$B$1)="#NODATA","",_xll.EVDES(H154,$B$1)))</f>
        <v>Cost of Food (Excl Minibar)</v>
      </c>
      <c r="O154" s="143">
        <v>9300.7000000000007</v>
      </c>
      <c r="P154" s="143">
        <v>15802.16</v>
      </c>
      <c r="Q154" s="143">
        <v>22734.07</v>
      </c>
      <c r="R154" s="143">
        <v>28098.95</v>
      </c>
      <c r="S154" s="143">
        <v>29292.41</v>
      </c>
      <c r="T154" s="143">
        <v>19685.189999999999</v>
      </c>
      <c r="U154" s="143">
        <v>20802.349999999999</v>
      </c>
      <c r="V154" s="143">
        <v>15174.4</v>
      </c>
      <c r="W154" s="143">
        <v>13522.38</v>
      </c>
      <c r="X154" s="143">
        <v>16840.16</v>
      </c>
      <c r="Y154" s="143">
        <v>20874.080000000002</v>
      </c>
      <c r="Z154" s="143">
        <v>31234.61</v>
      </c>
      <c r="AA154" s="143">
        <f>SUM(O154:Z154)</f>
        <v>243361.46000000002</v>
      </c>
      <c r="AB154" s="436">
        <f>IF(_epmOfflineCondition_,0.339089256253506,IF(AA154=0,"",IFERROR(AA154/_xll.EVGTS($B$1,1,_xll.EVPRO($B$1,$H154,"COSBASIS"),$B$3,$B$5,$B$6,$B$7,$B$9,AA$16,AA$17,AA$11),"")))</f>
        <v>0.339089256253506</v>
      </c>
      <c r="AC154" s="140"/>
      <c r="AD154" s="143">
        <v>188807.84</v>
      </c>
      <c r="AE154" s="436">
        <f>IF(_epmOfflineCondition_,0.297432529295066,IF(AD154=0,"",IFERROR(AD154/_xll.EVGTS($B$1,1,_xll.EVPRO($B$1,$H154,"COSBASIS"),$B$3,$B$5,$B$6,$B$7,$B$9,AD$16,AD$17,AD$18),"")))</f>
        <v>0.29743252929506597</v>
      </c>
      <c r="AF154" s="145">
        <f t="shared" si="68"/>
        <v>54553.620000000024</v>
      </c>
      <c r="AG154" s="143">
        <v>119584.28</v>
      </c>
      <c r="AH154" s="436">
        <f>IF(_epmOfflineCondition_,0.444912714211219,IF(AG154=0,"",IFERROR(AG154/_xll.EVGTS($B$1,1,_xll.EVPRO($B$1,$H154,"COSBASIS"),$B$3,$B$5,$B$6,$B$7,$B$9,AG$16,AG$17,AG$18),"")))</f>
        <v>0.44491271421121897</v>
      </c>
      <c r="AI154" s="145">
        <f t="shared" si="69"/>
        <v>123777.18000000002</v>
      </c>
    </row>
    <row r="155" spans="1:35" x14ac:dyDescent="0.35">
      <c r="A155" s="11"/>
      <c r="B155" s="11"/>
      <c r="C155" s="208"/>
      <c r="D155" s="11"/>
      <c r="E155" s="11"/>
      <c r="F155" s="11"/>
      <c r="G155" s="11"/>
      <c r="H155" s="185" t="s">
        <v>771</v>
      </c>
      <c r="I155" s="122"/>
      <c r="J155" s="122"/>
      <c r="K155" s="11"/>
      <c r="L155" s="90" t="str">
        <f>IF(_epmOfflineCondition_,"",_xll.EVPRO($B$1,H155,"JDEID"))</f>
        <v/>
      </c>
      <c r="M155" s="90" t="str">
        <f>IF(_epmOfflineCondition_,"",IF(AND(I155="N",J155="N"),_xll.EVPRO($B$1,H155,"PSFTID"),""))</f>
        <v/>
      </c>
      <c r="N155" s="493" t="str">
        <f>IF(_epmOfflineCondition_,"Cost of Food % (Excl Minibar)",IF(_xll.EVDES(H155,$B$1)="#NODATA","",_xll.EVDES(H155,$B$1)))</f>
        <v>Cost of Food % (Excl Minibar)</v>
      </c>
      <c r="O155" s="508">
        <v>0.30125500515334003</v>
      </c>
      <c r="P155" s="508">
        <v>0.318058418137318</v>
      </c>
      <c r="Q155" s="508">
        <v>0.35127334263198901</v>
      </c>
      <c r="R155" s="508">
        <v>0.38903594812641701</v>
      </c>
      <c r="S155" s="508">
        <v>0.46876548787207101</v>
      </c>
      <c r="T155" s="508">
        <v>0.32693677235056701</v>
      </c>
      <c r="U155" s="508">
        <v>0.32364811661964699</v>
      </c>
      <c r="V155" s="508">
        <v>0.34138731793268801</v>
      </c>
      <c r="W155" s="508">
        <v>0.32608626453866901</v>
      </c>
      <c r="X155" s="508">
        <v>0.30308919466690498</v>
      </c>
      <c r="Y155" s="508">
        <v>0.290442955115646</v>
      </c>
      <c r="Z155" s="508">
        <v>0.31276699053916901</v>
      </c>
      <c r="AA155" s="508">
        <v>0.339089256253506</v>
      </c>
      <c r="AB155" s="436"/>
      <c r="AC155" s="140"/>
      <c r="AD155" s="508">
        <v>0.29743252929506597</v>
      </c>
      <c r="AE155" s="436"/>
      <c r="AF155" s="521">
        <f t="shared" si="68"/>
        <v>4.1656726958440027E-2</v>
      </c>
      <c r="AG155" s="508">
        <v>0.44491271421121897</v>
      </c>
      <c r="AH155" s="436"/>
      <c r="AI155" s="521">
        <f t="shared" si="69"/>
        <v>-0.10582345795771297</v>
      </c>
    </row>
    <row r="156" spans="1:35" x14ac:dyDescent="0.35">
      <c r="A156" s="11"/>
      <c r="B156" s="11"/>
      <c r="C156" s="208"/>
      <c r="D156" s="11"/>
      <c r="E156" s="11"/>
      <c r="F156" s="11"/>
      <c r="G156" s="11"/>
      <c r="H156" s="494">
        <v>567100</v>
      </c>
      <c r="I156" s="122"/>
      <c r="J156" s="122"/>
      <c r="K156" s="11"/>
      <c r="L156" s="90" t="str">
        <f>IF(_epmOfflineCondition_,"567100",_xll.EVPRO($B$1,H156,"JDEID"))</f>
        <v>567100</v>
      </c>
      <c r="M156" s="90" t="str">
        <f>IF(_epmOfflineCondition_,"",IF(AND(I156="N",J156="N"),_xll.EVPRO($B$1,H156,"PSFTID"),""))</f>
        <v/>
      </c>
      <c r="N156" s="90" t="str">
        <f>IF(_epmOfflineCondition_,"Mini Bar Cost of Food",IF(_xll.EVDES(H156,$B$1)="#NODATA","",_xll.EVDES(H156,$B$1)))</f>
        <v>Mini Bar Cost of Food</v>
      </c>
      <c r="O156" s="143">
        <v>679.72</v>
      </c>
      <c r="P156" s="143">
        <v>597.66999999999996</v>
      </c>
      <c r="Q156" s="143">
        <v>271.77</v>
      </c>
      <c r="R156" s="143">
        <v>181.93</v>
      </c>
      <c r="S156" s="143">
        <v>159.58000000000001</v>
      </c>
      <c r="T156" s="143">
        <v>576.99</v>
      </c>
      <c r="U156" s="143">
        <v>1359.28</v>
      </c>
      <c r="V156" s="143">
        <v>1087.53</v>
      </c>
      <c r="W156" s="143">
        <v>853.14</v>
      </c>
      <c r="X156" s="143">
        <v>844.35</v>
      </c>
      <c r="Y156" s="143">
        <v>1434.64</v>
      </c>
      <c r="Z156" s="143">
        <v>1524.51</v>
      </c>
      <c r="AA156" s="143">
        <f>SUM(O156:Z156)</f>
        <v>9571.11</v>
      </c>
      <c r="AB156" s="436">
        <f>IF(_epmOfflineCondition_,0.257469654654065,IF(AA156=0,"",IFERROR(AA156/_xll.EVGTS($B$1,1,_xll.EVPRO($B$1,$H156,"COSBASIS"),$B$3,$B$5,$B$6,$B$7,$B$9,AA$16,AA$17,AA$11),"")))</f>
        <v>0.25746965465406502</v>
      </c>
      <c r="AC156" s="140"/>
      <c r="AD156" s="143">
        <v>9794.0249999999996</v>
      </c>
      <c r="AE156" s="436">
        <f>IF(_epmOfflineCondition_,0.261,IF(AD156=0,"",IFERROR(AD156/_xll.EVGTS($B$1,1,_xll.EVPRO($B$1,$H156,"COSBASIS"),$B$3,$B$5,$B$6,$B$7,$B$9,AD$16,AD$17,AD$18),"")))</f>
        <v>0.26100000000000001</v>
      </c>
      <c r="AF156" s="145">
        <f t="shared" si="68"/>
        <v>-222.91499999999905</v>
      </c>
      <c r="AG156" s="143">
        <v>6216.67</v>
      </c>
      <c r="AH156" s="436">
        <f>IF(_epmOfflineCondition_,0.26274143847268,IF(AG156=0,"",IFERROR(AG156/_xll.EVGTS($B$1,1,_xll.EVPRO($B$1,$H156,"COSBASIS"),$B$3,$B$5,$B$6,$B$7,$B$9,AG$16,AG$17,AG$18),"")))</f>
        <v>0.26274143847268</v>
      </c>
      <c r="AI156" s="145">
        <f t="shared" si="69"/>
        <v>3354.4400000000005</v>
      </c>
    </row>
    <row r="157" spans="1:35" x14ac:dyDescent="0.35">
      <c r="A157" s="11"/>
      <c r="B157" s="11"/>
      <c r="C157" s="208"/>
      <c r="D157" s="11"/>
      <c r="E157" s="11"/>
      <c r="F157" s="11"/>
      <c r="G157" s="11"/>
      <c r="H157" s="185" t="s">
        <v>772</v>
      </c>
      <c r="I157" s="122"/>
      <c r="J157" s="122"/>
      <c r="K157" s="11"/>
      <c r="L157" s="90" t="str">
        <f>IF(_epmOfflineCondition_,"",_xll.EVPRO($B$1,H157,"JDEID"))</f>
        <v/>
      </c>
      <c r="M157" s="90" t="str">
        <f>IF(_epmOfflineCondition_,"",IF(AND(I157="N",J157="N"),_xll.EVPRO($B$1,H157,"PSFTID"),""))</f>
        <v/>
      </c>
      <c r="N157" s="493" t="str">
        <f>IF(_epmOfflineCondition_,"Minibar Food Cost %",IF(_xll.EVDES(H157,$B$1)="#NODATA","",_xll.EVDES(H157,$B$1)))</f>
        <v>Minibar Food Cost %</v>
      </c>
      <c r="O157" s="508">
        <v>0.82892682926829298</v>
      </c>
      <c r="P157" s="508">
        <v>0.994459234608985</v>
      </c>
      <c r="Q157" s="508">
        <v>0.315692264801886</v>
      </c>
      <c r="R157" s="508">
        <v>0.19740882605063001</v>
      </c>
      <c r="S157" s="508">
        <v>0.15910269192422699</v>
      </c>
      <c r="T157" s="508">
        <v>0.15590110780870001</v>
      </c>
      <c r="U157" s="508">
        <v>0.25386793369043098</v>
      </c>
      <c r="V157" s="508">
        <v>0.25362173507462699</v>
      </c>
      <c r="W157" s="508">
        <v>0.244312714776632</v>
      </c>
      <c r="X157" s="508">
        <v>0.23447653429602899</v>
      </c>
      <c r="Y157" s="508">
        <v>0.26376907519764697</v>
      </c>
      <c r="Z157" s="508">
        <v>0.21496192893401</v>
      </c>
      <c r="AA157" s="508">
        <v>0.25746965465406502</v>
      </c>
      <c r="AB157" s="436"/>
      <c r="AC157" s="140"/>
      <c r="AD157" s="508">
        <v>0.26100000000000001</v>
      </c>
      <c r="AE157" s="436"/>
      <c r="AF157" s="521">
        <f t="shared" si="68"/>
        <v>-3.5303453459349932E-3</v>
      </c>
      <c r="AG157" s="508">
        <v>0.26274143847268</v>
      </c>
      <c r="AH157" s="436"/>
      <c r="AI157" s="521">
        <f t="shared" si="69"/>
        <v>-5.2717838186149835E-3</v>
      </c>
    </row>
    <row r="158" spans="1:35" x14ac:dyDescent="0.35">
      <c r="A158" s="11"/>
      <c r="B158" s="11"/>
      <c r="C158" s="208"/>
      <c r="D158" s="11"/>
      <c r="E158" s="11"/>
      <c r="F158" s="11"/>
      <c r="G158" s="11"/>
      <c r="H158" s="185"/>
      <c r="I158" s="122"/>
      <c r="J158" s="122"/>
      <c r="K158" s="11"/>
      <c r="L158" s="90"/>
      <c r="M158" s="90"/>
      <c r="N158" s="493"/>
      <c r="O158" s="518"/>
      <c r="P158" s="519"/>
      <c r="Q158" s="519"/>
      <c r="R158" s="519"/>
      <c r="S158" s="519"/>
      <c r="T158" s="519"/>
      <c r="U158" s="519"/>
      <c r="V158" s="519"/>
      <c r="W158" s="519"/>
      <c r="X158" s="519"/>
      <c r="Y158" s="519"/>
      <c r="Z158" s="519"/>
      <c r="AA158" s="519"/>
      <c r="AB158" s="520"/>
      <c r="AC158" s="140"/>
      <c r="AD158" s="518"/>
      <c r="AE158" s="519"/>
      <c r="AF158" s="519"/>
      <c r="AG158" s="519"/>
      <c r="AH158" s="519"/>
      <c r="AI158" s="520"/>
    </row>
    <row r="159" spans="1:35" x14ac:dyDescent="0.35">
      <c r="A159" s="11"/>
      <c r="B159" s="11"/>
      <c r="C159" s="208"/>
      <c r="D159" s="11"/>
      <c r="E159" s="11"/>
      <c r="F159" s="11"/>
      <c r="G159" s="11"/>
      <c r="H159" s="185" t="s">
        <v>636</v>
      </c>
      <c r="I159" s="122"/>
      <c r="J159" s="122"/>
      <c r="K159" s="11"/>
      <c r="L159" s="90" t="str">
        <f>IF(_epmOfflineCondition_,"",_xll.EVPRO($B$1,H159,"JDEID"))</f>
        <v/>
      </c>
      <c r="M159" s="90" t="str">
        <f>IF(_epmOfflineCondition_,"",IF(AND(I159="N",J159="N"),_xll.EVPRO($B$1,H159,"PSFTID"),""))</f>
        <v/>
      </c>
      <c r="N159" s="90" t="str">
        <f>IF(_epmOfflineCondition_,"Cost of Beverage Sales",IF(_xll.EVDES(H159,$B$1)="#NODATA","",_xll.EVDES(H159,$B$1)))</f>
        <v>Cost of Beverage Sales</v>
      </c>
      <c r="O159" s="143">
        <v>6708.16</v>
      </c>
      <c r="P159" s="143">
        <v>8226.86</v>
      </c>
      <c r="Q159" s="143">
        <v>14260.6</v>
      </c>
      <c r="R159" s="143">
        <v>13292.89</v>
      </c>
      <c r="S159" s="143">
        <v>10836.06</v>
      </c>
      <c r="T159" s="143">
        <v>10722</v>
      </c>
      <c r="U159" s="143">
        <v>12300.08</v>
      </c>
      <c r="V159" s="143">
        <v>8879.56</v>
      </c>
      <c r="W159" s="143">
        <v>6340.24</v>
      </c>
      <c r="X159" s="143">
        <v>10522.05</v>
      </c>
      <c r="Y159" s="143">
        <v>10840.76</v>
      </c>
      <c r="Z159" s="143">
        <v>14344.82</v>
      </c>
      <c r="AA159" s="143">
        <f>SUM(O159:Z159)</f>
        <v>127274.07999999999</v>
      </c>
      <c r="AB159" s="436">
        <f>IF(_epmOfflineCondition_,0.220946286410744,IF(AA159=0,"",IFERROR(AA159/_xll.EVGTS($B$1,1,_xll.EVPRO($B$1,$H159,"COSBASIS"),$B$3,$B$5,$B$6,$B$7,$B$9,AA$16,AA$17,AA$11),"")))</f>
        <v>0.22094628641074399</v>
      </c>
      <c r="AC159" s="140"/>
      <c r="AD159" s="143">
        <v>136426.42000000001</v>
      </c>
      <c r="AE159" s="436">
        <f>IF(_epmOfflineCondition_,0.235913688382984,IF(AD159=0,"",IFERROR(AD159/_xll.EVGTS($B$1,1,_xll.EVPRO($B$1,$H159,"COSBASIS"),$B$3,$B$5,$B$6,$B$7,$B$9,AD$16,AD$17,AD$18),"")))</f>
        <v>0.23591368838298399</v>
      </c>
      <c r="AF159" s="145">
        <f t="shared" ref="AF159:AF168" si="70">IF(AND($AA159="",AD159=""),"",$AA159-AD159)</f>
        <v>-9152.3400000000256</v>
      </c>
      <c r="AG159" s="143">
        <v>49620.51</v>
      </c>
      <c r="AH159" s="436">
        <f>IF(_epmOfflineCondition_,0.247296881489794,IF(AG159=0,"",IFERROR(AG159/_xll.EVGTS($B$1,1,_xll.EVPRO($B$1,$H159,"COSBASIS"),$B$3,$B$5,$B$6,$B$7,$B$9,AG$16,AG$17,AG$18),"")))</f>
        <v>0.24729688148979401</v>
      </c>
      <c r="AI159" s="145">
        <f t="shared" ref="AI159:AI168" si="71">IF(AND($AA159="",AG159=""),"",$AA159-AG159)</f>
        <v>77653.569999999978</v>
      </c>
    </row>
    <row r="160" spans="1:35" x14ac:dyDescent="0.35">
      <c r="A160" s="11"/>
      <c r="B160" s="11"/>
      <c r="C160" s="208"/>
      <c r="D160" s="11"/>
      <c r="E160" s="11"/>
      <c r="F160" s="11"/>
      <c r="G160" s="11"/>
      <c r="H160" s="185" t="s">
        <v>757</v>
      </c>
      <c r="I160" s="122"/>
      <c r="J160" s="122"/>
      <c r="K160" s="11"/>
      <c r="L160" s="90" t="str">
        <f>IF(_epmOfflineCondition_,"",_xll.EVPRO($B$1,H160,"JDEID"))</f>
        <v/>
      </c>
      <c r="M160" s="90" t="str">
        <f>IF(_epmOfflineCondition_,"",IF(AND(I160="N",J160="N"),_xll.EVPRO($B$1,H160,"PSFTID"),""))</f>
        <v/>
      </c>
      <c r="N160" s="493" t="str">
        <f>IF(_epmOfflineCondition_,"Beverage Cost %",IF(_xll.EVDES(H160,$B$1)="#NODATA","",_xll.EVDES(H160,$B$1)))</f>
        <v>Beverage Cost %</v>
      </c>
      <c r="O160" s="508">
        <v>0.27730005150680098</v>
      </c>
      <c r="P160" s="508">
        <v>0.176336737524076</v>
      </c>
      <c r="Q160" s="508">
        <v>0.258508018305803</v>
      </c>
      <c r="R160" s="508">
        <v>0.22341040408995799</v>
      </c>
      <c r="S160" s="508">
        <v>0.18544808757290801</v>
      </c>
      <c r="T160" s="508">
        <v>0.20323823987571399</v>
      </c>
      <c r="U160" s="508">
        <v>0.21765761582583501</v>
      </c>
      <c r="V160" s="508">
        <v>0.24641576339806401</v>
      </c>
      <c r="W160" s="508">
        <v>0.21046383943212801</v>
      </c>
      <c r="X160" s="508">
        <v>0.26159163407974401</v>
      </c>
      <c r="Y160" s="508">
        <v>0.225282206447108</v>
      </c>
      <c r="Z160" s="508">
        <v>0.20994051927745</v>
      </c>
      <c r="AA160" s="508">
        <v>0.22094628641074399</v>
      </c>
      <c r="AB160" s="436"/>
      <c r="AC160" s="140"/>
      <c r="AD160" s="508">
        <v>0.23591368838298399</v>
      </c>
      <c r="AE160" s="436"/>
      <c r="AF160" s="521">
        <f t="shared" si="70"/>
        <v>-1.4967401972240002E-2</v>
      </c>
      <c r="AG160" s="508">
        <v>0.24729688148979401</v>
      </c>
      <c r="AH160" s="436"/>
      <c r="AI160" s="521">
        <f t="shared" si="71"/>
        <v>-2.6350595079050021E-2</v>
      </c>
    </row>
    <row r="161" spans="1:35" x14ac:dyDescent="0.35">
      <c r="A161" s="11"/>
      <c r="B161" s="11"/>
      <c r="C161" s="208"/>
      <c r="D161" s="11"/>
      <c r="E161" s="11"/>
      <c r="F161" s="11"/>
      <c r="G161" s="11"/>
      <c r="H161" s="185" t="s">
        <v>755</v>
      </c>
      <c r="I161" s="122"/>
      <c r="J161" s="122"/>
      <c r="K161" s="11"/>
      <c r="L161" s="90" t="str">
        <f>IF(_epmOfflineCondition_,"561300",_xll.EVPRO($B$1,H161,"JDEID"))</f>
        <v>561300</v>
      </c>
      <c r="M161" s="90" t="str">
        <f>IF(_epmOfflineCondition_,"",IF(AND(I161="N",J161="N"),_xll.EVPRO($B$1,H161,"PSFTID"),""))</f>
        <v/>
      </c>
      <c r="N161" s="90" t="str">
        <f>IF(_epmOfflineCondition_,"Liquor Cost of Sales",IF(_xll.EVDES(H161,$B$1)="#NODATA","",_xll.EVDES(H161,$B$1)))</f>
        <v>Liquor Cost of Sales</v>
      </c>
      <c r="O161" s="143">
        <v>2922.5</v>
      </c>
      <c r="P161" s="143">
        <v>4351.21</v>
      </c>
      <c r="Q161" s="143">
        <v>9889.77</v>
      </c>
      <c r="R161" s="143">
        <v>9878.57</v>
      </c>
      <c r="S161" s="143">
        <v>6702.97</v>
      </c>
      <c r="T161" s="143">
        <v>8936.2000000000007</v>
      </c>
      <c r="U161" s="143">
        <v>8432.08</v>
      </c>
      <c r="V161" s="143">
        <v>6812.8</v>
      </c>
      <c r="W161" s="143">
        <v>4682.82</v>
      </c>
      <c r="X161" s="143">
        <v>8323.48</v>
      </c>
      <c r="Y161" s="143">
        <v>4949.3900000000003</v>
      </c>
      <c r="Z161" s="143">
        <v>9179.39</v>
      </c>
      <c r="AA161" s="143">
        <f>SUM(O161:Z161)</f>
        <v>85061.180000000008</v>
      </c>
      <c r="AB161" s="436">
        <f>IF(_epmOfflineCondition_,0.205560481296781,IF(AA161=0,"",IFERROR(AA161/_xll.EVGTS($B$1,1,_xll.EVPRO($B$1,$H161,"COSBASIS"),$B$3,$B$5,$B$6,$B$7,$B$9,AA$16,AA$17,AA$11),"")))</f>
        <v>0.20556048129678101</v>
      </c>
      <c r="AC161" s="140"/>
      <c r="AD161" s="143">
        <v>66660.67</v>
      </c>
      <c r="AE161" s="436">
        <f>IF(_epmOfflineCondition_,0.234213364322262,IF(AD161=0,"",IFERROR(AD161/_xll.EVGTS($B$1,1,_xll.EVPRO($B$1,$H161,"COSBASIS"),$B$3,$B$5,$B$6,$B$7,$B$9,AD$16,AD$17,AD$18),"")))</f>
        <v>0.234213364322262</v>
      </c>
      <c r="AF161" s="145">
        <f t="shared" si="70"/>
        <v>18400.510000000009</v>
      </c>
      <c r="AG161" s="143">
        <v>26140.36</v>
      </c>
      <c r="AH161" s="436">
        <f>IF(_epmOfflineCondition_,0.245613801012903,IF(AG161=0,"",IFERROR(AG161/_xll.EVGTS($B$1,1,_xll.EVPRO($B$1,$H161,"COSBASIS"),$B$3,$B$5,$B$6,$B$7,$B$9,AG$16,AG$17,AG$18),"")))</f>
        <v>0.245613801012903</v>
      </c>
      <c r="AI161" s="145">
        <f t="shared" si="71"/>
        <v>58920.820000000007</v>
      </c>
    </row>
    <row r="162" spans="1:35" x14ac:dyDescent="0.35">
      <c r="A162" s="11"/>
      <c r="B162" s="11"/>
      <c r="C162" s="208"/>
      <c r="D162" s="11"/>
      <c r="E162" s="11"/>
      <c r="F162" s="11"/>
      <c r="G162" s="11"/>
      <c r="H162" s="185" t="s">
        <v>758</v>
      </c>
      <c r="I162" s="122"/>
      <c r="J162" s="122"/>
      <c r="K162" s="11"/>
      <c r="L162" s="90" t="str">
        <f>IF(_epmOfflineCondition_,"",_xll.EVPRO($B$1,H162,"JDEID"))</f>
        <v/>
      </c>
      <c r="M162" s="90" t="str">
        <f>IF(_epmOfflineCondition_,"",IF(AND(I162="N",J162="N"),_xll.EVPRO($B$1,H162,"PSFTID"),""))</f>
        <v/>
      </c>
      <c r="N162" s="493" t="str">
        <f>IF(_epmOfflineCondition_,"Liquor Cost %",IF(_xll.EVDES(H162,$B$1)="#NODATA","",_xll.EVDES(H162,$B$1)))</f>
        <v>Liquor Cost %</v>
      </c>
      <c r="O162" s="508">
        <v>0.19940570617594799</v>
      </c>
      <c r="P162" s="508">
        <v>0.13669698715657</v>
      </c>
      <c r="Q162" s="508">
        <v>0.24828624529996299</v>
      </c>
      <c r="R162" s="508">
        <v>0.22849737756677499</v>
      </c>
      <c r="S162" s="508">
        <v>0.15573825911124001</v>
      </c>
      <c r="T162" s="508">
        <v>0.20871871624979901</v>
      </c>
      <c r="U162" s="508">
        <v>0.19376011934333601</v>
      </c>
      <c r="V162" s="508">
        <v>0.24222539604997101</v>
      </c>
      <c r="W162" s="508">
        <v>0.21194735646271901</v>
      </c>
      <c r="X162" s="508">
        <v>0.28611597702129299</v>
      </c>
      <c r="Y162" s="508">
        <v>0.15815981542551799</v>
      </c>
      <c r="Z162" s="508">
        <v>0.20734281782706601</v>
      </c>
      <c r="AA162" s="508">
        <v>0.20556048129678101</v>
      </c>
      <c r="AB162" s="436"/>
      <c r="AC162" s="140"/>
      <c r="AD162" s="508">
        <v>0.234213364322262</v>
      </c>
      <c r="AE162" s="436"/>
      <c r="AF162" s="521">
        <f t="shared" si="70"/>
        <v>-2.8652883025480996E-2</v>
      </c>
      <c r="AG162" s="508">
        <v>0.245613801012903</v>
      </c>
      <c r="AH162" s="436"/>
      <c r="AI162" s="521">
        <f t="shared" si="71"/>
        <v>-4.0053319716121999E-2</v>
      </c>
    </row>
    <row r="163" spans="1:35" x14ac:dyDescent="0.35">
      <c r="A163" s="11"/>
      <c r="B163" s="11"/>
      <c r="C163" s="208"/>
      <c r="D163" s="11"/>
      <c r="E163" s="11"/>
      <c r="F163" s="11"/>
      <c r="G163" s="11"/>
      <c r="H163" s="185">
        <v>561400</v>
      </c>
      <c r="I163" s="122"/>
      <c r="J163" s="122"/>
      <c r="K163" s="11"/>
      <c r="L163" s="90" t="str">
        <f>IF(_epmOfflineCondition_,"561400",_xll.EVPRO($B$1,H163,"JDEID"))</f>
        <v>561400</v>
      </c>
      <c r="M163" s="90" t="str">
        <f>IF(_epmOfflineCondition_,"",IF(AND(I163="N",J163="N"),_xll.EVPRO($B$1,H163,"PSFTID"),""))</f>
        <v/>
      </c>
      <c r="N163" s="90" t="str">
        <f>IF(_epmOfflineCondition_,"Beer Cost of Sales",IF(_xll.EVDES(H163,$B$1)="#NODATA","",_xll.EVDES(H163,$B$1)))</f>
        <v>Beer Cost of Sales</v>
      </c>
      <c r="O163" s="143">
        <v>605.91999999999996</v>
      </c>
      <c r="P163" s="143">
        <v>769.09</v>
      </c>
      <c r="Q163" s="143">
        <v>-392.23</v>
      </c>
      <c r="R163" s="143">
        <v>771.22</v>
      </c>
      <c r="S163" s="143">
        <v>243.59</v>
      </c>
      <c r="T163" s="143">
        <v>464.39</v>
      </c>
      <c r="U163" s="143">
        <v>705.16</v>
      </c>
      <c r="V163" s="143">
        <v>379.09</v>
      </c>
      <c r="W163" s="143">
        <v>292.58</v>
      </c>
      <c r="X163" s="143">
        <v>629.87</v>
      </c>
      <c r="Y163" s="143">
        <v>981.16</v>
      </c>
      <c r="Z163" s="143">
        <v>1029.3900000000001</v>
      </c>
      <c r="AA163" s="143">
        <f>SUM(O163:Z163)</f>
        <v>6479.2300000000005</v>
      </c>
      <c r="AB163" s="436">
        <f>IF(_epmOfflineCondition_,0.165213987740073,IF(AA163=0,"",IFERROR(AA163/_xll.EVGTS($B$1,1,_xll.EVPRO($B$1,$H163,"COSBASIS"),$B$3,$B$5,$B$6,$B$7,$B$9,AA$16,AA$17,AA$11),"")))</f>
        <v>0.16521398774007301</v>
      </c>
      <c r="AC163" s="140"/>
      <c r="AD163" s="143">
        <v>11508.73</v>
      </c>
      <c r="AE163" s="436">
        <f>IF(_epmOfflineCondition_,0.189955953220641,IF(AD163=0,"",IFERROR(AD163/_xll.EVGTS($B$1,1,_xll.EVPRO($B$1,$H163,"COSBASIS"),$B$3,$B$5,$B$6,$B$7,$B$9,AD$16,AD$17,AD$18),"")))</f>
        <v>0.18995595322064099</v>
      </c>
      <c r="AF163" s="145">
        <f t="shared" si="70"/>
        <v>-5029.4999999999991</v>
      </c>
      <c r="AG163" s="143">
        <v>3727.5</v>
      </c>
      <c r="AH163" s="436">
        <f>IF(_epmOfflineCondition_,0.213479780558249,IF(AG163=0,"",IFERROR(AG163/_xll.EVGTS($B$1,1,_xll.EVPRO($B$1,$H163,"COSBASIS"),$B$3,$B$5,$B$6,$B$7,$B$9,AG$16,AG$17,AG$18),"")))</f>
        <v>0.21347978055824901</v>
      </c>
      <c r="AI163" s="145">
        <f t="shared" si="71"/>
        <v>2751.7300000000005</v>
      </c>
    </row>
    <row r="164" spans="1:35" x14ac:dyDescent="0.35">
      <c r="A164" s="11"/>
      <c r="B164" s="11"/>
      <c r="C164" s="208"/>
      <c r="D164" s="11"/>
      <c r="E164" s="11"/>
      <c r="F164" s="11"/>
      <c r="G164" s="11"/>
      <c r="H164" s="185" t="s">
        <v>759</v>
      </c>
      <c r="I164" s="122"/>
      <c r="J164" s="122"/>
      <c r="K164" s="11"/>
      <c r="L164" s="90" t="str">
        <f>IF(_epmOfflineCondition_,"",_xll.EVPRO($B$1,H164,"JDEID"))</f>
        <v/>
      </c>
      <c r="M164" s="90" t="str">
        <f>IF(_epmOfflineCondition_,"",IF(AND(I164="N",J164="N"),_xll.EVPRO($B$1,H164,"PSFTID"),""))</f>
        <v/>
      </c>
      <c r="N164" s="493" t="str">
        <f>IF(_epmOfflineCondition_,"Beer Cost %",IF(_xll.EVDES(H164,$B$1)="#NODATA","",_xll.EVDES(H164,$B$1)))</f>
        <v>Beer Cost %</v>
      </c>
      <c r="O164" s="508">
        <v>0.34651721377101702</v>
      </c>
      <c r="P164" s="508">
        <v>0.244699331848552</v>
      </c>
      <c r="Q164" s="508">
        <v>-0.106687447639564</v>
      </c>
      <c r="R164" s="508">
        <v>0.197264660819476</v>
      </c>
      <c r="S164" s="508">
        <v>5.7396324222431697E-2</v>
      </c>
      <c r="T164" s="508">
        <v>0.174176730927912</v>
      </c>
      <c r="U164" s="508">
        <v>0.23295672282788199</v>
      </c>
      <c r="V164" s="508">
        <v>0.18372104293883901</v>
      </c>
      <c r="W164" s="508">
        <v>0.182179327521793</v>
      </c>
      <c r="X164" s="508">
        <v>0.208262107320105</v>
      </c>
      <c r="Y164" s="508">
        <v>0.23959951159951201</v>
      </c>
      <c r="Z164" s="508">
        <v>0.17117756810419099</v>
      </c>
      <c r="AA164" s="508">
        <v>0.16521398774007301</v>
      </c>
      <c r="AB164" s="436"/>
      <c r="AC164" s="140"/>
      <c r="AD164" s="508">
        <v>0.18995595322064099</v>
      </c>
      <c r="AE164" s="436"/>
      <c r="AF164" s="521">
        <f t="shared" si="70"/>
        <v>-2.4741965480567979E-2</v>
      </c>
      <c r="AG164" s="508">
        <v>0.21347978055824901</v>
      </c>
      <c r="AH164" s="436"/>
      <c r="AI164" s="521">
        <f t="shared" si="71"/>
        <v>-4.8265792818176001E-2</v>
      </c>
    </row>
    <row r="165" spans="1:35" x14ac:dyDescent="0.35">
      <c r="A165" s="11"/>
      <c r="B165" s="11"/>
      <c r="C165" s="208"/>
      <c r="D165" s="11"/>
      <c r="E165" s="11"/>
      <c r="F165" s="11"/>
      <c r="G165" s="11"/>
      <c r="H165" s="185">
        <v>561500</v>
      </c>
      <c r="I165" s="122"/>
      <c r="J165" s="122"/>
      <c r="K165" s="11"/>
      <c r="L165" s="90" t="str">
        <f>IF(_epmOfflineCondition_,"561500",_xll.EVPRO($B$1,H165,"JDEID"))</f>
        <v>561500</v>
      </c>
      <c r="M165" s="90" t="str">
        <f>IF(_epmOfflineCondition_,"",IF(AND(I165="N",J165="N"),_xll.EVPRO($B$1,H165,"PSFTID"),""))</f>
        <v/>
      </c>
      <c r="N165" s="90" t="str">
        <f>IF(_epmOfflineCondition_,"Wine Cost of Sales",IF(_xll.EVDES(H165,$B$1)="#NODATA","",_xll.EVDES(H165,$B$1)))</f>
        <v>Wine Cost of Sales</v>
      </c>
      <c r="O165" s="143">
        <v>2052.64</v>
      </c>
      <c r="P165" s="143">
        <v>1962.44</v>
      </c>
      <c r="Q165" s="143">
        <v>3966.15</v>
      </c>
      <c r="R165" s="143">
        <v>2087.6799999999998</v>
      </c>
      <c r="S165" s="143">
        <v>3635.99</v>
      </c>
      <c r="T165" s="143">
        <v>1489.2</v>
      </c>
      <c r="U165" s="143">
        <v>2850.08</v>
      </c>
      <c r="V165" s="143">
        <v>1498.21</v>
      </c>
      <c r="W165" s="143">
        <v>1190.31</v>
      </c>
      <c r="X165" s="143">
        <v>1582.7</v>
      </c>
      <c r="Y165" s="143">
        <v>4562.6499999999996</v>
      </c>
      <c r="Z165" s="143">
        <v>4097.6899999999996</v>
      </c>
      <c r="AA165" s="143">
        <f>SUM(O165:Z165)</f>
        <v>30975.74</v>
      </c>
      <c r="AB165" s="436">
        <f>IF(_epmOfflineCondition_,0.288182903900671,IF(AA165=0,"",IFERROR(AA165/_xll.EVGTS($B$1,1,_xll.EVPRO($B$1,$H165,"COSBASIS"),$B$3,$B$5,$B$6,$B$7,$B$9,AA$16,AA$17,AA$11),"")))</f>
        <v>0.28818290390067097</v>
      </c>
      <c r="AC165" s="140"/>
      <c r="AD165" s="143">
        <v>45108.26</v>
      </c>
      <c r="AE165" s="436">
        <f>IF(_epmOfflineCondition_,0.239863429987873,IF(AD165=0,"",IFERROR(AD165/_xll.EVGTS($B$1,1,_xll.EVPRO($B$1,$H165,"COSBASIS"),$B$3,$B$5,$B$6,$B$7,$B$9,AD$16,AD$17,AD$18),"")))</f>
        <v>0.23986342998787299</v>
      </c>
      <c r="AF165" s="145">
        <f t="shared" si="70"/>
        <v>-14132.52</v>
      </c>
      <c r="AG165" s="143">
        <v>13169.36</v>
      </c>
      <c r="AH165" s="436">
        <f>IF(_epmOfflineCondition_,0.255440695406596,IF(AG165=0,"",IFERROR(AG165/_xll.EVGTS($B$1,1,_xll.EVPRO($B$1,$H165,"COSBASIS"),$B$3,$B$5,$B$6,$B$7,$B$9,AG$16,AG$17,AG$18),"")))</f>
        <v>0.25544069540659597</v>
      </c>
      <c r="AI165" s="145">
        <f t="shared" si="71"/>
        <v>17806.38</v>
      </c>
    </row>
    <row r="166" spans="1:35" x14ac:dyDescent="0.35">
      <c r="A166" s="11"/>
      <c r="B166" s="11"/>
      <c r="C166" s="208"/>
      <c r="D166" s="11"/>
      <c r="E166" s="11"/>
      <c r="F166" s="11"/>
      <c r="G166" s="11"/>
      <c r="H166" s="185" t="s">
        <v>760</v>
      </c>
      <c r="I166" s="122"/>
      <c r="J166" s="122"/>
      <c r="K166" s="11"/>
      <c r="L166" s="90" t="str">
        <f>IF(_epmOfflineCondition_,"",_xll.EVPRO($B$1,H166,"JDEID"))</f>
        <v/>
      </c>
      <c r="M166" s="90" t="str">
        <f>IF(_epmOfflineCondition_,"",IF(AND(I166="N",J166="N"),_xll.EVPRO($B$1,H166,"PSFTID"),""))</f>
        <v/>
      </c>
      <c r="N166" s="493" t="str">
        <f>IF(_epmOfflineCondition_,"Wine Cost %",IF(_xll.EVDES(H166,$B$1)="#NODATA","",_xll.EVDES(H166,$B$1)))</f>
        <v>Wine Cost %</v>
      </c>
      <c r="O166" s="508">
        <v>0.36876002680401598</v>
      </c>
      <c r="P166" s="508">
        <v>0.19764331466784801</v>
      </c>
      <c r="Q166" s="508">
        <v>0.41282025927795601</v>
      </c>
      <c r="R166" s="508">
        <v>0.205307541389874</v>
      </c>
      <c r="S166" s="508">
        <v>0.36397024965464803</v>
      </c>
      <c r="T166" s="508">
        <v>0.22177017033354901</v>
      </c>
      <c r="U166" s="508">
        <v>0.34309377633321297</v>
      </c>
      <c r="V166" s="508">
        <v>0.28791797986009698</v>
      </c>
      <c r="W166" s="508">
        <v>0.20505545391588401</v>
      </c>
      <c r="X166" s="508">
        <v>0.214938548244721</v>
      </c>
      <c r="Y166" s="508">
        <v>0.39698691400132202</v>
      </c>
      <c r="Z166" s="508">
        <v>0.23634319766891901</v>
      </c>
      <c r="AA166" s="508">
        <v>0.28818290390067097</v>
      </c>
      <c r="AB166" s="436"/>
      <c r="AC166" s="140"/>
      <c r="AD166" s="508">
        <v>0.239863429987872</v>
      </c>
      <c r="AE166" s="436"/>
      <c r="AF166" s="521">
        <f t="shared" si="70"/>
        <v>4.8319473912798977E-2</v>
      </c>
      <c r="AG166" s="508">
        <v>0.25544069540659597</v>
      </c>
      <c r="AH166" s="436"/>
      <c r="AI166" s="521">
        <f t="shared" si="71"/>
        <v>3.2742208494074998E-2</v>
      </c>
    </row>
    <row r="167" spans="1:35" x14ac:dyDescent="0.35">
      <c r="A167" s="11"/>
      <c r="B167" s="11"/>
      <c r="C167" s="208"/>
      <c r="D167" s="11"/>
      <c r="E167" s="11"/>
      <c r="F167" s="11"/>
      <c r="G167" s="11"/>
      <c r="H167" s="185">
        <v>567200</v>
      </c>
      <c r="I167" s="122"/>
      <c r="J167" s="122"/>
      <c r="K167" s="11"/>
      <c r="L167" s="90" t="str">
        <f>IF(_epmOfflineCondition_,"567200",_xll.EVPRO($B$1,H167,"JDEID"))</f>
        <v>567200</v>
      </c>
      <c r="M167" s="90" t="str">
        <f>IF(_epmOfflineCondition_,"",IF(AND(I167="N",J167="N"),_xll.EVPRO($B$1,H167,"PSFTID"),""))</f>
        <v/>
      </c>
      <c r="N167" s="90" t="str">
        <f>IF(_epmOfflineCondition_,"Mini Bar Cost of Beverage",IF(_xll.EVDES(H167,$B$1)="#NODATA","",_xll.EVDES(H167,$B$1)))</f>
        <v>Mini Bar Cost of Beverage</v>
      </c>
      <c r="O167" s="143">
        <v>1127.0999999999999</v>
      </c>
      <c r="P167" s="143">
        <v>1144.1199999999999</v>
      </c>
      <c r="Q167" s="143">
        <v>796.91</v>
      </c>
      <c r="R167" s="143">
        <v>555.41999999999996</v>
      </c>
      <c r="S167" s="143">
        <v>253.51</v>
      </c>
      <c r="T167" s="143">
        <v>-167.79</v>
      </c>
      <c r="U167" s="143">
        <v>312.76</v>
      </c>
      <c r="V167" s="143">
        <v>189.46</v>
      </c>
      <c r="W167" s="143">
        <v>174.53</v>
      </c>
      <c r="X167" s="143">
        <v>-14</v>
      </c>
      <c r="Y167" s="143">
        <v>347.56</v>
      </c>
      <c r="Z167" s="143">
        <v>38.35</v>
      </c>
      <c r="AA167" s="143">
        <f>SUM(O167:Z167)</f>
        <v>4757.93</v>
      </c>
      <c r="AB167" s="436">
        <f>IF(_epmOfflineCondition_,0.30625193099897,IF(AA167=0,"",IFERROR(AA167/_xll.EVGTS($B$1,1,_xll.EVPRO($B$1,$H167,"COSBASIS"),$B$3,$B$5,$B$6,$B$7,$B$9,AA$16,AA$17,AA$11),"")))</f>
        <v>0.30625193099897002</v>
      </c>
      <c r="AC167" s="140"/>
      <c r="AD167" s="143">
        <v>13148.76</v>
      </c>
      <c r="AE167" s="436">
        <f>IF(_epmOfflineCondition_,0.292,IF(AD167=0,"",IFERROR(AD167/_xll.EVGTS($B$1,1,_xll.EVPRO($B$1,$H167,"COSBASIS"),$B$3,$B$5,$B$6,$B$7,$B$9,AD$16,AD$17,AD$18),"")))</f>
        <v>0.29199999999999998</v>
      </c>
      <c r="AF167" s="145">
        <f t="shared" si="70"/>
        <v>-8390.83</v>
      </c>
      <c r="AG167" s="143">
        <v>6583.29</v>
      </c>
      <c r="AH167" s="436">
        <f>IF(_epmOfflineCondition_,0.261171709958642,IF(AG167=0,"",IFERROR(AG167/_xll.EVGTS($B$1,1,_xll.EVPRO($B$1,$H167,"COSBASIS"),$B$3,$B$5,$B$6,$B$7,$B$9,AG$16,AG$17,AG$18),"")))</f>
        <v>0.26117170995864197</v>
      </c>
      <c r="AI167" s="145">
        <f t="shared" si="71"/>
        <v>-1825.3599999999997</v>
      </c>
    </row>
    <row r="168" spans="1:35" x14ac:dyDescent="0.35">
      <c r="A168" s="11"/>
      <c r="B168" s="11"/>
      <c r="C168" s="208"/>
      <c r="D168" s="11"/>
      <c r="E168" s="11"/>
      <c r="F168" s="11"/>
      <c r="G168" s="11"/>
      <c r="H168" s="185"/>
      <c r="I168" s="122"/>
      <c r="J168" s="122"/>
      <c r="K168" s="11"/>
      <c r="L168" s="90"/>
      <c r="M168" s="90"/>
      <c r="N168" s="493" t="s">
        <v>761</v>
      </c>
      <c r="O168" s="508">
        <f t="shared" ref="O168:AA168" si="72">IFERROR(O167/O96,"")</f>
        <v>0.50770270270270268</v>
      </c>
      <c r="P168" s="508">
        <f t="shared" si="72"/>
        <v>0.6534094802969731</v>
      </c>
      <c r="Q168" s="508">
        <f t="shared" si="72"/>
        <v>0.38892630551488527</v>
      </c>
      <c r="R168" s="508">
        <f t="shared" si="72"/>
        <v>0.25373229785290086</v>
      </c>
      <c r="S168" s="508">
        <f t="shared" si="72"/>
        <v>0.21892055267702934</v>
      </c>
      <c r="T168" s="508">
        <f t="shared" si="72"/>
        <v>-0.29962499999999997</v>
      </c>
      <c r="U168" s="508">
        <f t="shared" si="72"/>
        <v>0.18852320675105486</v>
      </c>
      <c r="V168" s="508">
        <f t="shared" si="72"/>
        <v>0.2951090342679128</v>
      </c>
      <c r="W168" s="508">
        <f t="shared" si="72"/>
        <v>0.28150000000000003</v>
      </c>
      <c r="X168" s="508">
        <f t="shared" si="72"/>
        <v>-1.8817204301075269E-2</v>
      </c>
      <c r="Y168" s="508">
        <f t="shared" si="72"/>
        <v>0.28051654560129136</v>
      </c>
      <c r="Z168" s="508">
        <f t="shared" si="72"/>
        <v>5.4397163120567381E-2</v>
      </c>
      <c r="AA168" s="508">
        <f t="shared" si="72"/>
        <v>0.30625193099897013</v>
      </c>
      <c r="AB168" s="436"/>
      <c r="AC168" s="140"/>
      <c r="AD168" s="508">
        <f>IFERROR(AD167/AD96,"")</f>
        <v>0.29199999999999998</v>
      </c>
      <c r="AE168" s="436"/>
      <c r="AF168" s="521">
        <f t="shared" si="70"/>
        <v>1.4251930998970153E-2</v>
      </c>
      <c r="AG168" s="508">
        <f>IFERROR(AG167/AG96,"")</f>
        <v>0.26117170995864203</v>
      </c>
      <c r="AH168" s="436"/>
      <c r="AI168" s="521">
        <f t="shared" si="71"/>
        <v>4.5080221040328106E-2</v>
      </c>
    </row>
    <row r="169" spans="1:35" x14ac:dyDescent="0.35">
      <c r="A169" s="11"/>
      <c r="B169" s="11"/>
      <c r="C169" s="208"/>
      <c r="D169" s="11"/>
      <c r="E169" s="11"/>
      <c r="F169" s="11"/>
      <c r="G169" s="11"/>
      <c r="H169" s="185"/>
      <c r="I169" s="122"/>
      <c r="J169" s="122"/>
      <c r="K169" s="11"/>
      <c r="L169" s="90"/>
      <c r="M169" s="90"/>
      <c r="N169" s="493"/>
      <c r="O169" s="518"/>
      <c r="P169" s="519"/>
      <c r="Q169" s="519"/>
      <c r="R169" s="519"/>
      <c r="S169" s="519"/>
      <c r="T169" s="519"/>
      <c r="U169" s="519"/>
      <c r="V169" s="519"/>
      <c r="W169" s="519"/>
      <c r="X169" s="519"/>
      <c r="Y169" s="519"/>
      <c r="Z169" s="519"/>
      <c r="AA169" s="519"/>
      <c r="AB169" s="520"/>
      <c r="AC169" s="140"/>
      <c r="AD169" s="518"/>
      <c r="AE169" s="519"/>
      <c r="AF169" s="519"/>
      <c r="AG169" s="519"/>
      <c r="AH169" s="519"/>
      <c r="AI169" s="520"/>
    </row>
    <row r="170" spans="1:35" x14ac:dyDescent="0.35">
      <c r="A170" s="11"/>
      <c r="B170" s="11"/>
      <c r="C170" s="208"/>
      <c r="D170" s="11"/>
      <c r="E170" s="11"/>
      <c r="F170" s="11"/>
      <c r="G170" s="11"/>
      <c r="H170" s="185" t="s">
        <v>286</v>
      </c>
      <c r="I170" s="122"/>
      <c r="J170" s="122"/>
      <c r="K170" s="11"/>
      <c r="L170" s="90" t="str">
        <f>IF(_epmOfflineCondition_,"",_xll.EVPRO($B$1,H170,"JDEID"))</f>
        <v/>
      </c>
      <c r="M170" s="90" t="str">
        <f>IF(_epmOfflineCondition_,"",IF(AND(I170="N",J170="N"),_xll.EVPRO($B$1,H170,"PSFTID"),""))</f>
        <v/>
      </c>
      <c r="N170" s="90" t="str">
        <f>IF(_epmOfflineCondition_,"Total Cost of Food &amp; Beverage Sales",IF(_xll.EVDES(H170,$B$1)="#NODATA","",_xll.EVDES(H170,$B$1)))</f>
        <v>Total Cost of Food &amp; Beverage Sales</v>
      </c>
      <c r="O170" s="143">
        <v>16688.580000000002</v>
      </c>
      <c r="P170" s="143">
        <v>24626.69</v>
      </c>
      <c r="Q170" s="143">
        <v>37266.44</v>
      </c>
      <c r="R170" s="143">
        <v>41573.769999999997</v>
      </c>
      <c r="S170" s="143">
        <v>40288.050000000003</v>
      </c>
      <c r="T170" s="143">
        <v>30984.18</v>
      </c>
      <c r="U170" s="143">
        <v>34461.71</v>
      </c>
      <c r="V170" s="143">
        <v>25141.49</v>
      </c>
      <c r="W170" s="143">
        <v>20715.759999999998</v>
      </c>
      <c r="X170" s="143">
        <v>28206.560000000001</v>
      </c>
      <c r="Y170" s="143">
        <v>33149.480000000003</v>
      </c>
      <c r="Z170" s="143">
        <v>47103.94</v>
      </c>
      <c r="AA170" s="143">
        <f>SUM(O170:Z170)</f>
        <v>380206.64999999997</v>
      </c>
      <c r="AB170" s="436">
        <f>IF(_epmOfflineCondition_,0.286020474013546,IF(AA170=0,"",IFERROR(AA170/_xll.EVGTS($B$1,1,_xll.EVPRO($B$1,$H170,"COSBASIS"),$B$3,$B$5,$B$6,$B$7,$B$9,AA$16,AA$17,AA$11),"")))</f>
        <v>0.28602047401354602</v>
      </c>
      <c r="AC170" s="140"/>
      <c r="AD170" s="143">
        <v>335028.28499999997</v>
      </c>
      <c r="AE170" s="436">
        <f>IF(_epmOfflineCondition_,0.267892600495693,IF(AD170=0,"",IFERROR(AD170/_xll.EVGTS($B$1,1,_xll.EVPRO($B$1,$H170,"COSBASIS"),$B$3,$B$5,$B$6,$B$7,$B$9,AD$16,AD$17,AD$18),"")))</f>
        <v>0.26789260049569302</v>
      </c>
      <c r="AF170" s="145">
        <f>IF(AND($AA170="",AD170=""),"",$AA170-AD170)</f>
        <v>45178.364999999991</v>
      </c>
      <c r="AG170" s="143">
        <v>175421.46</v>
      </c>
      <c r="AH170" s="436">
        <f>IF(_epmOfflineCondition_,0.356619898456267,IF(AG170=0,"",IFERROR(AG170/_xll.EVGTS($B$1,1,_xll.EVPRO($B$1,$H170,"COSBASIS"),$B$3,$B$5,$B$6,$B$7,$B$9,AG$16,AG$17,AG$18),"")))</f>
        <v>0.35661989845626701</v>
      </c>
      <c r="AI170" s="145">
        <f>IF(AND($AA170="",AG170=""),"",$AA170-AG170)</f>
        <v>204785.18999999997</v>
      </c>
    </row>
    <row r="171" spans="1:35" x14ac:dyDescent="0.35">
      <c r="A171" s="11"/>
      <c r="B171" s="11"/>
      <c r="C171" s="208"/>
      <c r="D171" s="11"/>
      <c r="E171" s="11"/>
      <c r="F171" s="11"/>
      <c r="G171" s="11"/>
      <c r="H171" s="185"/>
      <c r="I171" s="122"/>
      <c r="J171" s="122"/>
      <c r="K171" s="11"/>
      <c r="L171" s="90"/>
      <c r="M171" s="90"/>
      <c r="N171" s="493" t="s">
        <v>762</v>
      </c>
      <c r="O171" s="508">
        <f t="shared" ref="O171:AA171" si="73">IFERROR(O170/O102,"")</f>
        <v>0.29862809067900459</v>
      </c>
      <c r="P171" s="508">
        <f t="shared" si="73"/>
        <v>0.25404457632192629</v>
      </c>
      <c r="Q171" s="508">
        <f t="shared" si="73"/>
        <v>0.30968044523122595</v>
      </c>
      <c r="R171" s="508">
        <f t="shared" si="73"/>
        <v>0.31355182024196582</v>
      </c>
      <c r="S171" s="508">
        <f t="shared" si="73"/>
        <v>0.33091344416335383</v>
      </c>
      <c r="T171" s="508">
        <f t="shared" si="73"/>
        <v>0.26608845036496775</v>
      </c>
      <c r="U171" s="508">
        <f t="shared" si="73"/>
        <v>0.27342371630721746</v>
      </c>
      <c r="V171" s="508">
        <f t="shared" si="73"/>
        <v>0.2965774466572666</v>
      </c>
      <c r="W171" s="508">
        <f t="shared" si="73"/>
        <v>0.277404972028856</v>
      </c>
      <c r="X171" s="508">
        <f t="shared" si="73"/>
        <v>0.28380841068835505</v>
      </c>
      <c r="Y171" s="508">
        <f t="shared" si="73"/>
        <v>0.2642875155236471</v>
      </c>
      <c r="Z171" s="508">
        <f t="shared" si="73"/>
        <v>0.26908164859562267</v>
      </c>
      <c r="AA171" s="508">
        <f t="shared" si="73"/>
        <v>0.28602047401354602</v>
      </c>
      <c r="AB171" s="436"/>
      <c r="AC171" s="140"/>
      <c r="AD171" s="508">
        <f>IFERROR(AD170/AD102,"")</f>
        <v>0.26789260049569263</v>
      </c>
      <c r="AE171" s="436"/>
      <c r="AF171" s="521">
        <f>IF(AND($AA171="",AD171=""),"",$AA171-AD171)</f>
        <v>1.8127873517853388E-2</v>
      </c>
      <c r="AG171" s="508">
        <f>IFERROR(AG170/AG102,"")</f>
        <v>0.35661989845626663</v>
      </c>
      <c r="AH171" s="436"/>
      <c r="AI171" s="521">
        <f>IF(AND($AA171="",AG171=""),"",$AA171-AG171)</f>
        <v>-7.0599424442720604E-2</v>
      </c>
    </row>
    <row r="172" spans="1:35" x14ac:dyDescent="0.35">
      <c r="A172" s="11"/>
      <c r="B172" s="11"/>
      <c r="C172" s="11"/>
      <c r="D172" s="11"/>
      <c r="E172" s="11"/>
      <c r="F172" s="11"/>
      <c r="G172" s="11"/>
      <c r="H172" s="11"/>
      <c r="I172" s="59"/>
      <c r="J172" s="59"/>
      <c r="K172" s="11"/>
      <c r="L172" s="11"/>
      <c r="M172" s="11"/>
      <c r="N172" s="11"/>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row>
    <row r="173" spans="1:35" x14ac:dyDescent="0.35">
      <c r="A173" s="11"/>
      <c r="B173" s="11"/>
      <c r="C173" s="208"/>
      <c r="D173" s="11"/>
      <c r="E173" s="11"/>
      <c r="F173" s="11"/>
      <c r="G173" s="11"/>
      <c r="H173" s="185"/>
      <c r="I173" s="122"/>
      <c r="J173" s="122"/>
      <c r="K173" s="11"/>
      <c r="L173" s="11"/>
      <c r="M173" s="11"/>
      <c r="N173" s="104" t="str">
        <f>N102&amp;" - Check"</f>
        <v>Total Food &amp; Beverage Revenue - Check</v>
      </c>
      <c r="O173" s="511">
        <f t="shared" ref="O173:AA173" si="74">O39+O48+O57+O66+O75+O84+O90+O97+O99-O102</f>
        <v>0</v>
      </c>
      <c r="P173" s="511">
        <f t="shared" si="74"/>
        <v>0</v>
      </c>
      <c r="Q173" s="511">
        <f t="shared" si="74"/>
        <v>0</v>
      </c>
      <c r="R173" s="511">
        <f t="shared" si="74"/>
        <v>0</v>
      </c>
      <c r="S173" s="511">
        <f t="shared" si="74"/>
        <v>0</v>
      </c>
      <c r="T173" s="511">
        <f t="shared" si="74"/>
        <v>0</v>
      </c>
      <c r="U173" s="511">
        <f t="shared" si="74"/>
        <v>0</v>
      </c>
      <c r="V173" s="511">
        <f t="shared" si="74"/>
        <v>0</v>
      </c>
      <c r="W173" s="511">
        <f t="shared" si="74"/>
        <v>0</v>
      </c>
      <c r="X173" s="511">
        <f t="shared" si="74"/>
        <v>0</v>
      </c>
      <c r="Y173" s="511">
        <f t="shared" si="74"/>
        <v>0</v>
      </c>
      <c r="Z173" s="511">
        <f t="shared" si="74"/>
        <v>0</v>
      </c>
      <c r="AA173" s="511">
        <f t="shared" si="74"/>
        <v>0</v>
      </c>
      <c r="AB173" s="144"/>
      <c r="AC173" s="140"/>
      <c r="AD173" s="511">
        <f>AD39+AD48+AD57+AD66+AD75+AD97+AD99-AD102</f>
        <v>-2.0954757928848267E-9</v>
      </c>
      <c r="AE173" s="144"/>
      <c r="AF173" s="143"/>
      <c r="AG173" s="511">
        <f>AG39+AG48+AG57+AG66+AG75+AG97+AG99-AG102</f>
        <v>-11140</v>
      </c>
      <c r="AH173" s="144"/>
      <c r="AI173" s="143"/>
    </row>
    <row r="174" spans="1:35" x14ac:dyDescent="0.35">
      <c r="A174" s="11"/>
      <c r="B174" s="11"/>
      <c r="C174" s="208"/>
      <c r="D174" s="11"/>
      <c r="E174" s="11"/>
      <c r="F174" s="11"/>
      <c r="G174" s="11"/>
      <c r="H174" s="185"/>
      <c r="I174" s="122"/>
      <c r="J174" s="122"/>
      <c r="K174" s="11"/>
      <c r="L174" s="11"/>
      <c r="M174" s="11"/>
      <c r="N174" s="104" t="str">
        <f>N104&amp;" - Check"</f>
        <v>Total Customers (excl Mini Bar) - Check</v>
      </c>
      <c r="O174" s="511">
        <f t="shared" ref="O174:AA174" si="75">O40+O49+O58+O67+O76+O85+O91-O104</f>
        <v>0</v>
      </c>
      <c r="P174" s="511">
        <f t="shared" si="75"/>
        <v>0</v>
      </c>
      <c r="Q174" s="511">
        <f t="shared" si="75"/>
        <v>0</v>
      </c>
      <c r="R174" s="511">
        <f t="shared" si="75"/>
        <v>0</v>
      </c>
      <c r="S174" s="511">
        <f t="shared" si="75"/>
        <v>0</v>
      </c>
      <c r="T174" s="511">
        <f t="shared" si="75"/>
        <v>0</v>
      </c>
      <c r="U174" s="511">
        <f t="shared" si="75"/>
        <v>0</v>
      </c>
      <c r="V174" s="511">
        <f t="shared" si="75"/>
        <v>0</v>
      </c>
      <c r="W174" s="511">
        <f t="shared" si="75"/>
        <v>0</v>
      </c>
      <c r="X174" s="511">
        <f t="shared" si="75"/>
        <v>0</v>
      </c>
      <c r="Y174" s="511">
        <f t="shared" si="75"/>
        <v>0</v>
      </c>
      <c r="Z174" s="511">
        <f t="shared" si="75"/>
        <v>0</v>
      </c>
      <c r="AA174" s="511">
        <f t="shared" si="75"/>
        <v>0</v>
      </c>
      <c r="AB174" s="144"/>
      <c r="AC174" s="140"/>
      <c r="AD174" s="511">
        <f>AD40+AD49+AD58+AD67+AD76-AD104</f>
        <v>0</v>
      </c>
      <c r="AE174" s="144"/>
      <c r="AF174" s="143"/>
      <c r="AG174" s="511">
        <f>AG40+AG49+AG58+AG67+AG76-AG104</f>
        <v>-297</v>
      </c>
      <c r="AH174" s="144"/>
      <c r="AI174" s="143"/>
    </row>
    <row r="175" spans="1:35" x14ac:dyDescent="0.35">
      <c r="A175" s="11"/>
      <c r="B175" s="11"/>
      <c r="C175" s="11"/>
      <c r="D175" s="11"/>
      <c r="E175" s="11"/>
      <c r="F175" s="11"/>
      <c r="G175" s="11"/>
      <c r="H175" s="185"/>
      <c r="I175" s="122"/>
      <c r="J175" s="122"/>
      <c r="K175" s="11"/>
      <c r="L175" s="11"/>
      <c r="M175" s="11"/>
      <c r="N175" s="104" t="s">
        <v>768</v>
      </c>
      <c r="O175" s="511">
        <f t="shared" ref="O175:AA175" si="76">(O152+O159)-O170</f>
        <v>0</v>
      </c>
      <c r="P175" s="511">
        <f t="shared" si="76"/>
        <v>0</v>
      </c>
      <c r="Q175" s="511">
        <f t="shared" si="76"/>
        <v>0</v>
      </c>
      <c r="R175" s="511">
        <f t="shared" si="76"/>
        <v>0</v>
      </c>
      <c r="S175" s="511">
        <f t="shared" si="76"/>
        <v>0</v>
      </c>
      <c r="T175" s="511">
        <f t="shared" si="76"/>
        <v>0</v>
      </c>
      <c r="U175" s="511">
        <f t="shared" si="76"/>
        <v>0</v>
      </c>
      <c r="V175" s="511">
        <f t="shared" si="76"/>
        <v>0</v>
      </c>
      <c r="W175" s="511">
        <f t="shared" si="76"/>
        <v>0</v>
      </c>
      <c r="X175" s="511">
        <f t="shared" si="76"/>
        <v>0</v>
      </c>
      <c r="Y175" s="511">
        <f t="shared" si="76"/>
        <v>0</v>
      </c>
      <c r="Z175" s="511">
        <f t="shared" si="76"/>
        <v>0</v>
      </c>
      <c r="AA175" s="511">
        <f t="shared" si="76"/>
        <v>0</v>
      </c>
      <c r="AB175" s="144"/>
      <c r="AC175" s="140"/>
      <c r="AD175" s="511">
        <f>(AD152+AD159)-AD170</f>
        <v>0</v>
      </c>
      <c r="AE175" s="144"/>
      <c r="AF175" s="143"/>
      <c r="AG175" s="511">
        <f>(AG152+AG159)-AG170</f>
        <v>0</v>
      </c>
      <c r="AH175" s="144"/>
      <c r="AI175" s="143"/>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267"/>
      <c r="J185" s="11"/>
      <c r="K185" s="267"/>
      <c r="L185" s="267"/>
      <c r="M185" s="267"/>
      <c r="N185" s="11"/>
      <c r="O185" s="267"/>
      <c r="P185" s="267"/>
      <c r="Q185" s="267"/>
      <c r="R185" s="267"/>
      <c r="S185" s="267"/>
      <c r="T185" s="267"/>
      <c r="U185" s="267"/>
      <c r="V185" s="267"/>
      <c r="W185" s="267"/>
      <c r="X185" s="267"/>
      <c r="Y185" s="267"/>
      <c r="Z185" s="267"/>
      <c r="AA185" s="267"/>
      <c r="AB185" s="11"/>
      <c r="AC185" s="11"/>
      <c r="AD185" s="267"/>
      <c r="AE185" s="11"/>
      <c r="AF185" s="267"/>
      <c r="AG185" s="11"/>
      <c r="AH185" s="267"/>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267"/>
      <c r="J189" s="11"/>
      <c r="K189" s="267"/>
      <c r="L189" s="267"/>
      <c r="M189" s="267"/>
      <c r="N189" s="11"/>
      <c r="O189" s="267"/>
      <c r="P189" s="267"/>
      <c r="Q189" s="267"/>
      <c r="R189" s="267"/>
      <c r="S189" s="267"/>
      <c r="T189" s="267"/>
      <c r="U189" s="267"/>
      <c r="V189" s="267"/>
      <c r="W189" s="267"/>
      <c r="X189" s="267"/>
      <c r="Y189" s="267"/>
      <c r="Z189" s="267"/>
      <c r="AA189" s="267"/>
      <c r="AB189" s="11"/>
      <c r="AC189" s="11"/>
      <c r="AD189" s="267"/>
      <c r="AE189" s="11"/>
      <c r="AF189" s="267"/>
      <c r="AG189" s="11"/>
      <c r="AH189" s="267"/>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11"/>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11"/>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row r="212" spans="1:35" x14ac:dyDescent="0.35">
      <c r="A212" s="11"/>
      <c r="B212" s="11"/>
      <c r="C212" s="11"/>
      <c r="D212" s="11"/>
      <c r="E212" s="11"/>
      <c r="F212" s="11"/>
      <c r="G212" s="11"/>
      <c r="H212" s="11"/>
      <c r="I212" s="59"/>
      <c r="J212" s="59"/>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row>
    <row r="213" spans="1:35" x14ac:dyDescent="0.35">
      <c r="A213" s="11"/>
      <c r="B213" s="11"/>
      <c r="C213" s="11"/>
      <c r="D213" s="11"/>
      <c r="E213" s="11"/>
      <c r="F213" s="11"/>
      <c r="G213" s="11"/>
      <c r="H213" s="11"/>
      <c r="I213" s="59"/>
      <c r="J213" s="59"/>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row>
    <row r="214" spans="1:35" x14ac:dyDescent="0.35">
      <c r="A214" s="11"/>
      <c r="B214" s="11"/>
      <c r="C214" s="11"/>
      <c r="D214" s="11"/>
      <c r="E214" s="11"/>
      <c r="F214" s="11"/>
      <c r="G214" s="11"/>
      <c r="H214" s="11"/>
      <c r="I214" s="59"/>
      <c r="J214" s="59"/>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row>
    <row r="215" spans="1:35" x14ac:dyDescent="0.35">
      <c r="A215" s="11"/>
      <c r="B215" s="11"/>
      <c r="C215" s="11"/>
      <c r="D215" s="11"/>
      <c r="E215" s="11"/>
      <c r="F215" s="11"/>
      <c r="G215" s="11"/>
      <c r="H215" s="11"/>
      <c r="I215" s="59"/>
      <c r="J215" s="59"/>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row>
    <row r="216" spans="1:35" x14ac:dyDescent="0.35">
      <c r="A216" s="11"/>
      <c r="B216" s="11"/>
      <c r="C216" s="11"/>
      <c r="D216" s="11"/>
      <c r="E216" s="11"/>
      <c r="F216" s="11"/>
      <c r="G216" s="11"/>
      <c r="H216" s="11"/>
      <c r="I216" s="59"/>
      <c r="J216" s="59"/>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row>
    <row r="217" spans="1:35" x14ac:dyDescent="0.35">
      <c r="A217" s="11"/>
      <c r="B217" s="11"/>
      <c r="C217" s="11"/>
      <c r="D217" s="11"/>
      <c r="E217" s="11"/>
      <c r="F217" s="11"/>
      <c r="G217" s="11"/>
      <c r="H217" s="11"/>
      <c r="I217" s="59"/>
      <c r="J217" s="59"/>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row>
    <row r="218" spans="1:35" x14ac:dyDescent="0.35">
      <c r="A218" s="11"/>
      <c r="B218" s="11"/>
      <c r="C218" s="11"/>
      <c r="D218" s="11"/>
      <c r="E218" s="11"/>
      <c r="F218" s="11"/>
      <c r="G218" s="11"/>
      <c r="H218" s="11"/>
      <c r="I218" s="59"/>
      <c r="J218" s="59"/>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row>
    <row r="219" spans="1:35" x14ac:dyDescent="0.35">
      <c r="A219" s="11"/>
      <c r="B219" s="11"/>
      <c r="C219" s="11"/>
      <c r="D219" s="11"/>
      <c r="E219" s="11"/>
      <c r="F219" s="11"/>
      <c r="G219" s="11"/>
      <c r="H219" s="11"/>
      <c r="I219" s="59"/>
      <c r="J219" s="59"/>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row>
    <row r="220" spans="1:35" x14ac:dyDescent="0.35">
      <c r="A220" s="11"/>
      <c r="B220" s="11"/>
      <c r="C220" s="11"/>
      <c r="D220" s="11"/>
      <c r="E220" s="11"/>
      <c r="F220" s="11"/>
      <c r="G220" s="11"/>
      <c r="H220" s="11"/>
      <c r="I220" s="59"/>
      <c r="J220" s="59"/>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row>
    <row r="221" spans="1:35" x14ac:dyDescent="0.35">
      <c r="A221" s="11"/>
      <c r="B221" s="11"/>
      <c r="C221" s="11"/>
      <c r="D221" s="11"/>
      <c r="E221" s="11"/>
      <c r="F221" s="11"/>
      <c r="G221" s="11"/>
      <c r="H221" s="11"/>
      <c r="I221" s="59"/>
      <c r="J221" s="59"/>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row>
    <row r="222" spans="1:35" x14ac:dyDescent="0.35">
      <c r="A222" s="11"/>
      <c r="B222" s="11"/>
      <c r="C222" s="11"/>
      <c r="D222" s="11"/>
      <c r="E222" s="11"/>
      <c r="F222" s="11"/>
      <c r="G222" s="11"/>
      <c r="H222" s="11"/>
      <c r="I222" s="59"/>
      <c r="J222" s="59"/>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row>
    <row r="223" spans="1:35" x14ac:dyDescent="0.35">
      <c r="A223" s="11"/>
      <c r="B223" s="11"/>
      <c r="C223" s="11"/>
      <c r="D223" s="11"/>
      <c r="E223" s="11"/>
      <c r="F223" s="11"/>
      <c r="G223" s="11"/>
      <c r="H223" s="11"/>
      <c r="I223" s="59"/>
      <c r="J223" s="59"/>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row>
    <row r="224" spans="1:35" x14ac:dyDescent="0.35">
      <c r="A224" s="11"/>
      <c r="B224" s="11"/>
      <c r="C224" s="11"/>
      <c r="D224" s="11"/>
      <c r="E224" s="11"/>
      <c r="F224" s="11"/>
      <c r="G224" s="11"/>
      <c r="H224" s="11"/>
      <c r="I224" s="59"/>
      <c r="J224" s="59"/>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row>
    <row r="225" spans="1:35" x14ac:dyDescent="0.35">
      <c r="A225" s="11"/>
      <c r="B225" s="11"/>
      <c r="C225" s="11"/>
      <c r="D225" s="11"/>
      <c r="E225" s="11"/>
      <c r="F225" s="11"/>
      <c r="G225" s="11"/>
      <c r="H225" s="11"/>
      <c r="I225" s="59"/>
      <c r="J225" s="59"/>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row>
    <row r="226" spans="1:35" x14ac:dyDescent="0.35">
      <c r="A226" s="11"/>
      <c r="B226" s="11"/>
      <c r="C226" s="11"/>
      <c r="D226" s="11"/>
      <c r="E226" s="267"/>
      <c r="F226" s="11"/>
      <c r="G226" s="11"/>
      <c r="H226" s="11"/>
      <c r="I226" s="59"/>
      <c r="J226" s="59"/>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row>
    <row r="227" spans="1:35" x14ac:dyDescent="0.35">
      <c r="A227" s="11"/>
      <c r="B227" s="11"/>
      <c r="C227" s="11"/>
      <c r="D227" s="11"/>
      <c r="E227" s="11"/>
      <c r="F227" s="11"/>
      <c r="G227" s="11"/>
      <c r="H227" s="11"/>
      <c r="I227" s="59"/>
      <c r="J227" s="59"/>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row>
    <row r="228" spans="1:35" x14ac:dyDescent="0.35">
      <c r="A228" s="11"/>
      <c r="B228" s="11"/>
      <c r="C228" s="11"/>
      <c r="D228" s="11"/>
      <c r="E228" s="11"/>
      <c r="F228" s="11"/>
      <c r="G228" s="11"/>
      <c r="H228" s="11"/>
      <c r="I228" s="59"/>
      <c r="J228" s="59"/>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row>
    <row r="229" spans="1:35" x14ac:dyDescent="0.35">
      <c r="A229" s="11"/>
      <c r="B229" s="11"/>
      <c r="C229" s="11"/>
      <c r="D229" s="11"/>
      <c r="E229" s="11"/>
      <c r="F229" s="11"/>
      <c r="G229" s="11"/>
      <c r="H229" s="11"/>
      <c r="I229" s="59"/>
      <c r="J229" s="59"/>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row>
    <row r="230" spans="1:35" x14ac:dyDescent="0.35">
      <c r="A230" s="11"/>
      <c r="B230" s="11"/>
      <c r="C230" s="11"/>
      <c r="D230" s="11"/>
      <c r="E230" s="267"/>
      <c r="F230" s="11"/>
      <c r="G230" s="11"/>
      <c r="H230" s="11"/>
      <c r="I230" s="59"/>
      <c r="J230" s="59"/>
      <c r="K230" s="11"/>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row>
  </sheetData>
  <sheetProtection algorithmName="SHA-512" hashValue="RmCdPirpAA3wcvsXtpUvtxfyzsejc0UzyMe0ZnNqwjhgBmU6hp5QbXk/9mBrQQiGW1OapIlqLnpyBqP8ijmd3g==" saltValue="y2OWz5cDY2Y17dulnrKFvA==" spinCount="100000" sheet="1" scenarios="1"/>
  <mergeCells count="2">
    <mergeCell ref="AD31:AE31"/>
    <mergeCell ref="AG31:AH31"/>
  </mergeCells>
  <conditionalFormatting sqref="AD42 AF42:AG42 O42:AA42">
    <cfRule type="expression" dxfId="176" priority="19">
      <formula>ROUND(O41,2)&lt;&gt;ROUND(O42,2)</formula>
    </cfRule>
  </conditionalFormatting>
  <conditionalFormatting sqref="N42">
    <cfRule type="expression" dxfId="175" priority="17">
      <formula>$G42&lt;&gt;0</formula>
    </cfRule>
  </conditionalFormatting>
  <conditionalFormatting sqref="O51:AA51 AD51 AF51:AG51">
    <cfRule type="expression" dxfId="174" priority="24">
      <formula>ROUND(O50,2)&lt;&gt;ROUND(O51,2)</formula>
    </cfRule>
  </conditionalFormatting>
  <conditionalFormatting sqref="N51">
    <cfRule type="expression" dxfId="173" priority="21">
      <formula>$G51&lt;&gt;0</formula>
    </cfRule>
  </conditionalFormatting>
  <conditionalFormatting sqref="O60:AA60 AD60 AF60:AG60">
    <cfRule type="expression" dxfId="172" priority="26">
      <formula>ROUND(O59,2)&lt;&gt;ROUND(O60,2)</formula>
    </cfRule>
  </conditionalFormatting>
  <conditionalFormatting sqref="N60">
    <cfRule type="expression" dxfId="171" priority="25">
      <formula>$G60&lt;&gt;0</formula>
    </cfRule>
  </conditionalFormatting>
  <conditionalFormatting sqref="O69:AA69 AD69 AF69:AG69">
    <cfRule type="expression" dxfId="170" priority="29">
      <formula>ROUND(O68,2)&lt;&gt;ROUND(O69,2)</formula>
    </cfRule>
  </conditionalFormatting>
  <conditionalFormatting sqref="N69">
    <cfRule type="expression" dxfId="169" priority="28">
      <formula>$G69&lt;&gt;0</formula>
    </cfRule>
  </conditionalFormatting>
  <conditionalFormatting sqref="N93">
    <cfRule type="expression" dxfId="168" priority="30">
      <formula>$G93&lt;&gt;0</formula>
    </cfRule>
  </conditionalFormatting>
  <conditionalFormatting sqref="O93:AA93 AD93 AF93:AG93">
    <cfRule type="expression" dxfId="167" priority="31">
      <formula>ROUND(O77,2)&lt;&gt;ROUND(O93,2)</formula>
    </cfRule>
  </conditionalFormatting>
  <conditionalFormatting sqref="AI42">
    <cfRule type="expression" dxfId="166" priority="15">
      <formula>ROUND(AI41,2)&lt;&gt;ROUND(AI42,2)</formula>
    </cfRule>
  </conditionalFormatting>
  <conditionalFormatting sqref="AI51">
    <cfRule type="expression" dxfId="165" priority="14">
      <formula>ROUND(AI50,2)&lt;&gt;ROUND(AI51,2)</formula>
    </cfRule>
  </conditionalFormatting>
  <conditionalFormatting sqref="AI60">
    <cfRule type="expression" dxfId="164" priority="13">
      <formula>ROUND(AI59,2)&lt;&gt;ROUND(AI60,2)</formula>
    </cfRule>
  </conditionalFormatting>
  <conditionalFormatting sqref="AI69">
    <cfRule type="expression" dxfId="163" priority="12">
      <formula>ROUND(AI68,2)&lt;&gt;ROUND(AI69,2)</formula>
    </cfRule>
  </conditionalFormatting>
  <conditionalFormatting sqref="AI93">
    <cfRule type="expression" dxfId="162" priority="11">
      <formula>ROUND(AI77,2)&lt;&gt;ROUND(AI93,2)</formula>
    </cfRule>
  </conditionalFormatting>
  <conditionalFormatting sqref="O78:AA78 AD78 AF78:AG78">
    <cfRule type="expression" dxfId="161" priority="6">
      <formula>ROUND(O77,2)&lt;&gt;ROUND(O78,2)</formula>
    </cfRule>
  </conditionalFormatting>
  <conditionalFormatting sqref="AI87">
    <cfRule type="expression" dxfId="160" priority="1">
      <formula>ROUND(AI86,2)&lt;&gt;ROUND(AI87,2)</formula>
    </cfRule>
  </conditionalFormatting>
  <conditionalFormatting sqref="N78">
    <cfRule type="expression" dxfId="159" priority="5">
      <formula>$G78&lt;&gt;0</formula>
    </cfRule>
  </conditionalFormatting>
  <conditionalFormatting sqref="AI78">
    <cfRule type="expression" dxfId="158" priority="4">
      <formula>ROUND(AI77,2)&lt;&gt;ROUND(AI78,2)</formula>
    </cfRule>
  </conditionalFormatting>
  <conditionalFormatting sqref="O87:AA87 AD87 AF87:AG87">
    <cfRule type="expression" dxfId="157" priority="3">
      <formula>ROUND(O86,2)&lt;&gt;ROUND(O87,2)</formula>
    </cfRule>
  </conditionalFormatting>
  <conditionalFormatting sqref="N87">
    <cfRule type="expression" dxfId="156" priority="2">
      <formula>$G87&lt;&gt;0</formula>
    </cfRule>
  </conditionalFormatting>
  <dataValidations disablePrompts="1" count="2">
    <dataValidation type="list" allowBlank="1" sqref="B28" xr:uid="{00000000-0002-0000-0600-000000000000}">
      <formula1>"ACCOUNT,BUSINESSUNIT,CATEGORY,DATASRC,DEPARTMENT,INTCO,MEASURES,RPTCURRENCY,TIME"</formula1>
    </dataValidation>
    <dataValidation type="list" allowBlank="1" sqref="B29" xr:uid="{00000000-0002-0000-0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555"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3555" r:id="rId7" name="FPMExcelClientSheetOptionstb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6" tint="0.39997558519241921"/>
    <pageSetUpPr fitToPage="1"/>
  </sheetPr>
  <dimension ref="A1:AO196"/>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IF(_epmOfflineCondition_,"Seawell Restaurant",IF(OR(_xll.EVCGT($B$1,$B$6,$H$1,$H$2,$H$3,$H$4,$H$5,$H$6,$H$7,$H$8)="#RFR",_xll.EVCGT($B$1,$B$6,$H$1,$H$2,$H$3,$H$4,$H$5,$H$6,$H$7,$H$8)="#NODATA"),"",_xll.EVCGT($B$1,$B$6,$H$1,$H$2,$H$3,$H$4,$H$5,$H$6,$H$7,$H$8)))</f>
        <v>Seawell Restaurant</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725</v>
      </c>
      <c r="C6" s="11" t="str">
        <f>IF(_epmOfflineCondition_,"Venue 1",_xll.EVDES(B6,$B$1))</f>
        <v>Venue 1</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IF(_epmOfflineCondition_,"'Venue1'!$B$2:$B$10",_xll.EVRNG($B$2:$B$10))</f>
        <v>'Venue1'!$B$2:$B$10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IF(_epmOfflineCondition_,"'Venue1'!$O$16:$AN$18",_xll.EVRNG($O$16:$AN$18))</f>
        <v>'Venue1'!$O$16:$AN$18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IF(_epmOfflineCondition_,"'Venue1'!$H$35:$H$58",_xll.EVRNG(H35:H58))</f>
        <v>'Venue1'!$H$35:$H$58</v>
      </c>
      <c r="C19" s="11"/>
      <c r="D19" s="11"/>
      <c r="E19" s="11"/>
      <c r="F19" s="11"/>
      <c r="G19" s="67" t="str">
        <f>$B$6</f>
        <v>D2140</v>
      </c>
      <c r="H19" s="67">
        <v>400000</v>
      </c>
      <c r="I19" s="68"/>
      <c r="J19" s="68"/>
      <c r="K19" s="67"/>
      <c r="L19" s="67"/>
      <c r="M19" s="67"/>
      <c r="N19" s="67" t="str">
        <f>IF(_epmOfflineCondition_,"Total Revenue",_xll.EVDES(H19))</f>
        <v>Total Revenue</v>
      </c>
      <c r="O19" s="69">
        <f>IF(_epmOfflineCondition_,34805.1,_xll.EVGTS($B$1,1,$B$3,$B$5,$B$7,$B$9,O$16,O$17,O$18,$G$19,$H$19))</f>
        <v>34805.1</v>
      </c>
      <c r="P19" s="69">
        <f>IF(_epmOfflineCondition_,54918.52,_xll.EVGTS($B$1,1,$B$3,$B$5,$B$7,$B$9,P$16,P$17,P$18,$G$19,$H$19))</f>
        <v>54918.52</v>
      </c>
      <c r="Q19" s="69">
        <f>IF(_epmOfflineCondition_,72114.77,_xll.EVGTS($B$1,1,$B$3,$B$5,$B$7,$B$9,Q$16,Q$17,Q$18,$G$19,$H$19))</f>
        <v>72114.77</v>
      </c>
      <c r="R19" s="69">
        <f>IF(_epmOfflineCondition_,64345.93,_xll.EVGTS($B$1,1,$B$3,$B$5,$B$7,$B$9,R$16,R$17,R$18,$G$19,$H$19))</f>
        <v>64345.93</v>
      </c>
      <c r="S19" s="69">
        <f>IF(_epmOfflineCondition_,65152.34,_xll.EVGTS($B$1,1,$B$3,$B$5,$B$7,$B$9,S$16,S$17,S$18,$G$19,$H$19))</f>
        <v>65152.34</v>
      </c>
      <c r="T19" s="69">
        <f>IF(_epmOfflineCondition_,60016.6,_xll.EVGTS($B$1,1,$B$3,$B$5,$B$7,$B$9,T$16,T$17,T$18,$G$19,$H$19))</f>
        <v>60016.6</v>
      </c>
      <c r="U19" s="69">
        <f>IF(_epmOfflineCondition_,70277.67,_xll.EVGTS($B$1,1,$B$3,$B$5,$B$7,$B$9,U$16,U$17,U$18,$G$19,$H$19))</f>
        <v>70277.67</v>
      </c>
      <c r="V19" s="69">
        <f>IF(_epmOfflineCondition_,48766.4,_xll.EVGTS($B$1,1,$B$3,$B$5,$B$7,$B$9,V$16,V$17,V$18,$G$19,$H$19))</f>
        <v>48766.400000000001</v>
      </c>
      <c r="W19" s="69">
        <f>IF(_epmOfflineCondition_,40334.79,_xll.EVGTS($B$1,1,$B$3,$B$5,$B$7,$B$9,W$16,W$17,W$18,$G$19,$H$19))</f>
        <v>40334.79</v>
      </c>
      <c r="X19" s="69">
        <f>IF(_epmOfflineCondition_,55953.74,_xll.EVGTS($B$1,1,$B$3,$B$5,$B$7,$B$9,X$16,X$17,X$18,$G$19,$H$19))</f>
        <v>55953.74</v>
      </c>
      <c r="Y19" s="69">
        <f>IF(_epmOfflineCondition_,69109.9,_xll.EVGTS($B$1,1,$B$3,$B$5,$B$7,$B$9,Y$16,Y$17,Y$18,$G$19,$H$19))</f>
        <v>69109.899999999994</v>
      </c>
      <c r="Z19" s="69">
        <f>IF(_epmOfflineCondition_,111648.36,_xll.EVGTS($B$1,1,$B$3,$B$5,$B$7,$B$9,Z$16,Z$17,Z$18,$G$19,$H$19))</f>
        <v>111648.36</v>
      </c>
      <c r="AA19" s="69">
        <f>SUM(O19:Z19)</f>
        <v>747444.12</v>
      </c>
      <c r="AB19" s="67"/>
      <c r="AC19" s="67"/>
      <c r="AD19" s="69">
        <f>IF(_epmOfflineCondition_,807977.5725,_xll.EVGTS($B$1,1,$B$3,$B$5,$B$7,$B$9,AD$16,AD$17,AD$18,$G$19,$H$19))</f>
        <v>807977.57250000001</v>
      </c>
      <c r="AE19" s="67"/>
      <c r="AF19" s="67"/>
      <c r="AG19" s="69">
        <f>IF(_epmOfflineCondition_,257233.8,_xll.EVGTS($B$1,1,$B$3,$B$5,$B$7,$B$9,AG$16,AG$17,AG$18,$G$19,$H$19))</f>
        <v>257233.8</v>
      </c>
      <c r="AH19" s="67"/>
      <c r="AI19" s="67"/>
      <c r="AJ19" s="11"/>
      <c r="AK19" s="11"/>
      <c r="AL19" s="11"/>
      <c r="AM19" s="11"/>
      <c r="AN19" s="11"/>
      <c r="AO19" s="11"/>
    </row>
    <row r="20" spans="1:41" hidden="1" outlineLevel="1" x14ac:dyDescent="0.35">
      <c r="A20" s="65" t="s">
        <v>5</v>
      </c>
      <c r="B20" s="66"/>
      <c r="C20" s="11"/>
      <c r="D20" s="11"/>
      <c r="E20" s="11"/>
      <c r="F20" s="11"/>
      <c r="G20" s="67" t="str">
        <f>$B$6</f>
        <v>D2140</v>
      </c>
      <c r="H20" s="67">
        <v>946000</v>
      </c>
      <c r="I20" s="68"/>
      <c r="J20" s="68"/>
      <c r="K20" s="67"/>
      <c r="L20" s="68"/>
      <c r="M20" s="68"/>
      <c r="N20" s="67" t="str">
        <f>IF(_epmOfflineCondition_,"Total Customers",_xll.EVDES(H20))</f>
        <v>Total Customers</v>
      </c>
      <c r="O20" s="69">
        <f>IF(_epmOfflineCondition_,854,_xll.EVGTS($B$1,1,$B$3,$B$5,$B$7,$B$9,O$16,O$17,O$18,$G$20,$H$20))</f>
        <v>854</v>
      </c>
      <c r="P20" s="69">
        <f>IF(_epmOfflineCondition_,1206,_xll.EVGTS($B$1,1,$B$3,$B$5,$B$7,$B$9,P$16,P$17,P$18,$G$20,$H$20))</f>
        <v>1206</v>
      </c>
      <c r="Q20" s="69">
        <f>IF(_epmOfflineCondition_,1641,_xll.EVGTS($B$1,1,$B$3,$B$5,$B$7,$B$9,Q$16,Q$17,Q$18,$G$20,$H$20))</f>
        <v>1641</v>
      </c>
      <c r="R20" s="69">
        <f>IF(_epmOfflineCondition_,1474,_xll.EVGTS($B$1,1,$B$3,$B$5,$B$7,$B$9,R$16,R$17,R$18,$G$20,$H$20))</f>
        <v>1474</v>
      </c>
      <c r="S20" s="69">
        <f>IF(_epmOfflineCondition_,1693,_xll.EVGTS($B$1,1,$B$3,$B$5,$B$7,$B$9,S$16,S$17,S$18,$G$20,$H$20))</f>
        <v>1693</v>
      </c>
      <c r="T20" s="69">
        <f>IF(_epmOfflineCondition_,1596,_xll.EVGTS($B$1,1,$B$3,$B$5,$B$7,$B$9,T$16,T$17,T$18,$G$20,$H$20))</f>
        <v>1596</v>
      </c>
      <c r="U20" s="69">
        <f>IF(_epmOfflineCondition_,1643,_xll.EVGTS($B$1,1,$B$3,$B$5,$B$7,$B$9,U$16,U$17,U$18,$G$20,$H$20))</f>
        <v>1643</v>
      </c>
      <c r="V20" s="69">
        <f>IF(_epmOfflineCondition_,1045,_xll.EVGTS($B$1,1,$B$3,$B$5,$B$7,$B$9,V$16,V$17,V$18,$G$20,$H$20))</f>
        <v>1045</v>
      </c>
      <c r="W20" s="69">
        <f>IF(_epmOfflineCondition_,965,_xll.EVGTS($B$1,1,$B$3,$B$5,$B$7,$B$9,W$16,W$17,W$18,$G$20,$H$20))</f>
        <v>965</v>
      </c>
      <c r="X20" s="69">
        <f>IF(_epmOfflineCondition_,1318,_xll.EVGTS($B$1,1,$B$3,$B$5,$B$7,$B$9,X$16,X$17,X$18,$G$20,$H$20))</f>
        <v>1318</v>
      </c>
      <c r="Y20" s="69">
        <f>IF(_epmOfflineCondition_,1773,_xll.EVGTS($B$1,1,$B$3,$B$5,$B$7,$B$9,Y$16,Y$17,Y$18,$G$20,$H$20))</f>
        <v>1773</v>
      </c>
      <c r="Z20" s="69">
        <f>IF(_epmOfflineCondition_,2724,_xll.EVGTS($B$1,1,$B$3,$B$5,$B$7,$B$9,Z$16,Z$17,Z$18,$G$20,$H$20))</f>
        <v>2724</v>
      </c>
      <c r="AA20" s="69">
        <f>SUM(O20:Z20)</f>
        <v>17932</v>
      </c>
      <c r="AB20" s="67"/>
      <c r="AC20" s="67"/>
      <c r="AD20" s="69">
        <f>IF(_epmOfflineCondition_,20954,_xll.EVGTS($B$1,1,$B$3,$B$5,$B$7,$B$9,AD$16,AD$17,AD$18,$G$20,$H$20))</f>
        <v>20954</v>
      </c>
      <c r="AE20" s="67"/>
      <c r="AF20" s="67"/>
      <c r="AG20" s="69">
        <f>IF(_epmOfflineCondition_,7036,_xll.EVGTS($B$1,1,$B$3,$B$5,$B$7,$B$9,AG$16,AG$17,AG$18,$G$20,$H$20))</f>
        <v>7036</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IF(_epmOfflineCondition_,"'Venue1'!$A$36:$F$44",_xll.EVRNG(A36:F44))</f>
        <v>'Venue1'!$A$36:$F$44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IF(_epmOfflineCondition_,"'Venue1'!$A$125:$B$146",_xll.EVRNG($A$125:$B$146))</f>
        <v>'Venue1'!$A$125:$B$146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IF(_epmOfflineCondition_,"Seawell Restaurant",IF($N$1="",IF(_xll.EVDES(B6,$B$1)="#NODATA","",_xll.EVDES(B6,$B$1)&amp;" Department"),$N$1))</f>
        <v>Seawell Restaurant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v>7852.93</v>
      </c>
      <c r="P35" s="250">
        <v>10689</v>
      </c>
      <c r="Q35" s="250">
        <v>14779.22</v>
      </c>
      <c r="R35" s="250">
        <v>14221.48</v>
      </c>
      <c r="S35" s="250">
        <v>16273.84</v>
      </c>
      <c r="T35" s="250">
        <v>16195.25</v>
      </c>
      <c r="U35" s="250">
        <v>17208.509999999998</v>
      </c>
      <c r="V35" s="250">
        <v>10576</v>
      </c>
      <c r="W35" s="250">
        <v>11693.7</v>
      </c>
      <c r="X35" s="250">
        <v>16515.91</v>
      </c>
      <c r="Y35" s="250">
        <v>16831.5</v>
      </c>
      <c r="Z35" s="250">
        <v>45179.83</v>
      </c>
      <c r="AA35" s="250">
        <f t="shared" ref="AA35:AA58" si="1">IF($I35="B1","",SUM(O35:Z35))</f>
        <v>198017.16999999998</v>
      </c>
      <c r="AB35" s="436">
        <f t="shared" ref="AB35:AB58" si="2">IF(AA35=0,"",IFERROR(AA35/AA$19,""))</f>
        <v>0.26492571779145174</v>
      </c>
      <c r="AC35" s="528"/>
      <c r="AD35" s="250">
        <v>192203.55</v>
      </c>
      <c r="AE35" s="436">
        <f t="shared" ref="AE35:AE58" si="3">IF(AD35=0,"",IFERROR(AD35/AD$19,""))</f>
        <v>0.23788228354568591</v>
      </c>
      <c r="AF35" s="438">
        <f t="shared" ref="AF35:AF58" si="4">IF(AND($AA35="",AD35=""),"",$AA35-AD35)</f>
        <v>5813.6199999999953</v>
      </c>
      <c r="AG35" s="250">
        <v>47394.5</v>
      </c>
      <c r="AH35" s="436">
        <f t="shared" ref="AH35:AH58" si="5">IF(AG35=0,"",IFERROR(AG35/AG$19,""))</f>
        <v>0.18424678249903395</v>
      </c>
      <c r="AI35" s="439">
        <f t="shared" ref="AI35:AI58" si="6">IF(AND($AA35="",AG35=""),"",$AA35-AG35)</f>
        <v>150622.66999999998</v>
      </c>
      <c r="AJ35" s="440">
        <f t="shared" ref="AJ35:AJ58" si="7">IFERROR(AA35/AA$20,0)</f>
        <v>11.042670644657594</v>
      </c>
      <c r="AK35" s="441">
        <f t="shared" ref="AK35:AK58" si="8">IFERROR(AD35/AD$20,0)</f>
        <v>9.1726424549012116</v>
      </c>
      <c r="AL35" s="442">
        <f t="shared" ref="AL35:AL58" si="9">IFERROR(AG35/AG$20,0)</f>
        <v>6.7360005685048323</v>
      </c>
      <c r="AM35" s="443" t="str">
        <f t="shared" ref="AM35:AM58" si="10">+IFERROR(ROUND(($AB35-AE35)*100,2)&amp;" pts.",0)</f>
        <v>2.7 pts.</v>
      </c>
      <c r="AN35" s="444" t="str">
        <f t="shared" ref="AN35:AN58" si="11">+IFERROR(ROUND(($AB35-AH35)*100,2)&amp;" pts.",0)</f>
        <v>8.07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v>482</v>
      </c>
      <c r="P36" s="250"/>
      <c r="Q36" s="250">
        <v>157</v>
      </c>
      <c r="R36" s="250">
        <v>1925</v>
      </c>
      <c r="S36" s="250">
        <v>5112.2700000000004</v>
      </c>
      <c r="T36" s="250">
        <v>4971</v>
      </c>
      <c r="U36" s="250">
        <v>5480</v>
      </c>
      <c r="V36" s="250">
        <v>6789.4</v>
      </c>
      <c r="W36" s="250">
        <v>5304.5</v>
      </c>
      <c r="X36" s="250">
        <v>5542.41</v>
      </c>
      <c r="Y36" s="250">
        <v>12681</v>
      </c>
      <c r="Z36" s="250"/>
      <c r="AA36" s="250">
        <f t="shared" si="1"/>
        <v>48444.58</v>
      </c>
      <c r="AB36" s="436">
        <f t="shared" si="2"/>
        <v>6.4813647875108044E-2</v>
      </c>
      <c r="AC36" s="528"/>
      <c r="AD36" s="250">
        <v>48103.964999999997</v>
      </c>
      <c r="AE36" s="436">
        <f t="shared" si="3"/>
        <v>5.9536262685063568E-2</v>
      </c>
      <c r="AF36" s="438">
        <f t="shared" si="4"/>
        <v>340.61500000000524</v>
      </c>
      <c r="AG36" s="250">
        <v>19457</v>
      </c>
      <c r="AH36" s="436">
        <f t="shared" si="5"/>
        <v>7.5639359990794366E-2</v>
      </c>
      <c r="AI36" s="439">
        <f t="shared" si="6"/>
        <v>28987.58</v>
      </c>
      <c r="AJ36" s="440">
        <f t="shared" si="7"/>
        <v>2.7015714923042609</v>
      </c>
      <c r="AK36" s="441">
        <f t="shared" si="8"/>
        <v>2.2956936623079125</v>
      </c>
      <c r="AL36" s="442">
        <f t="shared" si="9"/>
        <v>2.7653496304718592</v>
      </c>
      <c r="AM36" s="443" t="str">
        <f t="shared" si="10"/>
        <v>0.53 pts.</v>
      </c>
      <c r="AN36" s="444" t="str">
        <f t="shared" si="11"/>
        <v>-1.08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v>14012.25</v>
      </c>
      <c r="P37" s="250">
        <v>23984.19</v>
      </c>
      <c r="Q37" s="250">
        <v>31969.31</v>
      </c>
      <c r="R37" s="250">
        <v>25963.94</v>
      </c>
      <c r="S37" s="250">
        <v>21664.3</v>
      </c>
      <c r="T37" s="250">
        <v>20685.05</v>
      </c>
      <c r="U37" s="250">
        <v>23805.08</v>
      </c>
      <c r="V37" s="250">
        <v>15218.6</v>
      </c>
      <c r="W37" s="250">
        <v>10429.92</v>
      </c>
      <c r="X37" s="250">
        <v>15216.21</v>
      </c>
      <c r="Y37" s="250">
        <v>17763.310000000001</v>
      </c>
      <c r="Z37" s="250">
        <v>30990.65</v>
      </c>
      <c r="AA37" s="250">
        <f t="shared" si="1"/>
        <v>251702.81</v>
      </c>
      <c r="AB37" s="436">
        <f t="shared" si="2"/>
        <v>0.33675134135779944</v>
      </c>
      <c r="AC37" s="528"/>
      <c r="AD37" s="250">
        <v>191491.95</v>
      </c>
      <c r="AE37" s="436">
        <f t="shared" si="3"/>
        <v>0.23700156603047295</v>
      </c>
      <c r="AF37" s="438">
        <f t="shared" si="4"/>
        <v>60210.859999999986</v>
      </c>
      <c r="AG37" s="250">
        <v>90384.46</v>
      </c>
      <c r="AH37" s="436">
        <f t="shared" si="5"/>
        <v>0.35137085406350183</v>
      </c>
      <c r="AI37" s="439">
        <f t="shared" si="6"/>
        <v>161318.34999999998</v>
      </c>
      <c r="AJ37" s="440">
        <f t="shared" si="7"/>
        <v>14.036516283738568</v>
      </c>
      <c r="AK37" s="441">
        <f t="shared" si="8"/>
        <v>9.1386823518182698</v>
      </c>
      <c r="AL37" s="442">
        <f t="shared" si="9"/>
        <v>12.846000568504833</v>
      </c>
      <c r="AM37" s="443" t="str">
        <f t="shared" si="10"/>
        <v>9.97 pts.</v>
      </c>
      <c r="AN37" s="444" t="str">
        <f t="shared" si="11"/>
        <v>-1.46 pts.</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v>77</v>
      </c>
      <c r="R38" s="250"/>
      <c r="S38" s="250"/>
      <c r="T38" s="250"/>
      <c r="U38" s="250"/>
      <c r="V38" s="250"/>
      <c r="W38" s="250"/>
      <c r="X38" s="250"/>
      <c r="Y38" s="250"/>
      <c r="Z38" s="250"/>
      <c r="AA38" s="250">
        <f t="shared" si="1"/>
        <v>77</v>
      </c>
      <c r="AB38" s="436">
        <f t="shared" si="2"/>
        <v>1.0301773462342576E-4</v>
      </c>
      <c r="AC38" s="528"/>
      <c r="AD38" s="250">
        <v>9062.7749999999996</v>
      </c>
      <c r="AE38" s="436">
        <f t="shared" si="3"/>
        <v>1.121661703054264E-2</v>
      </c>
      <c r="AF38" s="438">
        <f t="shared" si="4"/>
        <v>-8985.7749999999996</v>
      </c>
      <c r="AG38" s="250">
        <v>4606.87</v>
      </c>
      <c r="AH38" s="436">
        <f t="shared" si="5"/>
        <v>1.7909271643151096E-2</v>
      </c>
      <c r="AI38" s="439">
        <f t="shared" si="6"/>
        <v>-4529.87</v>
      </c>
      <c r="AJ38" s="440">
        <f t="shared" si="7"/>
        <v>4.293999553870176E-3</v>
      </c>
      <c r="AK38" s="441">
        <f t="shared" si="8"/>
        <v>0.43250811300944925</v>
      </c>
      <c r="AL38" s="442">
        <f t="shared" si="9"/>
        <v>0.6547569641841956</v>
      </c>
      <c r="AM38" s="443" t="str">
        <f t="shared" si="10"/>
        <v>-1.11 pts.</v>
      </c>
      <c r="AN38" s="444" t="str">
        <f t="shared" si="11"/>
        <v>-1.78 pts.</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22347.18</v>
      </c>
      <c r="P40" s="225">
        <v>34673.19</v>
      </c>
      <c r="Q40" s="225">
        <v>46982.53</v>
      </c>
      <c r="R40" s="225">
        <v>42110.42</v>
      </c>
      <c r="S40" s="225">
        <v>43050.41</v>
      </c>
      <c r="T40" s="225">
        <v>41851.300000000003</v>
      </c>
      <c r="U40" s="225">
        <v>46493.59</v>
      </c>
      <c r="V40" s="225">
        <v>32584</v>
      </c>
      <c r="W40" s="225">
        <v>27428.12</v>
      </c>
      <c r="X40" s="225">
        <v>37274.53</v>
      </c>
      <c r="Y40" s="225">
        <v>47275.81</v>
      </c>
      <c r="Z40" s="225">
        <v>76170.48</v>
      </c>
      <c r="AA40" s="225">
        <f t="shared" si="1"/>
        <v>498241.56</v>
      </c>
      <c r="AB40" s="226">
        <f t="shared" si="2"/>
        <v>0.6665937247589826</v>
      </c>
      <c r="AC40" s="227"/>
      <c r="AD40" s="225">
        <v>440862.24</v>
      </c>
      <c r="AE40" s="226">
        <f t="shared" si="3"/>
        <v>0.5456367292917651</v>
      </c>
      <c r="AF40" s="228">
        <f t="shared" si="4"/>
        <v>57379.320000000007</v>
      </c>
      <c r="AG40" s="225">
        <v>161842.82999999999</v>
      </c>
      <c r="AH40" s="226">
        <f t="shared" si="5"/>
        <v>0.62916626819648114</v>
      </c>
      <c r="AI40" s="455">
        <f t="shared" si="6"/>
        <v>336398.73</v>
      </c>
      <c r="AJ40" s="229">
        <f t="shared" si="7"/>
        <v>27.785052420254292</v>
      </c>
      <c r="AK40" s="230">
        <f t="shared" si="8"/>
        <v>21.039526582036842</v>
      </c>
      <c r="AL40" s="232">
        <f t="shared" si="9"/>
        <v>23.002107731665717</v>
      </c>
      <c r="AM40" s="427" t="str">
        <f t="shared" si="10"/>
        <v>12.1 pts.</v>
      </c>
      <c r="AN40" s="456" t="str">
        <f t="shared" si="11"/>
        <v>3.74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29"/>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v>858</v>
      </c>
      <c r="P42" s="250">
        <v>1312</v>
      </c>
      <c r="Q42" s="250">
        <v>1871</v>
      </c>
      <c r="R42" s="250">
        <v>1780</v>
      </c>
      <c r="S42" s="250">
        <v>2460.8000000000002</v>
      </c>
      <c r="T42" s="250">
        <v>2005</v>
      </c>
      <c r="U42" s="250">
        <v>2356</v>
      </c>
      <c r="V42" s="250">
        <v>1278.07</v>
      </c>
      <c r="W42" s="250">
        <v>1061</v>
      </c>
      <c r="X42" s="250">
        <v>2706</v>
      </c>
      <c r="Y42" s="250">
        <v>1630</v>
      </c>
      <c r="Z42" s="250">
        <v>5120.3</v>
      </c>
      <c r="AA42" s="250">
        <f t="shared" si="1"/>
        <v>24438.17</v>
      </c>
      <c r="AB42" s="436">
        <f t="shared" si="2"/>
        <v>3.2695648204443699E-2</v>
      </c>
      <c r="AC42" s="528"/>
      <c r="AD42" s="250">
        <v>21355.95</v>
      </c>
      <c r="AE42" s="436">
        <f t="shared" si="3"/>
        <v>2.6431364838409546E-2</v>
      </c>
      <c r="AF42" s="438">
        <f t="shared" si="4"/>
        <v>3082.2199999999975</v>
      </c>
      <c r="AG42" s="250">
        <v>2575</v>
      </c>
      <c r="AH42" s="436">
        <f t="shared" si="5"/>
        <v>1.0010348562280696E-2</v>
      </c>
      <c r="AI42" s="439">
        <f t="shared" si="6"/>
        <v>21863.17</v>
      </c>
      <c r="AJ42" s="440">
        <f t="shared" si="7"/>
        <v>1.3628245594467989</v>
      </c>
      <c r="AK42" s="441">
        <f t="shared" si="8"/>
        <v>1.0191824949890236</v>
      </c>
      <c r="AL42" s="442">
        <f t="shared" si="9"/>
        <v>0.36597498578737919</v>
      </c>
      <c r="AM42" s="443" t="str">
        <f t="shared" si="10"/>
        <v>0.63 pts.</v>
      </c>
      <c r="AN42" s="444" t="str">
        <f t="shared" si="11"/>
        <v>2.27 pts.</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v>20</v>
      </c>
      <c r="P43" s="250"/>
      <c r="Q43" s="250"/>
      <c r="R43" s="250">
        <v>1038</v>
      </c>
      <c r="S43" s="250">
        <v>1875.52</v>
      </c>
      <c r="T43" s="250">
        <v>960</v>
      </c>
      <c r="U43" s="250">
        <v>2768</v>
      </c>
      <c r="V43" s="250">
        <v>2276</v>
      </c>
      <c r="W43" s="250">
        <v>1892</v>
      </c>
      <c r="X43" s="250">
        <v>1436.8</v>
      </c>
      <c r="Y43" s="250">
        <v>2300</v>
      </c>
      <c r="Z43" s="250"/>
      <c r="AA43" s="250">
        <f t="shared" si="1"/>
        <v>14566.32</v>
      </c>
      <c r="AB43" s="436">
        <f t="shared" si="2"/>
        <v>1.9488172574024663E-2</v>
      </c>
      <c r="AC43" s="528"/>
      <c r="AD43" s="250">
        <v>21920.535</v>
      </c>
      <c r="AE43" s="436">
        <f t="shared" si="3"/>
        <v>2.7130128045726169E-2</v>
      </c>
      <c r="AF43" s="438">
        <f t="shared" si="4"/>
        <v>-7354.2150000000001</v>
      </c>
      <c r="AG43" s="250">
        <v>9632.81</v>
      </c>
      <c r="AH43" s="436">
        <f t="shared" si="5"/>
        <v>3.7447683780280822E-2</v>
      </c>
      <c r="AI43" s="439">
        <f t="shared" si="6"/>
        <v>4933.51</v>
      </c>
      <c r="AJ43" s="440">
        <f t="shared" si="7"/>
        <v>0.8123087218380548</v>
      </c>
      <c r="AK43" s="441">
        <f t="shared" si="8"/>
        <v>1.0461265152238237</v>
      </c>
      <c r="AL43" s="442">
        <f t="shared" si="9"/>
        <v>1.3690747583854461</v>
      </c>
      <c r="AM43" s="443" t="str">
        <f t="shared" si="10"/>
        <v>-0.76 pts.</v>
      </c>
      <c r="AN43" s="444" t="str">
        <f t="shared" si="11"/>
        <v>-1.8 pts.</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v>6278.7</v>
      </c>
      <c r="P44" s="250">
        <v>10494</v>
      </c>
      <c r="Q44" s="250">
        <v>12395.12</v>
      </c>
      <c r="R44" s="250">
        <v>9566.7099999999991</v>
      </c>
      <c r="S44" s="250">
        <v>8147.8</v>
      </c>
      <c r="T44" s="250">
        <v>6323.32</v>
      </c>
      <c r="U44" s="250">
        <v>7949</v>
      </c>
      <c r="V44" s="250">
        <v>5189.3999999999996</v>
      </c>
      <c r="W44" s="250">
        <v>4380.08</v>
      </c>
      <c r="X44" s="250">
        <v>5993.29</v>
      </c>
      <c r="Y44" s="250">
        <v>7369.8</v>
      </c>
      <c r="Z44" s="250">
        <v>13153.07</v>
      </c>
      <c r="AA44" s="250">
        <f t="shared" si="1"/>
        <v>97240.290000000008</v>
      </c>
      <c r="AB44" s="436">
        <f t="shared" si="2"/>
        <v>0.13009706999902548</v>
      </c>
      <c r="AC44" s="528"/>
      <c r="AD44" s="250">
        <v>176761.8</v>
      </c>
      <c r="AE44" s="436">
        <f t="shared" si="3"/>
        <v>0.21877067633582117</v>
      </c>
      <c r="AF44" s="438">
        <f t="shared" si="4"/>
        <v>-79521.50999999998</v>
      </c>
      <c r="AG44" s="250">
        <v>37945.39</v>
      </c>
      <c r="AH44" s="436">
        <f t="shared" si="5"/>
        <v>0.14751323504142924</v>
      </c>
      <c r="AI44" s="439">
        <f t="shared" si="6"/>
        <v>59294.900000000009</v>
      </c>
      <c r="AJ44" s="440">
        <f t="shared" si="7"/>
        <v>5.4227241802364494</v>
      </c>
      <c r="AK44" s="441">
        <f t="shared" si="8"/>
        <v>8.4357067862937853</v>
      </c>
      <c r="AL44" s="442">
        <f t="shared" si="9"/>
        <v>5.3930343945423536</v>
      </c>
      <c r="AM44" s="443" t="str">
        <f t="shared" si="10"/>
        <v>-8.87 pts.</v>
      </c>
      <c r="AN44" s="444" t="str">
        <f t="shared" si="11"/>
        <v>-1.74 pts.</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v>11</v>
      </c>
      <c r="R45" s="250"/>
      <c r="S45" s="250"/>
      <c r="T45" s="250"/>
      <c r="U45" s="250"/>
      <c r="V45" s="250"/>
      <c r="W45" s="250"/>
      <c r="X45" s="250"/>
      <c r="Y45" s="250"/>
      <c r="Z45" s="250"/>
      <c r="AA45" s="250">
        <f t="shared" si="1"/>
        <v>11</v>
      </c>
      <c r="AB45" s="436">
        <f t="shared" si="2"/>
        <v>1.4716819231917966E-5</v>
      </c>
      <c r="AC45" s="528"/>
      <c r="AD45" s="250">
        <v>18072.224999999999</v>
      </c>
      <c r="AE45" s="436">
        <f t="shared" si="3"/>
        <v>2.2367235942059516E-2</v>
      </c>
      <c r="AF45" s="438">
        <f t="shared" si="4"/>
        <v>-18061.224999999999</v>
      </c>
      <c r="AG45" s="250">
        <v>4957.2</v>
      </c>
      <c r="AH45" s="436">
        <f t="shared" si="5"/>
        <v>1.9271184424441888E-2</v>
      </c>
      <c r="AI45" s="439">
        <f t="shared" si="6"/>
        <v>-4946.2</v>
      </c>
      <c r="AJ45" s="440">
        <f t="shared" si="7"/>
        <v>6.1342850769573946E-4</v>
      </c>
      <c r="AK45" s="441">
        <f t="shared" si="8"/>
        <v>0.86247136584900252</v>
      </c>
      <c r="AL45" s="442">
        <f t="shared" si="9"/>
        <v>0.7045480386583286</v>
      </c>
      <c r="AM45" s="443" t="str">
        <f t="shared" si="10"/>
        <v>-2.24 pts.</v>
      </c>
      <c r="AN45" s="444" t="str">
        <f t="shared" si="11"/>
        <v>-1.93 pts.</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v>7156.7</v>
      </c>
      <c r="P47" s="225">
        <v>11806</v>
      </c>
      <c r="Q47" s="225">
        <v>14277.12</v>
      </c>
      <c r="R47" s="225">
        <v>12384.71</v>
      </c>
      <c r="S47" s="225">
        <v>12484.12</v>
      </c>
      <c r="T47" s="225">
        <v>9288.32</v>
      </c>
      <c r="U47" s="225">
        <v>13073</v>
      </c>
      <c r="V47" s="225">
        <v>8743.4699999999993</v>
      </c>
      <c r="W47" s="225">
        <v>7333.08</v>
      </c>
      <c r="X47" s="225">
        <v>10136.09</v>
      </c>
      <c r="Y47" s="225">
        <v>11299.8</v>
      </c>
      <c r="Z47" s="225">
        <v>18273.37</v>
      </c>
      <c r="AA47" s="225">
        <f t="shared" si="1"/>
        <v>136255.78</v>
      </c>
      <c r="AB47" s="226">
        <f t="shared" si="2"/>
        <v>0.18229560759672575</v>
      </c>
      <c r="AC47" s="227"/>
      <c r="AD47" s="225">
        <v>238110.51</v>
      </c>
      <c r="AE47" s="226">
        <f t="shared" si="3"/>
        <v>0.29469940516201643</v>
      </c>
      <c r="AF47" s="228">
        <f t="shared" si="4"/>
        <v>-101854.73000000001</v>
      </c>
      <c r="AG47" s="225">
        <v>55110.400000000001</v>
      </c>
      <c r="AH47" s="226">
        <f t="shared" si="5"/>
        <v>0.21424245180843265</v>
      </c>
      <c r="AI47" s="455">
        <f t="shared" si="6"/>
        <v>81145.38</v>
      </c>
      <c r="AJ47" s="229">
        <f t="shared" si="7"/>
        <v>7.5984708900289988</v>
      </c>
      <c r="AK47" s="230">
        <f t="shared" si="8"/>
        <v>11.363487162355636</v>
      </c>
      <c r="AL47" s="232">
        <f t="shared" si="9"/>
        <v>7.8326321773735081</v>
      </c>
      <c r="AM47" s="427" t="str">
        <f t="shared" si="10"/>
        <v>-11.24 pts.</v>
      </c>
      <c r="AN47" s="456" t="str">
        <f t="shared" si="11"/>
        <v>-3.19 pts.</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16"/>
      <c r="Q48" s="216"/>
      <c r="R48" s="216">
        <v>-58.8</v>
      </c>
      <c r="S48" s="216">
        <v>-175.18</v>
      </c>
      <c r="T48" s="216">
        <v>-224.66</v>
      </c>
      <c r="U48" s="216">
        <v>-102.26</v>
      </c>
      <c r="V48" s="216"/>
      <c r="W48" s="216">
        <v>-408.84</v>
      </c>
      <c r="X48" s="216"/>
      <c r="Y48" s="216"/>
      <c r="Z48" s="216">
        <v>-231</v>
      </c>
      <c r="AA48" s="216">
        <f t="shared" si="1"/>
        <v>-1200.74</v>
      </c>
      <c r="AB48" s="218">
        <f t="shared" si="2"/>
        <v>-1.6064612295030162E-3</v>
      </c>
      <c r="AC48" s="459"/>
      <c r="AD48" s="216"/>
      <c r="AE48" s="218" t="str">
        <f t="shared" si="3"/>
        <v/>
      </c>
      <c r="AF48" s="233">
        <f t="shared" si="4"/>
        <v>-1200.74</v>
      </c>
      <c r="AG48" s="216">
        <v>-404.53</v>
      </c>
      <c r="AH48" s="218">
        <f t="shared" si="5"/>
        <v>-1.5726160403492853E-3</v>
      </c>
      <c r="AI48" s="531">
        <f t="shared" si="6"/>
        <v>-796.21</v>
      </c>
      <c r="AJ48" s="532">
        <f t="shared" si="7"/>
        <v>-6.696074057550748E-2</v>
      </c>
      <c r="AK48" s="533">
        <f t="shared" si="8"/>
        <v>0</v>
      </c>
      <c r="AL48" s="534">
        <f t="shared" si="9"/>
        <v>-5.7494314951677082E-2</v>
      </c>
      <c r="AM48" s="535">
        <f t="shared" si="10"/>
        <v>0</v>
      </c>
      <c r="AN48" s="536" t="str">
        <f t="shared" si="11"/>
        <v>0 pts.</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v>29503.88</v>
      </c>
      <c r="P49" s="225">
        <v>46479.19</v>
      </c>
      <c r="Q49" s="225">
        <v>61259.65</v>
      </c>
      <c r="R49" s="225">
        <v>54436.33</v>
      </c>
      <c r="S49" s="225">
        <v>55359.35</v>
      </c>
      <c r="T49" s="225">
        <v>50914.96</v>
      </c>
      <c r="U49" s="225">
        <v>59464.33</v>
      </c>
      <c r="V49" s="225">
        <v>41327.47</v>
      </c>
      <c r="W49" s="225">
        <v>34352.36</v>
      </c>
      <c r="X49" s="225">
        <v>47410.62</v>
      </c>
      <c r="Y49" s="225">
        <v>58575.61</v>
      </c>
      <c r="Z49" s="225">
        <v>94212.85</v>
      </c>
      <c r="AA49" s="225">
        <f t="shared" si="1"/>
        <v>633296.6</v>
      </c>
      <c r="AB49" s="226">
        <f t="shared" si="2"/>
        <v>0.84728287112620537</v>
      </c>
      <c r="AC49" s="227"/>
      <c r="AD49" s="225">
        <v>678972.75</v>
      </c>
      <c r="AE49" s="226">
        <f t="shared" si="3"/>
        <v>0.84033613445378152</v>
      </c>
      <c r="AF49" s="228">
        <f t="shared" si="4"/>
        <v>-45676.150000000023</v>
      </c>
      <c r="AG49" s="225">
        <v>216548.7</v>
      </c>
      <c r="AH49" s="226">
        <f t="shared" si="5"/>
        <v>0.84183610396456465</v>
      </c>
      <c r="AI49" s="455">
        <f t="shared" si="6"/>
        <v>416747.89999999997</v>
      </c>
      <c r="AJ49" s="229">
        <f t="shared" si="7"/>
        <v>35.316562569707784</v>
      </c>
      <c r="AK49" s="230">
        <f t="shared" si="8"/>
        <v>32.403013744392481</v>
      </c>
      <c r="AL49" s="232">
        <f t="shared" si="9"/>
        <v>30.777245594087553</v>
      </c>
      <c r="AM49" s="427" t="str">
        <f t="shared" si="10"/>
        <v>0.69 pts.</v>
      </c>
      <c r="AN49" s="456" t="str">
        <f t="shared" si="11"/>
        <v>0.54 pts.</v>
      </c>
      <c r="AO49" s="11"/>
    </row>
    <row r="50" spans="1:41" x14ac:dyDescent="0.35">
      <c r="A50" s="65" t="s">
        <v>2</v>
      </c>
      <c r="B50" s="66" t="str">
        <f>IF(_epmOfflineCondition_,"'Venue1'!$B$2:$B$10",_xll.EVRNG($B$2:$B$10))</f>
        <v>'Venue1'!$B$2:$B$10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29"/>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IF(_epmOfflineCondition_,"'Venue1'!$O$16:$AN$18",_xll.EVRNG($O$16:$AN$18))</f>
        <v>'Venue1'!$O$16:$AN$18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28"/>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IF(_epmOfflineCondition_,"'Venue1'!$H$62:$H$70",_xll.EVRNG(H62:H70))</f>
        <v>'Venue1'!$H$62:$H$70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28"/>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28"/>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v>5301.22</v>
      </c>
      <c r="P54" s="250">
        <v>8439.33</v>
      </c>
      <c r="Q54" s="250">
        <v>10855.12</v>
      </c>
      <c r="R54" s="250">
        <v>9909.6</v>
      </c>
      <c r="S54" s="250">
        <v>9792.99</v>
      </c>
      <c r="T54" s="250">
        <v>9101.64</v>
      </c>
      <c r="U54" s="250">
        <v>10813.34</v>
      </c>
      <c r="V54" s="250">
        <v>7438.93</v>
      </c>
      <c r="W54" s="250">
        <v>5967.43</v>
      </c>
      <c r="X54" s="250">
        <v>8543.1200000000008</v>
      </c>
      <c r="Y54" s="250">
        <v>10534.29</v>
      </c>
      <c r="Z54" s="250">
        <v>17373.509999999998</v>
      </c>
      <c r="AA54" s="250">
        <f t="shared" si="1"/>
        <v>114070.51999999997</v>
      </c>
      <c r="AB54" s="436">
        <f t="shared" si="2"/>
        <v>0.15261411113917114</v>
      </c>
      <c r="AC54" s="528"/>
      <c r="AD54" s="250">
        <v>129004.82249999999</v>
      </c>
      <c r="AE54" s="436">
        <f t="shared" si="3"/>
        <v>0.15966386554621848</v>
      </c>
      <c r="AF54" s="438">
        <f t="shared" si="4"/>
        <v>-14934.30250000002</v>
      </c>
      <c r="AG54" s="250">
        <v>40685.1</v>
      </c>
      <c r="AH54" s="436">
        <f t="shared" si="5"/>
        <v>0.15816389603543546</v>
      </c>
      <c r="AI54" s="439">
        <f t="shared" si="6"/>
        <v>73385.419999999984</v>
      </c>
      <c r="AJ54" s="440">
        <f t="shared" si="7"/>
        <v>6.3612826232433628</v>
      </c>
      <c r="AK54" s="441">
        <f t="shared" si="8"/>
        <v>6.1565726114345711</v>
      </c>
      <c r="AL54" s="442">
        <f t="shared" si="9"/>
        <v>5.7824189880613988</v>
      </c>
      <c r="AM54" s="443" t="str">
        <f t="shared" si="10"/>
        <v>-0.7 pts.</v>
      </c>
      <c r="AN54" s="444" t="str">
        <f t="shared" si="11"/>
        <v>-0.55 pts.</v>
      </c>
      <c r="AO54" s="11"/>
    </row>
    <row r="55" spans="1:41" x14ac:dyDescent="0.35">
      <c r="A55" s="65" t="s">
        <v>7</v>
      </c>
      <c r="B55" s="66" t="str">
        <f>IF(_epmOfflineCondition_,"'Venue1'!$A$69:$F$77",_xll.EVRNG(A69:F77))</f>
        <v>'Venue1'!$A$69:$F$77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v>15</v>
      </c>
      <c r="X55" s="250"/>
      <c r="Y55" s="250"/>
      <c r="Z55" s="250">
        <v>62</v>
      </c>
      <c r="AA55" s="250">
        <f t="shared" si="1"/>
        <v>77</v>
      </c>
      <c r="AB55" s="436">
        <f t="shared" si="2"/>
        <v>1.0301773462342576E-4</v>
      </c>
      <c r="AC55" s="528"/>
      <c r="AD55" s="250"/>
      <c r="AE55" s="436" t="str">
        <f t="shared" si="3"/>
        <v/>
      </c>
      <c r="AF55" s="438">
        <f t="shared" si="4"/>
        <v>77</v>
      </c>
      <c r="AG55" s="250"/>
      <c r="AH55" s="436" t="str">
        <f t="shared" si="5"/>
        <v/>
      </c>
      <c r="AI55" s="439">
        <f t="shared" si="6"/>
        <v>77</v>
      </c>
      <c r="AJ55" s="440">
        <f t="shared" si="7"/>
        <v>4.293999553870176E-3</v>
      </c>
      <c r="AK55" s="441">
        <f t="shared" si="8"/>
        <v>0</v>
      </c>
      <c r="AL55" s="442">
        <f t="shared" si="9"/>
        <v>0</v>
      </c>
      <c r="AM55" s="443">
        <f t="shared" si="10"/>
        <v>0</v>
      </c>
      <c r="AN55" s="444">
        <f t="shared" si="11"/>
        <v>0</v>
      </c>
      <c r="AO55" s="11"/>
    </row>
    <row r="56" spans="1:41" x14ac:dyDescent="0.35">
      <c r="A56" s="65" t="s">
        <v>47</v>
      </c>
      <c r="B56" s="66" t="str">
        <f>IF(_epmOfflineCondition_,"'Venue1'!$A$125:$B$146",_xll.EVRNG($A$125:$B$146))</f>
        <v>'Venue1'!$A$125:$B$146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v>5301.22</v>
      </c>
      <c r="P57" s="238">
        <v>8439.33</v>
      </c>
      <c r="Q57" s="238">
        <v>10855.12</v>
      </c>
      <c r="R57" s="238">
        <v>9909.6</v>
      </c>
      <c r="S57" s="238">
        <v>9792.99</v>
      </c>
      <c r="T57" s="238">
        <v>9101.64</v>
      </c>
      <c r="U57" s="238">
        <v>10813.34</v>
      </c>
      <c r="V57" s="238">
        <v>7438.93</v>
      </c>
      <c r="W57" s="238">
        <v>5982.43</v>
      </c>
      <c r="X57" s="238">
        <v>8543.1200000000008</v>
      </c>
      <c r="Y57" s="238">
        <v>10534.29</v>
      </c>
      <c r="Z57" s="238">
        <v>17435.509999999998</v>
      </c>
      <c r="AA57" s="238">
        <f t="shared" si="1"/>
        <v>114147.51999999997</v>
      </c>
      <c r="AB57" s="239">
        <f t="shared" si="2"/>
        <v>0.15271712887379457</v>
      </c>
      <c r="AC57" s="240"/>
      <c r="AD57" s="238">
        <v>129004.82249999999</v>
      </c>
      <c r="AE57" s="239">
        <f t="shared" si="3"/>
        <v>0.15966386554621848</v>
      </c>
      <c r="AF57" s="241">
        <f t="shared" si="4"/>
        <v>-14857.30250000002</v>
      </c>
      <c r="AG57" s="238">
        <v>40685.1</v>
      </c>
      <c r="AH57" s="239">
        <f t="shared" si="5"/>
        <v>0.15816389603543546</v>
      </c>
      <c r="AI57" s="464">
        <f t="shared" si="6"/>
        <v>73462.419999999984</v>
      </c>
      <c r="AJ57" s="242">
        <f t="shared" si="7"/>
        <v>6.3655766227972324</v>
      </c>
      <c r="AK57" s="243">
        <f t="shared" si="8"/>
        <v>6.1565726114345711</v>
      </c>
      <c r="AL57" s="245">
        <f t="shared" si="9"/>
        <v>5.7824189880613988</v>
      </c>
      <c r="AM57" s="431" t="str">
        <f t="shared" si="10"/>
        <v>-0.69 pts.</v>
      </c>
      <c r="AN57" s="465" t="str">
        <f t="shared" si="11"/>
        <v>-0.54 pts.</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v>34805.1</v>
      </c>
      <c r="P58" s="225">
        <v>54918.52</v>
      </c>
      <c r="Q58" s="225">
        <v>72114.77</v>
      </c>
      <c r="R58" s="225">
        <v>64345.93</v>
      </c>
      <c r="S58" s="225">
        <v>65152.34</v>
      </c>
      <c r="T58" s="225">
        <v>60016.6</v>
      </c>
      <c r="U58" s="225">
        <v>70277.67</v>
      </c>
      <c r="V58" s="225">
        <v>48766.400000000001</v>
      </c>
      <c r="W58" s="225">
        <v>40334.79</v>
      </c>
      <c r="X58" s="225">
        <v>55953.74</v>
      </c>
      <c r="Y58" s="225">
        <v>69109.899999999994</v>
      </c>
      <c r="Z58" s="225">
        <v>111648.36</v>
      </c>
      <c r="AA58" s="225">
        <f t="shared" si="1"/>
        <v>747444.12</v>
      </c>
      <c r="AB58" s="226">
        <f t="shared" si="2"/>
        <v>1</v>
      </c>
      <c r="AC58" s="227"/>
      <c r="AD58" s="225">
        <v>807977.57250000001</v>
      </c>
      <c r="AE58" s="226">
        <f t="shared" si="3"/>
        <v>1</v>
      </c>
      <c r="AF58" s="228">
        <f t="shared" si="4"/>
        <v>-60533.452500000014</v>
      </c>
      <c r="AG58" s="225">
        <v>257233.8</v>
      </c>
      <c r="AH58" s="226">
        <f t="shared" si="5"/>
        <v>1</v>
      </c>
      <c r="AI58" s="455">
        <f t="shared" si="6"/>
        <v>490210.32</v>
      </c>
      <c r="AJ58" s="229">
        <f t="shared" si="7"/>
        <v>41.682139192505019</v>
      </c>
      <c r="AK58" s="230">
        <f t="shared" si="8"/>
        <v>38.559586355827051</v>
      </c>
      <c r="AL58" s="232">
        <f t="shared" si="9"/>
        <v>36.559664582148947</v>
      </c>
      <c r="AM58" s="427" t="str">
        <f t="shared" si="10"/>
        <v>0 pts.</v>
      </c>
      <c r="AN58" s="456" t="str">
        <f t="shared" si="11"/>
        <v>0 pts.</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v>6657.76</v>
      </c>
      <c r="P62" s="250">
        <v>11151.28</v>
      </c>
      <c r="Q62" s="250">
        <v>17292.060000000001</v>
      </c>
      <c r="R62" s="250">
        <v>20304.21</v>
      </c>
      <c r="S62" s="250">
        <v>23205.69</v>
      </c>
      <c r="T62" s="250">
        <v>14333.3</v>
      </c>
      <c r="U62" s="250">
        <v>15307.51</v>
      </c>
      <c r="V62" s="250">
        <v>11836.32</v>
      </c>
      <c r="W62" s="250">
        <v>9779.84</v>
      </c>
      <c r="X62" s="250">
        <v>11159.21</v>
      </c>
      <c r="Y62" s="250">
        <v>14595.65</v>
      </c>
      <c r="Z62" s="250">
        <v>24582.23</v>
      </c>
      <c r="AA62" s="250">
        <f t="shared" ref="AA62:AA70" si="13">IF($I62="B1","",SUM(O62:Z62))</f>
        <v>180205.06</v>
      </c>
      <c r="AB62" s="436">
        <f>IF(_epmOfflineCondition_,0.361682112588119,IF(AA62=0,"",IFERROR(AA62/_xll.EVGTS($B$1,1,_xll.EVPRO($B$1,$H62,"COSBASIS"),$B$3,$B$5,$B$6,$B$7,$B$9,AA$16,AA$17,AA$11),"")))</f>
        <v>0.361682112588119</v>
      </c>
      <c r="AC62" s="528"/>
      <c r="AD62" s="250">
        <v>136667.29999999999</v>
      </c>
      <c r="AE62" s="436">
        <f>IF(_epmOfflineCondition_,0.310000012702381,IF(AD62=0,"",IFERROR(AD62/_xll.EVGTS($B$1,1,_xll.EVPRO($B$1,$H62,"COSBASIS"),$B$3,$B$5,$B$6,$B$7,$B$9,AD$16,AD$17,AD$18),"")))</f>
        <v>0.31000001270238098</v>
      </c>
      <c r="AF62" s="438">
        <f t="shared" ref="AF62:AF72" si="14">IF(AND($AA62="",AD62=""),"",$AA62-AD62)</f>
        <v>43537.760000000009</v>
      </c>
      <c r="AG62" s="250">
        <v>92294.79</v>
      </c>
      <c r="AH62" s="436">
        <f>IF(_epmOfflineCondition_,0.570274197503838,IF(AG62=0,"",IFERROR(AG62/_xll.EVGTS($B$1,1,_xll.EVPRO($B$1,$H62,"COSBASIS"),$B$3,$B$5,$B$6,$B$7,$B$9,AG$16,AG$17,AG$18),"")))</f>
        <v>0.57027419750383801</v>
      </c>
      <c r="AI62" s="439">
        <f t="shared" ref="AI62:AI72" si="15">IF(AND($AA62="",AG62=""),"",$AA62-AG62)</f>
        <v>87910.27</v>
      </c>
      <c r="AJ62" s="440">
        <f t="shared" ref="AJ62:AJ70" si="16">IFERROR(AA62/AA$20,0)</f>
        <v>10.0493564577292</v>
      </c>
      <c r="AK62" s="441">
        <f t="shared" ref="AK62:AK70" si="17">IFERROR(AD62/AD$20,0)</f>
        <v>6.5222535076834962</v>
      </c>
      <c r="AL62" s="442">
        <f t="shared" ref="AL62:AL70" si="18">IFERROR(AG62/AG$20,0)</f>
        <v>13.117508527572484</v>
      </c>
      <c r="AM62" s="443" t="str">
        <f t="shared" ref="AM62:AM70" si="19">+IFERROR(ROUND(($AB62-AE62)*100,2)&amp;" pts.",0)</f>
        <v>5.17 pts.</v>
      </c>
      <c r="AN62" s="444" t="str">
        <f t="shared" ref="AN62:AN70" si="20">+IFERROR(ROUND(($AB62-AH62)*100,2)&amp;" pts.",0)</f>
        <v>-20.86 pts.</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v>1936.26</v>
      </c>
      <c r="P63" s="251">
        <v>-1215.8499999999999</v>
      </c>
      <c r="Q63" s="251">
        <v>3862.01</v>
      </c>
      <c r="R63" s="251">
        <v>2856.79</v>
      </c>
      <c r="S63" s="251">
        <v>-426.96</v>
      </c>
      <c r="T63" s="251">
        <v>398.38</v>
      </c>
      <c r="U63" s="251">
        <v>1708.69</v>
      </c>
      <c r="V63" s="251">
        <v>1837.77</v>
      </c>
      <c r="W63" s="251">
        <v>1071.28</v>
      </c>
      <c r="X63" s="251">
        <v>3342.2</v>
      </c>
      <c r="Y63" s="251">
        <v>1802.17</v>
      </c>
      <c r="Z63" s="251">
        <v>2985.83</v>
      </c>
      <c r="AA63" s="251">
        <f t="shared" si="13"/>
        <v>20158.57</v>
      </c>
      <c r="AB63" s="446">
        <f>IF(_epmOfflineCondition_,0.147946531148991,IF(AA63=0,"",IFERROR(AA63/_xll.EVGTS($B$1,1,_xll.EVPRO($B$1,$H63,"COSBASIS"),$B$3,$B$5,$B$6,$B$7,$B$9,AA$16,AA$17,AA$11),"")))</f>
        <v>0.14794653114899101</v>
      </c>
      <c r="AC63" s="437"/>
      <c r="AD63" s="251">
        <v>56672.03</v>
      </c>
      <c r="AE63" s="446">
        <f>IF(_epmOfflineCondition_,0.238007259738346,IF(AD63=0,"",IFERROR(AD63/_xll.EVGTS($B$1,1,_xll.EVPRO($B$1,$H63,"COSBASIS"),$B$3,$B$5,$B$6,$B$7,$B$9,AD$16,AD$17,AD$18),"")))</f>
        <v>0.23800725973834599</v>
      </c>
      <c r="AF63" s="447">
        <f t="shared" si="14"/>
        <v>-36513.46</v>
      </c>
      <c r="AG63" s="251">
        <v>17625.849999999999</v>
      </c>
      <c r="AH63" s="446">
        <f>IF(_epmOfflineCondition_,0.319828017942167,IF(AG63=0,"",IFERROR(AG63/_xll.EVGTS($B$1,1,_xll.EVPRO($B$1,$H63,"COSBASIS"),$B$3,$B$5,$B$6,$B$7,$B$9,AG$16,AG$17,AG$18),"")))</f>
        <v>0.31982801794216698</v>
      </c>
      <c r="AI63" s="448">
        <f t="shared" si="15"/>
        <v>2532.7200000000012</v>
      </c>
      <c r="AJ63" s="449">
        <f t="shared" si="16"/>
        <v>1.124167410216373</v>
      </c>
      <c r="AK63" s="450">
        <f t="shared" si="17"/>
        <v>2.7045924405841366</v>
      </c>
      <c r="AL63" s="451">
        <f t="shared" si="18"/>
        <v>2.5050952245594087</v>
      </c>
      <c r="AM63" s="452" t="str">
        <f t="shared" si="19"/>
        <v>-9.01 pts.</v>
      </c>
      <c r="AN63" s="453" t="str">
        <f t="shared" si="20"/>
        <v>-17.19 pts.</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v>8594.02</v>
      </c>
      <c r="P64" s="225">
        <v>9935.43</v>
      </c>
      <c r="Q64" s="225">
        <v>21154.07</v>
      </c>
      <c r="R64" s="225">
        <v>23161</v>
      </c>
      <c r="S64" s="225">
        <v>22778.73</v>
      </c>
      <c r="T64" s="225">
        <v>14731.68</v>
      </c>
      <c r="U64" s="225">
        <v>17016.2</v>
      </c>
      <c r="V64" s="225">
        <v>13674.09</v>
      </c>
      <c r="W64" s="225">
        <v>10851.12</v>
      </c>
      <c r="X64" s="225">
        <v>14501.41</v>
      </c>
      <c r="Y64" s="225">
        <v>16397.82</v>
      </c>
      <c r="Z64" s="225">
        <v>27568.06</v>
      </c>
      <c r="AA64" s="225">
        <f t="shared" si="13"/>
        <v>200363.63</v>
      </c>
      <c r="AB64" s="226">
        <f>IF(_epmOfflineCondition_,0.316381976470425,IF(AA64=0,"",IFERROR(AA64/_xll.EVGTS($B$1,1,_xll.EVPRO($B$1,$H64,"COSBASIS"),$B$3,$B$5,$B$6,$B$7,$B$9,AA$16,AA$17,AA$11),"")))</f>
        <v>0.31638197647042499</v>
      </c>
      <c r="AC64" s="227"/>
      <c r="AD64" s="225">
        <v>193339.33</v>
      </c>
      <c r="AE64" s="226">
        <f>IF(_epmOfflineCondition_,0.284752709147753,IF(AD64=0,"",IFERROR(AD64/_xll.EVGTS($B$1,1,_xll.EVPRO($B$1,$H64,"COSBASIS"),$B$3,$B$5,$B$6,$B$7,$B$9,AD$16,AD$17,AD$18),"")))</f>
        <v>0.28475270914775302</v>
      </c>
      <c r="AF64" s="228">
        <f t="shared" si="14"/>
        <v>7024.3000000000175</v>
      </c>
      <c r="AG64" s="225">
        <v>109920.64</v>
      </c>
      <c r="AH64" s="226">
        <f>IF(_epmOfflineCondition_,0.507602400753272,IF(AG64=0,"",IFERROR(AG64/_xll.EVGTS($B$1,1,_xll.EVPRO($B$1,$H64,"COSBASIS"),$B$3,$B$5,$B$6,$B$7,$B$9,AG$16,AG$17,AG$18),"")))</f>
        <v>0.50760240075327201</v>
      </c>
      <c r="AI64" s="455">
        <f t="shared" si="15"/>
        <v>90442.99</v>
      </c>
      <c r="AJ64" s="229">
        <f t="shared" si="16"/>
        <v>11.173523867945573</v>
      </c>
      <c r="AK64" s="230">
        <f t="shared" si="17"/>
        <v>9.2268459482676324</v>
      </c>
      <c r="AL64" s="232">
        <f t="shared" si="18"/>
        <v>15.622603752131893</v>
      </c>
      <c r="AM64" s="427" t="str">
        <f t="shared" si="19"/>
        <v>3.16 pts.</v>
      </c>
      <c r="AN64" s="456" t="str">
        <f t="shared" si="20"/>
        <v>-19.12 pts.</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29"/>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28"/>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28"/>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v>8594.02</v>
      </c>
      <c r="P70" s="225">
        <v>9935.43</v>
      </c>
      <c r="Q70" s="225">
        <v>21154.07</v>
      </c>
      <c r="R70" s="225">
        <v>23161</v>
      </c>
      <c r="S70" s="225">
        <v>22778.73</v>
      </c>
      <c r="T70" s="225">
        <v>14731.68</v>
      </c>
      <c r="U70" s="225">
        <v>17016.2</v>
      </c>
      <c r="V70" s="225">
        <v>13674.09</v>
      </c>
      <c r="W70" s="225">
        <v>10851.12</v>
      </c>
      <c r="X70" s="225">
        <v>14501.41</v>
      </c>
      <c r="Y70" s="225">
        <v>16397.82</v>
      </c>
      <c r="Z70" s="225">
        <v>27568.06</v>
      </c>
      <c r="AA70" s="225">
        <f t="shared" si="13"/>
        <v>200363.63</v>
      </c>
      <c r="AB70" s="226">
        <f>IF(_epmOfflineCondition_,0.268065029396445,IF(AA70=0,"",IFERROR(AA70/_xll.EVGTS($B$1,1,_xll.EVPRO($B$1,$H70,"COSBASIS"),$B$3,$B$5,$B$6,$B$7,$B$9,AA$16,AA$17,AA$11),"")))</f>
        <v>0.268065029396445</v>
      </c>
      <c r="AC70" s="227"/>
      <c r="AD70" s="225">
        <v>193339.33</v>
      </c>
      <c r="AE70" s="226">
        <f>IF(_epmOfflineCondition_,0.239287990880465,IF(AD70=0,"",IFERROR(AD70/_xll.EVGTS($B$1,1,_xll.EVPRO($B$1,$H70,"COSBASIS"),$B$3,$B$5,$B$6,$B$7,$B$9,AD$16,AD$17,AD$18),"")))</f>
        <v>0.23928799088046501</v>
      </c>
      <c r="AF70" s="228">
        <f t="shared" si="14"/>
        <v>7024.3000000000175</v>
      </c>
      <c r="AG70" s="225">
        <v>109920.64</v>
      </c>
      <c r="AH70" s="226">
        <f>IF(_epmOfflineCondition_,0.427318027413194,IF(AG70=0,"",IFERROR(AG70/_xll.EVGTS($B$1,1,_xll.EVPRO($B$1,$H70,"COSBASIS"),$B$3,$B$5,$B$6,$B$7,$B$9,AG$16,AG$17,AG$18),"")))</f>
        <v>0.42731802741319402</v>
      </c>
      <c r="AI70" s="455">
        <f t="shared" si="15"/>
        <v>90442.99</v>
      </c>
      <c r="AJ70" s="229">
        <f t="shared" si="16"/>
        <v>11.173523867945573</v>
      </c>
      <c r="AK70" s="230">
        <f t="shared" si="17"/>
        <v>9.2268459482676324</v>
      </c>
      <c r="AL70" s="232">
        <f t="shared" si="18"/>
        <v>15.622603752131893</v>
      </c>
      <c r="AM70" s="427" t="str">
        <f t="shared" si="19"/>
        <v>2.88 pts.</v>
      </c>
      <c r="AN70" s="456" t="str">
        <f t="shared" si="20"/>
        <v>-15.93 pts.</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26211.079999999998</v>
      </c>
      <c r="P72" s="123">
        <f t="shared" si="21"/>
        <v>44983.09</v>
      </c>
      <c r="Q72" s="123">
        <f t="shared" si="21"/>
        <v>50960.700000000004</v>
      </c>
      <c r="R72" s="123">
        <f t="shared" si="21"/>
        <v>41184.93</v>
      </c>
      <c r="S72" s="123">
        <f t="shared" si="21"/>
        <v>42373.61</v>
      </c>
      <c r="T72" s="123">
        <f t="shared" si="21"/>
        <v>45284.92</v>
      </c>
      <c r="U72" s="123">
        <f t="shared" si="21"/>
        <v>53261.47</v>
      </c>
      <c r="V72" s="123">
        <f t="shared" si="21"/>
        <v>35092.31</v>
      </c>
      <c r="W72" s="123">
        <f t="shared" si="21"/>
        <v>29483.67</v>
      </c>
      <c r="X72" s="123">
        <f t="shared" si="21"/>
        <v>41452.33</v>
      </c>
      <c r="Y72" s="123">
        <f t="shared" si="21"/>
        <v>52712.079999999994</v>
      </c>
      <c r="Z72" s="123">
        <f t="shared" si="21"/>
        <v>84080.3</v>
      </c>
      <c r="AA72" s="191">
        <f>IF($I72="B1","",SUM(O72:Z72))</f>
        <v>547080.49</v>
      </c>
      <c r="AB72" s="192">
        <f>IF(AA72=0,"",IFERROR(AA72/AA$19,""))</f>
        <v>0.73193497060355495</v>
      </c>
      <c r="AC72" s="11"/>
      <c r="AD72" s="123">
        <f>SUMIF($H$35:$H$70,"400000",AD35:AD70)-SUMIF($H$35:$H$70,"500001",AD35:AD70)</f>
        <v>614638.24250000005</v>
      </c>
      <c r="AE72" s="192">
        <f>IF(AD72=0,"",IFERROR(AD72/AD$19,""))</f>
        <v>0.7607120091195354</v>
      </c>
      <c r="AF72" s="125">
        <f t="shared" si="14"/>
        <v>-67557.752500000061</v>
      </c>
      <c r="AG72" s="123">
        <f>SUMIF($H$35:$H$70,"400000",AG35:AG70)-SUMIF($H$35:$H$70,"500001",AG35:AG70)</f>
        <v>147313.15999999997</v>
      </c>
      <c r="AH72" s="192">
        <f>IF(AG72=0,"",IFERROR(AG72/AG$19,""))</f>
        <v>0.5726819725868062</v>
      </c>
      <c r="AI72" s="125">
        <f t="shared" si="15"/>
        <v>399767.33</v>
      </c>
      <c r="AJ72" s="193">
        <f>IFERROR(AA72/AA$20,0)</f>
        <v>30.508615324559447</v>
      </c>
      <c r="AK72" s="194">
        <f>IFERROR(AD72/AD$20,0)</f>
        <v>29.332740407559417</v>
      </c>
      <c r="AL72" s="195">
        <f>IFERROR(AG72/AG$20,0)</f>
        <v>20.937060830017053</v>
      </c>
      <c r="AM72" s="407" t="str">
        <f>+IFERROR(ROUND(($AB72-AE72)*100,2)&amp;" pts.",0)</f>
        <v>-2.88 pts.</v>
      </c>
      <c r="AN72" s="408" t="str">
        <f>+IFERROR(ROUND(($AB72-AH72)*100,2)&amp;" pts.",0)</f>
        <v>15.93 pts.</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x14ac:dyDescent="0.35">
      <c r="A76" s="11" t="s">
        <v>108</v>
      </c>
      <c r="B76" s="11"/>
      <c r="C76" s="106" t="s">
        <v>101</v>
      </c>
      <c r="D76" s="11" t="s">
        <v>106</v>
      </c>
      <c r="E76" s="11"/>
      <c r="F76" s="11" t="s">
        <v>98</v>
      </c>
      <c r="G76" s="11"/>
      <c r="H76" s="88" t="s">
        <v>881</v>
      </c>
      <c r="I76" s="122" t="str">
        <f>IF(_epmOfflineCondition_,"T3",_xll.EVPRO($B$1,$H76,"STYLE"))</f>
        <v>T3</v>
      </c>
      <c r="J76" s="122" t="str">
        <f>IF(_epmOfflineCondition_,"Y",_xll.EVPRO($B$1,$H76,"CALC"))</f>
        <v>Y</v>
      </c>
      <c r="K76" s="179" t="str">
        <f t="shared" ref="K76:K90" si="22">IF(AND(I76&gt;="T3"),"&gt;","")</f>
        <v>&gt;</v>
      </c>
      <c r="L76" s="90" t="str">
        <f>IF(_epmOfflineCondition_,"",_xll.EVPRO($B$1,H76,"JDEID"))</f>
        <v/>
      </c>
      <c r="M76" s="90" t="str">
        <f>IF(_epmOfflineCondition_,"",IF(AND(I76="N",J76="N"),_xll.EVPRO($B$1,H76,"PSFTID"),""))</f>
        <v/>
      </c>
      <c r="N76" s="90" t="str">
        <f>IF(_epmOfflineCondition_,"Management - F&amp;B Service",IF(_xll.EVDES(H76,$B$1)="#NODATA","",_xll.EVDES(H76,$B$1)))</f>
        <v>Management - F&amp;B Service</v>
      </c>
      <c r="O76" s="210"/>
      <c r="P76" s="210">
        <v>2416.67</v>
      </c>
      <c r="Q76" s="210">
        <v>4833.34</v>
      </c>
      <c r="R76" s="210">
        <v>2416.67</v>
      </c>
      <c r="S76" s="210">
        <v>11916.68</v>
      </c>
      <c r="T76" s="210">
        <v>7448.73</v>
      </c>
      <c r="U76" s="210">
        <v>9397.39</v>
      </c>
      <c r="V76" s="210">
        <v>11500</v>
      </c>
      <c r="W76" s="210">
        <v>11277.01</v>
      </c>
      <c r="X76" s="210">
        <v>11500</v>
      </c>
      <c r="Y76" s="210">
        <v>10969.45</v>
      </c>
      <c r="Z76" s="210">
        <v>10438.67</v>
      </c>
      <c r="AA76" s="250">
        <f t="shared" ref="AA76:AA90" si="23">IF($I76="B1","",SUM(O76:Z76))</f>
        <v>94114.609999999986</v>
      </c>
      <c r="AB76" s="211">
        <f t="shared" ref="AB76:AB90" si="24">IF(AA76=0,"",IFERROR(AA76/AA$19,""))</f>
        <v>0.12591524567749623</v>
      </c>
      <c r="AC76" s="140"/>
      <c r="AD76" s="210">
        <v>71169.403846185</v>
      </c>
      <c r="AE76" s="211">
        <f t="shared" ref="AE76:AE90" si="25">IF(AD76=0,"",IFERROR(AD76/AD$19,""))</f>
        <v>8.8083390267846826E-2</v>
      </c>
      <c r="AF76" s="253">
        <f t="shared" ref="AF76:AF90" si="26">IF(AND($AA76="",AD76=""),"",$AA76-AD76)</f>
        <v>22945.206153814986</v>
      </c>
      <c r="AG76" s="210">
        <v>33980.11</v>
      </c>
      <c r="AH76" s="211">
        <f t="shared" ref="AH76:AH90" si="27">IF(AG76=0,"",IFERROR(AG76/AG$19,""))</f>
        <v>0.13209815350859802</v>
      </c>
      <c r="AI76" s="253">
        <f t="shared" ref="AI76:AI90" si="28">IF(AND($AA76="",AG76=""),"",$AA76-AG76)</f>
        <v>60134.499999999985</v>
      </c>
      <c r="AJ76" s="212">
        <f t="shared" ref="AJ76:AJ90" si="29">IFERROR(AA76/AA$20,0)</f>
        <v>5.2484167967878648</v>
      </c>
      <c r="AK76" s="213">
        <f t="shared" ref="AK76:AK90" si="30">IFERROR(AD76/AD$20,0)</f>
        <v>3.3964590935470556</v>
      </c>
      <c r="AL76" s="215">
        <f t="shared" ref="AL76:AL90" si="31">IFERROR(AG76/AG$20,0)</f>
        <v>4.8294641841955661</v>
      </c>
      <c r="AM76" s="423" t="str">
        <f t="shared" ref="AM76:AM90" si="32">+IFERROR(ROUND(($AB76-AE76)*100,2)&amp;" pts.",0)</f>
        <v>3.78 pts.</v>
      </c>
      <c r="AN76" s="424" t="str">
        <f t="shared" ref="AN76:AN90" si="33">+IFERROR(ROUND(($AB76-AH76)*100,2)&amp;" pts.",0)</f>
        <v>-0.62 pts.</v>
      </c>
      <c r="AO76" s="11"/>
    </row>
    <row r="77" spans="1:41" x14ac:dyDescent="0.35">
      <c r="A77" s="11" t="s">
        <v>108</v>
      </c>
      <c r="B77" s="11"/>
      <c r="C77" s="196" t="s">
        <v>101</v>
      </c>
      <c r="D77" s="11" t="s">
        <v>107</v>
      </c>
      <c r="E77" s="11"/>
      <c r="F77" s="11" t="s">
        <v>99</v>
      </c>
      <c r="G77" s="11"/>
      <c r="H77" s="88" t="s">
        <v>882</v>
      </c>
      <c r="I77" s="122" t="str">
        <f>IF(_epmOfflineCondition_,"T3",_xll.EVPRO($B$1,$H77,"STYLE"))</f>
        <v>T3</v>
      </c>
      <c r="J77" s="122" t="str">
        <f>IF(_epmOfflineCondition_,"Y",_xll.EVPRO($B$1,$H77,"CALC"))</f>
        <v>Y</v>
      </c>
      <c r="K77" s="179" t="str">
        <f t="shared" si="22"/>
        <v>&gt;</v>
      </c>
      <c r="L77" s="90" t="str">
        <f>IF(_epmOfflineCondition_,"",_xll.EVPRO($B$1,H77,"JDEID"))</f>
        <v/>
      </c>
      <c r="M77" s="90" t="str">
        <f>IF(_epmOfflineCondition_,"",IF(AND(I77="N",J77="N"),_xll.EVPRO($B$1,H77,"PSFTID"),""))</f>
        <v/>
      </c>
      <c r="N77" s="90" t="str">
        <f>IF(_epmOfflineCondition_,"Management - F&amp;B Kitchen",IF(_xll.EVDES(H77,$B$1)="#NODATA","",_xll.EVDES(H77,$B$1)))</f>
        <v>Management - F&amp;B Kitchen</v>
      </c>
      <c r="O77" s="210">
        <v>6746.36</v>
      </c>
      <c r="P77" s="210">
        <v>11959.01</v>
      </c>
      <c r="Q77" s="210">
        <v>11959.02</v>
      </c>
      <c r="R77" s="210">
        <v>13464.5</v>
      </c>
      <c r="S77" s="210">
        <v>11969.7</v>
      </c>
      <c r="T77" s="210">
        <v>8900.33</v>
      </c>
      <c r="U77" s="210">
        <v>9903.65</v>
      </c>
      <c r="V77" s="210">
        <v>7750</v>
      </c>
      <c r="W77" s="210">
        <v>12916.66</v>
      </c>
      <c r="X77" s="210">
        <v>12916.66</v>
      </c>
      <c r="Y77" s="210">
        <v>12570.65</v>
      </c>
      <c r="Z77" s="210">
        <v>11974.6</v>
      </c>
      <c r="AA77" s="250">
        <f t="shared" si="23"/>
        <v>133031.13999999998</v>
      </c>
      <c r="AB77" s="211">
        <f t="shared" si="24"/>
        <v>0.17798138541781555</v>
      </c>
      <c r="AC77" s="140"/>
      <c r="AD77" s="210">
        <v>125764.314793917</v>
      </c>
      <c r="AE77" s="211">
        <f t="shared" si="25"/>
        <v>0.15565322488442834</v>
      </c>
      <c r="AF77" s="253">
        <f t="shared" si="26"/>
        <v>7266.8252060829836</v>
      </c>
      <c r="AG77" s="210">
        <v>75505.91</v>
      </c>
      <c r="AH77" s="211">
        <f t="shared" si="27"/>
        <v>0.29353028256784297</v>
      </c>
      <c r="AI77" s="253">
        <f t="shared" si="28"/>
        <v>57525.229999999981</v>
      </c>
      <c r="AJ77" s="212">
        <f t="shared" si="29"/>
        <v>7.4186448806602714</v>
      </c>
      <c r="AK77" s="213">
        <f t="shared" si="30"/>
        <v>6.0019239664940827</v>
      </c>
      <c r="AL77" s="215">
        <f t="shared" si="31"/>
        <v>10.731368675383742</v>
      </c>
      <c r="AM77" s="423" t="str">
        <f t="shared" si="32"/>
        <v>2.23 pts.</v>
      </c>
      <c r="AN77" s="424" t="str">
        <f t="shared" si="33"/>
        <v>-11.55 pts.</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 t="shared" si="23"/>
        <v/>
      </c>
      <c r="AB78" s="198" t="str">
        <f t="shared" si="24"/>
        <v/>
      </c>
      <c r="AC78" s="11"/>
      <c r="AD78" s="197"/>
      <c r="AE78" s="198" t="str">
        <f t="shared" si="25"/>
        <v/>
      </c>
      <c r="AF78" s="199" t="str">
        <f t="shared" si="26"/>
        <v/>
      </c>
      <c r="AG78" s="197"/>
      <c r="AH78" s="198" t="str">
        <f t="shared" si="27"/>
        <v/>
      </c>
      <c r="AI78" s="199" t="str">
        <f t="shared" si="28"/>
        <v/>
      </c>
      <c r="AJ78" s="181">
        <f t="shared" si="29"/>
        <v>0</v>
      </c>
      <c r="AK78" s="182">
        <f t="shared" si="30"/>
        <v>0</v>
      </c>
      <c r="AL78" s="184">
        <f t="shared" si="31"/>
        <v>0</v>
      </c>
      <c r="AM78" s="385">
        <f t="shared" si="32"/>
        <v>0</v>
      </c>
      <c r="AN78" s="386">
        <f t="shared" si="33"/>
        <v>0</v>
      </c>
      <c r="AO78" s="11"/>
    </row>
    <row r="79" spans="1:41" x14ac:dyDescent="0.35">
      <c r="A79" s="11"/>
      <c r="B79" s="11"/>
      <c r="C79" s="208"/>
      <c r="D79" s="11"/>
      <c r="E79" s="11"/>
      <c r="F79" s="11"/>
      <c r="G79" s="11"/>
      <c r="H79" s="88" t="s">
        <v>864</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Kitchen",IF(_xll.EVDES(H79,$B$1)="#NODATA","",_xll.EVDES(H79,$B$1)))</f>
        <v>F&amp;B Kitchen</v>
      </c>
      <c r="O79" s="216">
        <v>6173.55</v>
      </c>
      <c r="P79" s="216">
        <v>5730.75</v>
      </c>
      <c r="Q79" s="216">
        <v>6412.04</v>
      </c>
      <c r="R79" s="216">
        <v>4482.1000000000004</v>
      </c>
      <c r="S79" s="216">
        <v>5504</v>
      </c>
      <c r="T79" s="216">
        <v>4989</v>
      </c>
      <c r="U79" s="216">
        <v>5550.15</v>
      </c>
      <c r="V79" s="216">
        <v>-902.79</v>
      </c>
      <c r="W79" s="216">
        <v>18555.05</v>
      </c>
      <c r="X79" s="216">
        <v>-4837.7700000000004</v>
      </c>
      <c r="Y79" s="216">
        <v>5844.33</v>
      </c>
      <c r="Z79" s="216">
        <v>3985.99</v>
      </c>
      <c r="AA79" s="251">
        <f t="shared" si="23"/>
        <v>61486.400000000001</v>
      </c>
      <c r="AB79" s="218">
        <f t="shared" si="24"/>
        <v>8.2262203092854619E-2</v>
      </c>
      <c r="AC79" s="140"/>
      <c r="AD79" s="216">
        <v>87674.171428572095</v>
      </c>
      <c r="AE79" s="218">
        <f t="shared" si="25"/>
        <v>0.10851064981580549</v>
      </c>
      <c r="AF79" s="233">
        <f t="shared" si="26"/>
        <v>-26187.771428572094</v>
      </c>
      <c r="AG79" s="216">
        <v>47063.18</v>
      </c>
      <c r="AH79" s="218">
        <f t="shared" si="27"/>
        <v>0.18295877135897384</v>
      </c>
      <c r="AI79" s="233">
        <f t="shared" si="28"/>
        <v>14423.220000000001</v>
      </c>
      <c r="AJ79" s="212">
        <f t="shared" si="29"/>
        <v>3.4288645995984832</v>
      </c>
      <c r="AK79" s="213">
        <f t="shared" si="30"/>
        <v>4.1841257720994607</v>
      </c>
      <c r="AL79" s="215">
        <f t="shared" si="31"/>
        <v>6.6889113132461624</v>
      </c>
      <c r="AM79" s="423" t="str">
        <f t="shared" si="32"/>
        <v>-2.62 pts.</v>
      </c>
      <c r="AN79" s="424" t="str">
        <f t="shared" si="33"/>
        <v>-10.07 pts.</v>
      </c>
      <c r="AO79" s="11"/>
    </row>
    <row r="80" spans="1:41" x14ac:dyDescent="0.35">
      <c r="A80" s="61" t="str">
        <f>IF(_epmOfflineCondition_,"Evdre:Ok",_xll.EVDRE($B$1,A83:B90,A93:B99))</f>
        <v>Evdre:Ok</v>
      </c>
      <c r="B80" s="11"/>
      <c r="C80" s="11"/>
      <c r="D80" s="11"/>
      <c r="E80" s="11"/>
      <c r="F80" s="11"/>
      <c r="G80" s="11"/>
      <c r="H80" s="88" t="s">
        <v>865</v>
      </c>
      <c r="I80" s="122" t="str">
        <f>IF(_epmOfflineCondition_,"T3",_xll.EVPRO($B$1,$H80,"STYLE"))</f>
        <v>T3</v>
      </c>
      <c r="J80" s="122" t="str">
        <f>IF(_epmOfflineCondition_,"Y",_xll.EVPRO($B$1,$H80,"CALC"))</f>
        <v>Y</v>
      </c>
      <c r="K80" s="179" t="str">
        <f t="shared" si="22"/>
        <v>&gt;</v>
      </c>
      <c r="L80" s="90" t="str">
        <f>IF(_epmOfflineCondition_,"",_xll.EVPRO($B$1,H80,"JDEID"))</f>
        <v/>
      </c>
      <c r="M80" s="90" t="str">
        <f>IF(_epmOfflineCondition_,"",IF(AND(I80="N",J80="N"),_xll.EVPRO($B$1,H80,"PSFTID"),""))</f>
        <v/>
      </c>
      <c r="N80" s="90" t="str">
        <f>IF(_epmOfflineCondition_,"F&amp;B Venues",IF(_xll.EVDES(H80,$B$1)="#NODATA","",_xll.EVDES(H80,$B$1)))</f>
        <v>F&amp;B Venues</v>
      </c>
      <c r="O80" s="216">
        <v>3955.74</v>
      </c>
      <c r="P80" s="216">
        <v>7175.85</v>
      </c>
      <c r="Q80" s="216">
        <v>9259.07</v>
      </c>
      <c r="R80" s="216">
        <v>9291.89</v>
      </c>
      <c r="S80" s="216">
        <v>9385.5</v>
      </c>
      <c r="T80" s="216">
        <v>9431.32</v>
      </c>
      <c r="U80" s="216">
        <v>13899.04</v>
      </c>
      <c r="V80" s="216">
        <v>1585.14</v>
      </c>
      <c r="W80" s="216">
        <v>4990.75</v>
      </c>
      <c r="X80" s="216">
        <v>6263.5</v>
      </c>
      <c r="Y80" s="216">
        <v>11719.99</v>
      </c>
      <c r="Z80" s="216">
        <v>11539.17</v>
      </c>
      <c r="AA80" s="251">
        <f t="shared" si="23"/>
        <v>98496.960000000006</v>
      </c>
      <c r="AB80" s="218">
        <f t="shared" si="24"/>
        <v>0.13177835956485953</v>
      </c>
      <c r="AC80" s="140"/>
      <c r="AD80" s="216">
        <v>76221.555428571693</v>
      </c>
      <c r="AE80" s="218">
        <f t="shared" si="25"/>
        <v>9.4336226676108262E-2</v>
      </c>
      <c r="AF80" s="233">
        <f t="shared" si="26"/>
        <v>22275.404571428313</v>
      </c>
      <c r="AG80" s="216">
        <v>62938.59</v>
      </c>
      <c r="AH80" s="218">
        <f t="shared" si="27"/>
        <v>0.24467465006542685</v>
      </c>
      <c r="AI80" s="233">
        <f t="shared" si="28"/>
        <v>35558.37000000001</v>
      </c>
      <c r="AJ80" s="221">
        <f t="shared" si="29"/>
        <v>5.4928039259424493</v>
      </c>
      <c r="AK80" s="222">
        <f t="shared" si="30"/>
        <v>3.6375658790002716</v>
      </c>
      <c r="AL80" s="224">
        <f t="shared" si="31"/>
        <v>8.9452231381466731</v>
      </c>
      <c r="AM80" s="425" t="str">
        <f t="shared" si="32"/>
        <v>3.74 pts.</v>
      </c>
      <c r="AN80" s="426" t="str">
        <f t="shared" si="33"/>
        <v>-11.29 pts.</v>
      </c>
      <c r="AO80" s="11"/>
    </row>
    <row r="81" spans="1:41" x14ac:dyDescent="0.35">
      <c r="A81" s="11"/>
      <c r="B81" s="11"/>
      <c r="C81" s="11"/>
      <c r="D81" s="11"/>
      <c r="E81" s="11"/>
      <c r="F81" s="11"/>
      <c r="G81" s="11"/>
      <c r="H81" s="88" t="s">
        <v>848</v>
      </c>
      <c r="I81" s="188" t="str">
        <f>IF(_epmOfflineCondition_,"T2",_xll.EVPRO($B$1,$H81,"STYLE"))</f>
        <v>T2</v>
      </c>
      <c r="J81" s="188" t="str">
        <f>IF(_epmOfflineCondition_,"Y",_xll.EVPRO($B$1,$H81,"CALC"))</f>
        <v>Y</v>
      </c>
      <c r="K81" s="189" t="str">
        <f t="shared" si="22"/>
        <v/>
      </c>
      <c r="L81" s="190" t="str">
        <f>IF(_epmOfflineCondition_,"",_xll.EVPRO($B$1,H81,"JDEID"))</f>
        <v/>
      </c>
      <c r="M81" s="190" t="str">
        <f>IF(_epmOfflineCondition_,"",IF(AND(I81="N",J81="N"),_xll.EVPRO($B$1,H81,"PSFTID"),""))</f>
        <v/>
      </c>
      <c r="N81" s="190" t="str">
        <f>IF(_epmOfflineCondition_,"Total Salaries and Wages",IF(_xll.EVDES(H81,$B$1)="#NODATA","",_xll.EVDES(H81,$B$1)))</f>
        <v>Total Salaries and Wages</v>
      </c>
      <c r="O81" s="225">
        <v>16875.650000000001</v>
      </c>
      <c r="P81" s="225">
        <v>27282.28</v>
      </c>
      <c r="Q81" s="225">
        <v>32463.47</v>
      </c>
      <c r="R81" s="225">
        <v>29655.16</v>
      </c>
      <c r="S81" s="225">
        <v>38775.879999999997</v>
      </c>
      <c r="T81" s="225">
        <v>30769.38</v>
      </c>
      <c r="U81" s="225">
        <v>38750.230000000003</v>
      </c>
      <c r="V81" s="225">
        <v>19932.349999999999</v>
      </c>
      <c r="W81" s="225">
        <v>47739.47</v>
      </c>
      <c r="X81" s="225">
        <v>25842.39</v>
      </c>
      <c r="Y81" s="225">
        <v>41104.42</v>
      </c>
      <c r="Z81" s="225">
        <v>37938.43</v>
      </c>
      <c r="AA81" s="225">
        <f t="shared" si="23"/>
        <v>387129.11</v>
      </c>
      <c r="AB81" s="226">
        <f t="shared" si="24"/>
        <v>0.51793719375302594</v>
      </c>
      <c r="AC81" s="227"/>
      <c r="AD81" s="225">
        <v>360829.445497245</v>
      </c>
      <c r="AE81" s="226">
        <f t="shared" si="25"/>
        <v>0.44658349164418792</v>
      </c>
      <c r="AF81" s="228">
        <f t="shared" si="26"/>
        <v>26299.664502754982</v>
      </c>
      <c r="AG81" s="225">
        <v>219487.79</v>
      </c>
      <c r="AH81" s="226">
        <f t="shared" si="27"/>
        <v>0.85326185750084171</v>
      </c>
      <c r="AI81" s="228">
        <f t="shared" si="28"/>
        <v>167641.31999999998</v>
      </c>
      <c r="AJ81" s="229">
        <f t="shared" si="29"/>
        <v>21.588730202989069</v>
      </c>
      <c r="AK81" s="230">
        <f t="shared" si="30"/>
        <v>17.220074711140832</v>
      </c>
      <c r="AL81" s="232">
        <f t="shared" si="31"/>
        <v>31.194967310972146</v>
      </c>
      <c r="AM81" s="427" t="str">
        <f t="shared" si="32"/>
        <v>7.14 pts.</v>
      </c>
      <c r="AN81" s="428" t="str">
        <f t="shared" si="33"/>
        <v>-33.53 pts.</v>
      </c>
      <c r="AO81" s="11"/>
    </row>
    <row r="82" spans="1:41" x14ac:dyDescent="0.35">
      <c r="A82" s="62" t="s">
        <v>0</v>
      </c>
      <c r="B82" s="63" t="s">
        <v>1</v>
      </c>
      <c r="C82" s="11"/>
      <c r="D82" s="11"/>
      <c r="E82" s="11"/>
      <c r="F82" s="11"/>
      <c r="G82" s="11"/>
      <c r="H82" s="88" t="s">
        <v>866</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IF(_epmOfflineCondition_,"Service Charge Distribution",IF(_xll.EVDES(H82,$B$1)="#NODATA","",_xll.EVDES(H82,$B$1)))</f>
        <v>Service Charge Distribution</v>
      </c>
      <c r="O82" s="216">
        <v>4029.82</v>
      </c>
      <c r="P82" s="216">
        <v>8439.33</v>
      </c>
      <c r="Q82" s="216">
        <v>10422.68</v>
      </c>
      <c r="R82" s="216">
        <v>11420.29</v>
      </c>
      <c r="S82" s="216">
        <v>9559.35</v>
      </c>
      <c r="T82" s="216">
        <v>9101.64</v>
      </c>
      <c r="U82" s="216">
        <v>10813.34</v>
      </c>
      <c r="V82" s="216">
        <v>7438.93</v>
      </c>
      <c r="W82" s="216">
        <v>5967.43</v>
      </c>
      <c r="X82" s="216">
        <v>8543.1200000000008</v>
      </c>
      <c r="Y82" s="216">
        <v>10534.29</v>
      </c>
      <c r="Z82" s="216">
        <v>17374.509999999998</v>
      </c>
      <c r="AA82" s="216">
        <f t="shared" si="23"/>
        <v>113644.73</v>
      </c>
      <c r="AB82" s="218">
        <f t="shared" si="24"/>
        <v>0.15204444982455678</v>
      </c>
      <c r="AC82" s="140"/>
      <c r="AD82" s="216">
        <v>129004.82249999999</v>
      </c>
      <c r="AE82" s="218">
        <f t="shared" si="25"/>
        <v>0.15966386554621848</v>
      </c>
      <c r="AF82" s="233">
        <f t="shared" si="26"/>
        <v>-15360.092499999999</v>
      </c>
      <c r="AG82" s="216">
        <v>33834.97</v>
      </c>
      <c r="AH82" s="218">
        <f t="shared" si="27"/>
        <v>0.13153391972594583</v>
      </c>
      <c r="AI82" s="233">
        <f t="shared" si="28"/>
        <v>79809.759999999995</v>
      </c>
      <c r="AJ82" s="234">
        <f t="shared" si="29"/>
        <v>6.3375379210350209</v>
      </c>
      <c r="AK82" s="235">
        <f t="shared" si="30"/>
        <v>6.1565726114345711</v>
      </c>
      <c r="AL82" s="237">
        <f t="shared" si="31"/>
        <v>4.8088359863558843</v>
      </c>
      <c r="AM82" s="429" t="str">
        <f t="shared" si="32"/>
        <v>-0.76 pts.</v>
      </c>
      <c r="AN82" s="430" t="str">
        <f t="shared" si="33"/>
        <v>2.05 pts.</v>
      </c>
      <c r="AO82" s="11"/>
    </row>
    <row r="83" spans="1:41" x14ac:dyDescent="0.35">
      <c r="A83" s="65" t="s">
        <v>2</v>
      </c>
      <c r="B83" s="66" t="str">
        <f>IF(_epmOfflineCondition_,"'Venue1'!$B$2:$B$10",_xll.EVRNG($B$2:$B$10))</f>
        <v>'Venue1'!$B$2:$B$10</v>
      </c>
      <c r="C83" s="11"/>
      <c r="D83" s="11"/>
      <c r="E83" s="11"/>
      <c r="F83" s="11"/>
      <c r="G83" s="11"/>
      <c r="H83" s="88" t="s">
        <v>867</v>
      </c>
      <c r="I83" s="122" t="str">
        <f>IF(_epmOfflineCondition_,"T3",_xll.EVPRO($B$1,$H83,"STYLE"))</f>
        <v>T3</v>
      </c>
      <c r="J83" s="122" t="str">
        <f>IF(_epmOfflineCondition_,"Y",_xll.EVPRO($B$1,$H83,"CALC"))</f>
        <v>Y</v>
      </c>
      <c r="K83" s="179" t="str">
        <f t="shared" si="22"/>
        <v>&gt;</v>
      </c>
      <c r="L83" s="90" t="str">
        <f>IF(_epmOfflineCondition_,"",_xll.EVPRO($B$1,H83,"JDEID"))</f>
        <v/>
      </c>
      <c r="M83" s="90" t="str">
        <f>IF(_epmOfflineCondition_,"",IF(AND(I83="N",J83="N"),_xll.EVPRO($B$1,H83,"PSFTID"),""))</f>
        <v/>
      </c>
      <c r="N83" s="90" t="str">
        <f>IF(_epmOfflineCondition_,"Contracted &amp; Leased Labor",IF(_xll.EVDES(H83,$B$1)="#NODATA","",_xll.EVDES(H83,$B$1)))</f>
        <v>Contracted &amp; Leased Labor</v>
      </c>
      <c r="O83" s="216">
        <v>2407.25</v>
      </c>
      <c r="P83" s="216">
        <v>10328</v>
      </c>
      <c r="Q83" s="216">
        <v>9839.27</v>
      </c>
      <c r="R83" s="216">
        <v>39465.410000000003</v>
      </c>
      <c r="S83" s="216">
        <v>24087.32</v>
      </c>
      <c r="T83" s="216">
        <v>21239.88</v>
      </c>
      <c r="U83" s="216">
        <v>31334.65</v>
      </c>
      <c r="V83" s="216">
        <v>38300.839999999997</v>
      </c>
      <c r="W83" s="216">
        <v>39249.65</v>
      </c>
      <c r="X83" s="216">
        <v>25735.29</v>
      </c>
      <c r="Y83" s="216">
        <v>31977.62</v>
      </c>
      <c r="Z83" s="216">
        <v>40641.519999999997</v>
      </c>
      <c r="AA83" s="251">
        <f t="shared" si="23"/>
        <v>314606.7</v>
      </c>
      <c r="AB83" s="218">
        <f t="shared" si="24"/>
        <v>0.42090999391365874</v>
      </c>
      <c r="AC83" s="140"/>
      <c r="AD83" s="216"/>
      <c r="AE83" s="218" t="str">
        <f t="shared" si="25"/>
        <v/>
      </c>
      <c r="AF83" s="233">
        <f t="shared" si="26"/>
        <v>314606.7</v>
      </c>
      <c r="AG83" s="216">
        <v>81812.62</v>
      </c>
      <c r="AH83" s="218">
        <f t="shared" si="27"/>
        <v>0.31804770601686094</v>
      </c>
      <c r="AI83" s="233">
        <f t="shared" si="28"/>
        <v>232794.08000000002</v>
      </c>
      <c r="AJ83" s="212">
        <f t="shared" si="29"/>
        <v>17.544428953825562</v>
      </c>
      <c r="AK83" s="213">
        <f t="shared" si="30"/>
        <v>0</v>
      </c>
      <c r="AL83" s="215">
        <f t="shared" si="31"/>
        <v>11.62771745309835</v>
      </c>
      <c r="AM83" s="423">
        <f t="shared" si="32"/>
        <v>0</v>
      </c>
      <c r="AN83" s="424" t="str">
        <f t="shared" si="33"/>
        <v>10.29 pts.</v>
      </c>
      <c r="AO83" s="11"/>
    </row>
    <row r="84" spans="1:41" x14ac:dyDescent="0.35">
      <c r="A84" s="65" t="s">
        <v>3</v>
      </c>
      <c r="B84" s="66" t="str">
        <f>IF(_epmOfflineCondition_,"'Venue1'!$O$16:$AN$18",_xll.EVRNG($O$16:$AN$18))</f>
        <v>'Venue1'!$O$16:$AN$18</v>
      </c>
      <c r="C84" s="11"/>
      <c r="D84" s="11"/>
      <c r="E84" s="11"/>
      <c r="F84" s="11"/>
      <c r="G84" s="11"/>
      <c r="H84" s="88" t="s">
        <v>849</v>
      </c>
      <c r="I84" s="122" t="str">
        <f>IF(_epmOfflineCondition_,"T3",_xll.EVPRO($B$1,$H84,"STYLE"))</f>
        <v>T3</v>
      </c>
      <c r="J84" s="122" t="str">
        <f>IF(_epmOfflineCondition_,"Y",_xll.EVPRO($B$1,$H84,"CALC"))</f>
        <v>Y</v>
      </c>
      <c r="K84" s="179" t="str">
        <f t="shared" si="22"/>
        <v>&gt;</v>
      </c>
      <c r="L84" s="90" t="str">
        <f>IF(_epmOfflineCondition_,"",_xll.EVPRO($B$1,H84,"JDEID"))</f>
        <v/>
      </c>
      <c r="M84" s="90" t="str">
        <f>IF(_epmOfflineCondition_,"",IF(AND(I84="N",J84="N"),_xll.EVPRO($B$1,H84,"PSFTID"),""))</f>
        <v/>
      </c>
      <c r="N84" s="90" t="str">
        <f>IF(_epmOfflineCondition_,"Bonuses &amp; Incentives",IF(_xll.EVDES(H84,$B$1)="#NODATA","",_xll.EVDES(H84,$B$1)))</f>
        <v>Bonuses &amp; Incentives</v>
      </c>
      <c r="O84" s="216">
        <v>860.03</v>
      </c>
      <c r="P84" s="216">
        <v>1643.47</v>
      </c>
      <c r="Q84" s="216">
        <v>1643.47</v>
      </c>
      <c r="R84" s="216">
        <v>-1970.17</v>
      </c>
      <c r="S84" s="216">
        <v>1843.47</v>
      </c>
      <c r="T84" s="216">
        <v>714.27</v>
      </c>
      <c r="U84" s="216">
        <v>2417.54</v>
      </c>
      <c r="V84" s="216">
        <v>2279.89</v>
      </c>
      <c r="W84" s="216">
        <v>2963.17</v>
      </c>
      <c r="X84" s="216">
        <v>3378.12</v>
      </c>
      <c r="Y84" s="216">
        <v>5432.46</v>
      </c>
      <c r="Z84" s="216">
        <v>1766.17</v>
      </c>
      <c r="AA84" s="251">
        <f t="shared" si="23"/>
        <v>22971.89</v>
      </c>
      <c r="AB84" s="218">
        <f t="shared" si="24"/>
        <v>3.0733922958682183E-2</v>
      </c>
      <c r="AC84" s="140"/>
      <c r="AD84" s="216">
        <v>25139.375928560599</v>
      </c>
      <c r="AE84" s="218">
        <f t="shared" si="25"/>
        <v>3.1113952644472195E-2</v>
      </c>
      <c r="AF84" s="233">
        <f t="shared" si="26"/>
        <v>-2167.4859285605999</v>
      </c>
      <c r="AG84" s="216">
        <v>1759.15</v>
      </c>
      <c r="AH84" s="218">
        <f t="shared" si="27"/>
        <v>6.8387202614897426E-3</v>
      </c>
      <c r="AI84" s="233">
        <f t="shared" si="28"/>
        <v>21212.739999999998</v>
      </c>
      <c r="AJ84" s="221">
        <f t="shared" si="29"/>
        <v>1.2810556546955163</v>
      </c>
      <c r="AK84" s="222">
        <f t="shared" si="30"/>
        <v>1.1997411438656389</v>
      </c>
      <c r="AL84" s="224">
        <f t="shared" si="31"/>
        <v>0.25002131893121093</v>
      </c>
      <c r="AM84" s="425" t="str">
        <f t="shared" si="32"/>
        <v>-0.04 pts.</v>
      </c>
      <c r="AN84" s="426" t="str">
        <f t="shared" si="33"/>
        <v>2.39 pts.</v>
      </c>
      <c r="AO84" s="11"/>
    </row>
    <row r="85" spans="1:41" x14ac:dyDescent="0.35">
      <c r="A85" s="65" t="s">
        <v>4</v>
      </c>
      <c r="B85" s="66" t="str">
        <f>IF(_epmOfflineCondition_,"'Venue1'!$H$76:$H$77,'Venue1'!$H$79:$H$90,'Venue1'!$H$93:$H$115",_xll.EVRNG(H76:H77,H79:H90,H93:H115))</f>
        <v>'Venue1'!$H$76:$H$77,'Venue1'!$H$79:$H$90,'Venue1'!$H$93:$H$115</v>
      </c>
      <c r="C85" s="11"/>
      <c r="D85" s="11"/>
      <c r="E85" s="11"/>
      <c r="F85" s="11"/>
      <c r="G85" s="11"/>
      <c r="H85" s="88" t="s">
        <v>850</v>
      </c>
      <c r="I85" s="188" t="str">
        <f>IF(_epmOfflineCondition_,"T2",_xll.EVPRO($B$1,$H85,"STYLE"))</f>
        <v>T2</v>
      </c>
      <c r="J85" s="188" t="str">
        <f>IF(_epmOfflineCondition_,"Y",_xll.EVPRO($B$1,$H85,"CALC"))</f>
        <v>Y</v>
      </c>
      <c r="K85" s="189" t="str">
        <f t="shared" si="22"/>
        <v/>
      </c>
      <c r="L85" s="190" t="str">
        <f>IF(_epmOfflineCondition_,"",_xll.EVPRO($B$1,H85,"JDEID"))</f>
        <v/>
      </c>
      <c r="M85" s="190" t="str">
        <f>IF(_epmOfflineCondition_,"",IF(AND(I85="N",J85="N"),_xll.EVPRO($B$1,H85,"PSFTID"),""))</f>
        <v/>
      </c>
      <c r="N85" s="190" t="str">
        <f>IF(_epmOfflineCondition_,"Total Labor Expense",IF(_xll.EVDES(H85,$B$1)="#NODATA","",_xll.EVDES(H85,$B$1)))</f>
        <v>Total Labor Expense</v>
      </c>
      <c r="O85" s="225">
        <v>24172.75</v>
      </c>
      <c r="P85" s="225">
        <v>47693.08</v>
      </c>
      <c r="Q85" s="225">
        <v>54368.89</v>
      </c>
      <c r="R85" s="225">
        <v>78570.69</v>
      </c>
      <c r="S85" s="225">
        <v>74266.02</v>
      </c>
      <c r="T85" s="225">
        <v>61825.17</v>
      </c>
      <c r="U85" s="225">
        <v>83315.759999999995</v>
      </c>
      <c r="V85" s="225">
        <v>67952.009999999995</v>
      </c>
      <c r="W85" s="225">
        <v>95919.72</v>
      </c>
      <c r="X85" s="225">
        <v>63498.92</v>
      </c>
      <c r="Y85" s="225">
        <v>89048.79</v>
      </c>
      <c r="Z85" s="225">
        <v>97720.63</v>
      </c>
      <c r="AA85" s="225">
        <f t="shared" si="23"/>
        <v>838352.43</v>
      </c>
      <c r="AB85" s="226">
        <f t="shared" si="24"/>
        <v>1.1216255604499237</v>
      </c>
      <c r="AC85" s="227"/>
      <c r="AD85" s="225">
        <v>514973.64392580598</v>
      </c>
      <c r="AE85" s="226">
        <f t="shared" si="25"/>
        <v>0.63736130983487904</v>
      </c>
      <c r="AF85" s="228">
        <f t="shared" si="26"/>
        <v>323378.78607419407</v>
      </c>
      <c r="AG85" s="225">
        <v>336894.53</v>
      </c>
      <c r="AH85" s="226">
        <f t="shared" si="27"/>
        <v>1.3096822035051383</v>
      </c>
      <c r="AI85" s="228">
        <f t="shared" si="28"/>
        <v>501457.9</v>
      </c>
      <c r="AJ85" s="229">
        <f t="shared" si="29"/>
        <v>46.751752732545171</v>
      </c>
      <c r="AK85" s="230">
        <f t="shared" si="30"/>
        <v>24.57638846644106</v>
      </c>
      <c r="AL85" s="232">
        <f t="shared" si="31"/>
        <v>47.881542069357593</v>
      </c>
      <c r="AM85" s="427" t="str">
        <f t="shared" si="32"/>
        <v>48.43 pts.</v>
      </c>
      <c r="AN85" s="428" t="str">
        <f t="shared" si="33"/>
        <v>-18.81 pts.</v>
      </c>
      <c r="AO85" s="11"/>
    </row>
    <row r="86" spans="1:41" x14ac:dyDescent="0.35">
      <c r="A86" s="65" t="s">
        <v>5</v>
      </c>
      <c r="B86" s="66"/>
      <c r="C86" s="11"/>
      <c r="D86" s="11"/>
      <c r="E86" s="11"/>
      <c r="F86" s="11"/>
      <c r="G86" s="11"/>
      <c r="H86" s="88" t="s">
        <v>851</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IF(_epmOfflineCondition_,"Payroll Taxes",IF(_xll.EVDES(H86,$B$1)="#NODATA","",_xll.EVDES(H86,$B$1)))</f>
        <v>Payroll Taxes</v>
      </c>
      <c r="O86" s="216">
        <v>3562.54</v>
      </c>
      <c r="P86" s="216">
        <v>3315.03</v>
      </c>
      <c r="Q86" s="216">
        <v>4306.66</v>
      </c>
      <c r="R86" s="216">
        <v>4909.51</v>
      </c>
      <c r="S86" s="216">
        <v>5094.75</v>
      </c>
      <c r="T86" s="216">
        <v>4600.51</v>
      </c>
      <c r="U86" s="216">
        <v>5718.49</v>
      </c>
      <c r="V86" s="216">
        <v>3747.6</v>
      </c>
      <c r="W86" s="216">
        <v>4518.37</v>
      </c>
      <c r="X86" s="216">
        <v>4093.5</v>
      </c>
      <c r="Y86" s="216">
        <v>4844.28</v>
      </c>
      <c r="Z86" s="216">
        <v>4650.0200000000004</v>
      </c>
      <c r="AA86" s="216">
        <f t="shared" si="23"/>
        <v>53361.259999999995</v>
      </c>
      <c r="AB86" s="218">
        <f t="shared" si="24"/>
        <v>7.1391637946124978E-2</v>
      </c>
      <c r="AC86" s="140"/>
      <c r="AD86" s="216">
        <v>36243.785198951999</v>
      </c>
      <c r="AE86" s="218">
        <f t="shared" si="25"/>
        <v>4.4857414899287934E-2</v>
      </c>
      <c r="AF86" s="233">
        <f t="shared" si="26"/>
        <v>17117.474801047996</v>
      </c>
      <c r="AG86" s="216">
        <v>31954.78</v>
      </c>
      <c r="AH86" s="218">
        <f t="shared" si="27"/>
        <v>0.12422465476931881</v>
      </c>
      <c r="AI86" s="233">
        <f t="shared" si="28"/>
        <v>21406.479999999996</v>
      </c>
      <c r="AJ86" s="234">
        <f t="shared" si="29"/>
        <v>2.9757561900513045</v>
      </c>
      <c r="AK86" s="235">
        <f t="shared" si="30"/>
        <v>1.729683363508256</v>
      </c>
      <c r="AL86" s="237">
        <f t="shared" si="31"/>
        <v>4.5416117111995451</v>
      </c>
      <c r="AM86" s="429" t="str">
        <f t="shared" si="32"/>
        <v>2.65 pts.</v>
      </c>
      <c r="AN86" s="430" t="str">
        <f t="shared" si="33"/>
        <v>-5.28 pts.</v>
      </c>
      <c r="AO86" s="11"/>
    </row>
    <row r="87" spans="1:41" x14ac:dyDescent="0.35">
      <c r="A87" s="65" t="s">
        <v>6</v>
      </c>
      <c r="B87" s="66"/>
      <c r="C87" s="11"/>
      <c r="D87" s="11"/>
      <c r="E87" s="11"/>
      <c r="F87" s="11"/>
      <c r="G87" s="11"/>
      <c r="H87" s="88" t="s">
        <v>852</v>
      </c>
      <c r="I87" s="122" t="str">
        <f>IF(_epmOfflineCondition_,"T3",_xll.EVPRO($B$1,$H87,"STYLE"))</f>
        <v>T3</v>
      </c>
      <c r="J87" s="122" t="str">
        <f>IF(_epmOfflineCondition_,"Y",_xll.EVPRO($B$1,$H87,"CALC"))</f>
        <v>Y</v>
      </c>
      <c r="K87" s="179" t="str">
        <f t="shared" si="22"/>
        <v>&gt;</v>
      </c>
      <c r="L87" s="90" t="str">
        <f>IF(_epmOfflineCondition_,"",_xll.EVPRO($B$1,H87,"JDEID"))</f>
        <v/>
      </c>
      <c r="M87" s="90" t="str">
        <f>IF(_epmOfflineCondition_,"",IF(AND(I87="N",J87="N"),_xll.EVPRO($B$1,H87,"PSFTID"),""))</f>
        <v/>
      </c>
      <c r="N87" s="90" t="str">
        <f>IF(_epmOfflineCondition_,"Supplemental Pay",IF(_xll.EVDES(H87,$B$1)="#NODATA","",_xll.EVDES(H87,$B$1)))</f>
        <v>Supplemental Pay</v>
      </c>
      <c r="O87" s="216">
        <v>891.15</v>
      </c>
      <c r="P87" s="216">
        <v>1083.8399999999999</v>
      </c>
      <c r="Q87" s="216">
        <v>698.52</v>
      </c>
      <c r="R87" s="216">
        <v>374.43</v>
      </c>
      <c r="S87" s="216">
        <v>1634</v>
      </c>
      <c r="T87" s="216">
        <v>3651.93</v>
      </c>
      <c r="U87" s="216">
        <v>557.30999999999995</v>
      </c>
      <c r="V87" s="216">
        <v>1228.51</v>
      </c>
      <c r="W87" s="216">
        <v>547.1</v>
      </c>
      <c r="X87" s="216">
        <v>1734.56</v>
      </c>
      <c r="Y87" s="216">
        <v>1290.6400000000001</v>
      </c>
      <c r="Z87" s="216">
        <v>2861.04</v>
      </c>
      <c r="AA87" s="251">
        <f t="shared" si="23"/>
        <v>16553.03</v>
      </c>
      <c r="AB87" s="218">
        <f t="shared" si="24"/>
        <v>2.2146177295501366E-2</v>
      </c>
      <c r="AC87" s="140"/>
      <c r="AD87" s="216">
        <v>11907.110208821099</v>
      </c>
      <c r="AE87" s="218">
        <f t="shared" si="25"/>
        <v>1.4736931585834456E-2</v>
      </c>
      <c r="AF87" s="233">
        <f t="shared" si="26"/>
        <v>4645.9197911788997</v>
      </c>
      <c r="AG87" s="216">
        <v>4317.1000000000004</v>
      </c>
      <c r="AH87" s="218">
        <f t="shared" si="27"/>
        <v>1.6782786709989124E-2</v>
      </c>
      <c r="AI87" s="233">
        <f t="shared" si="28"/>
        <v>12235.929999999998</v>
      </c>
      <c r="AJ87" s="212">
        <f t="shared" si="29"/>
        <v>0.92310004461298234</v>
      </c>
      <c r="AK87" s="213">
        <f t="shared" si="30"/>
        <v>0.56824998610389899</v>
      </c>
      <c r="AL87" s="215">
        <f t="shared" si="31"/>
        <v>0.61357305287094943</v>
      </c>
      <c r="AM87" s="423" t="str">
        <f t="shared" si="32"/>
        <v>0.74 pts.</v>
      </c>
      <c r="AN87" s="424" t="str">
        <f t="shared" si="33"/>
        <v>0.54 pts.</v>
      </c>
      <c r="AO87" s="11"/>
    </row>
    <row r="88" spans="1:41" x14ac:dyDescent="0.35">
      <c r="A88" s="65" t="s">
        <v>7</v>
      </c>
      <c r="B88" s="66" t="str">
        <f>IF(_epmOfflineCondition_,"'Venue1'!$A$102:$F$108",_xll.EVRNG(A102:F108))</f>
        <v>'Venue1'!$A$102:$F$108</v>
      </c>
      <c r="C88" s="11"/>
      <c r="D88" s="11"/>
      <c r="E88" s="11"/>
      <c r="F88" s="11"/>
      <c r="G88" s="11"/>
      <c r="H88" s="88" t="s">
        <v>853</v>
      </c>
      <c r="I88" s="122" t="str">
        <f>IF(_epmOfflineCondition_,"T3",_xll.EVPRO($B$1,$H88,"STYLE"))</f>
        <v>T3</v>
      </c>
      <c r="J88" s="122" t="str">
        <f>IF(_epmOfflineCondition_,"Y",_xll.EVPRO($B$1,$H88,"CALC"))</f>
        <v>Y</v>
      </c>
      <c r="K88" s="179" t="str">
        <f t="shared" si="22"/>
        <v>&gt;</v>
      </c>
      <c r="L88" s="90" t="str">
        <f>IF(_epmOfflineCondition_,"",_xll.EVPRO($B$1,H88,"JDEID"))</f>
        <v/>
      </c>
      <c r="M88" s="90" t="str">
        <f>IF(_epmOfflineCondition_,"",IF(AND(I88="N",J88="N"),_xll.EVPRO($B$1,H88,"PSFTID"),""))</f>
        <v/>
      </c>
      <c r="N88" s="90" t="str">
        <f>IF(_epmOfflineCondition_,"Employee Benefits",IF(_xll.EVDES(H88,$B$1)="#NODATA","",_xll.EVDES(H88,$B$1)))</f>
        <v>Employee Benefits</v>
      </c>
      <c r="O88" s="216">
        <v>3405.02</v>
      </c>
      <c r="P88" s="216">
        <v>2439.66</v>
      </c>
      <c r="Q88" s="216">
        <v>2758.02</v>
      </c>
      <c r="R88" s="216">
        <v>2780.99</v>
      </c>
      <c r="S88" s="216">
        <v>2062.41</v>
      </c>
      <c r="T88" s="216">
        <v>1307.5</v>
      </c>
      <c r="U88" s="216">
        <v>2896.48</v>
      </c>
      <c r="V88" s="216">
        <v>2217.5300000000002</v>
      </c>
      <c r="W88" s="216">
        <v>2205.3000000000002</v>
      </c>
      <c r="X88" s="216">
        <v>3439.37</v>
      </c>
      <c r="Y88" s="216">
        <v>3063.45</v>
      </c>
      <c r="Z88" s="216">
        <v>2107.62</v>
      </c>
      <c r="AA88" s="251">
        <f t="shared" si="23"/>
        <v>30683.35</v>
      </c>
      <c r="AB88" s="218">
        <f t="shared" si="24"/>
        <v>4.1051028670879099E-2</v>
      </c>
      <c r="AC88" s="140"/>
      <c r="AD88" s="216">
        <v>26890.9211046239</v>
      </c>
      <c r="AE88" s="218">
        <f t="shared" si="25"/>
        <v>3.3281766746841107E-2</v>
      </c>
      <c r="AF88" s="233">
        <f t="shared" si="26"/>
        <v>3792.4288953760988</v>
      </c>
      <c r="AG88" s="216">
        <v>29467.17</v>
      </c>
      <c r="AH88" s="218">
        <f t="shared" si="27"/>
        <v>0.1145540360559149</v>
      </c>
      <c r="AI88" s="233">
        <f t="shared" si="28"/>
        <v>1216.1800000000003</v>
      </c>
      <c r="AJ88" s="221">
        <f t="shared" si="29"/>
        <v>1.711094691055097</v>
      </c>
      <c r="AK88" s="222">
        <f t="shared" si="30"/>
        <v>1.2833311589493128</v>
      </c>
      <c r="AL88" s="224">
        <f t="shared" si="31"/>
        <v>4.1880571347356454</v>
      </c>
      <c r="AM88" s="425" t="str">
        <f t="shared" si="32"/>
        <v>0.78 pts.</v>
      </c>
      <c r="AN88" s="426" t="str">
        <f t="shared" si="33"/>
        <v>-7.35 pts.</v>
      </c>
      <c r="AO88" s="11"/>
    </row>
    <row r="89" spans="1:41" x14ac:dyDescent="0.35">
      <c r="A89" s="65" t="s">
        <v>47</v>
      </c>
      <c r="B89" s="66" t="str">
        <f>IF(_epmOfflineCondition_,"'Venue1'!$A$125:$B$146",_xll.EVRNG($A$125:$B$146))</f>
        <v>'Venue1'!$A$125:$B$146</v>
      </c>
      <c r="C89" s="11"/>
      <c r="D89" s="11"/>
      <c r="E89" s="11"/>
      <c r="F89" s="11"/>
      <c r="G89" s="11"/>
      <c r="H89" s="88" t="s">
        <v>854</v>
      </c>
      <c r="I89" s="188" t="str">
        <f>IF(_epmOfflineCondition_,"T2",_xll.EVPRO($B$1,$H89,"STYLE"))</f>
        <v>T2</v>
      </c>
      <c r="J89" s="188" t="str">
        <f>IF(_epmOfflineCondition_,"Y",_xll.EVPRO($B$1,$H89,"CALC"))</f>
        <v>Y</v>
      </c>
      <c r="K89" s="189" t="str">
        <f t="shared" si="22"/>
        <v/>
      </c>
      <c r="L89" s="190" t="str">
        <f>IF(_epmOfflineCondition_,"",_xll.EVPRO($B$1,H89,"JDEID"))</f>
        <v/>
      </c>
      <c r="M89" s="190" t="str">
        <f>IF(_epmOfflineCondition_,"",IF(AND(I89="N",J89="N"),_xll.EVPRO($B$1,H89,"PSFTID"),""))</f>
        <v/>
      </c>
      <c r="N89" s="190" t="str">
        <f>IF(_epmOfflineCondition_,"Total Payroll Related",IF(_xll.EVDES(H89,$B$1)="#NODATA","",_xll.EVDES(H89,$B$1)))</f>
        <v>Total Payroll Related</v>
      </c>
      <c r="O89" s="238">
        <v>7858.71</v>
      </c>
      <c r="P89" s="238">
        <v>6838.53</v>
      </c>
      <c r="Q89" s="238">
        <v>7763.2</v>
      </c>
      <c r="R89" s="238">
        <v>8064.93</v>
      </c>
      <c r="S89" s="238">
        <v>8791.16</v>
      </c>
      <c r="T89" s="238">
        <v>9559.94</v>
      </c>
      <c r="U89" s="238">
        <v>9172.2800000000007</v>
      </c>
      <c r="V89" s="238">
        <v>7193.64</v>
      </c>
      <c r="W89" s="238">
        <v>7270.77</v>
      </c>
      <c r="X89" s="238">
        <v>9267.43</v>
      </c>
      <c r="Y89" s="238">
        <v>9198.3700000000008</v>
      </c>
      <c r="Z89" s="238">
        <v>9618.68</v>
      </c>
      <c r="AA89" s="238">
        <f t="shared" si="23"/>
        <v>100597.63999999998</v>
      </c>
      <c r="AB89" s="239">
        <f t="shared" si="24"/>
        <v>0.13458884391250545</v>
      </c>
      <c r="AC89" s="240"/>
      <c r="AD89" s="238">
        <v>75041.816512396996</v>
      </c>
      <c r="AE89" s="239">
        <f t="shared" si="25"/>
        <v>9.28761132319635E-2</v>
      </c>
      <c r="AF89" s="241">
        <f t="shared" si="26"/>
        <v>25555.823487602989</v>
      </c>
      <c r="AG89" s="238">
        <v>65739.05</v>
      </c>
      <c r="AH89" s="239">
        <f t="shared" si="27"/>
        <v>0.25556147753522285</v>
      </c>
      <c r="AI89" s="241">
        <f t="shared" si="28"/>
        <v>34858.589999999982</v>
      </c>
      <c r="AJ89" s="242">
        <f t="shared" si="29"/>
        <v>5.6099509257193834</v>
      </c>
      <c r="AK89" s="243">
        <f t="shared" si="30"/>
        <v>3.5812645085614676</v>
      </c>
      <c r="AL89" s="245">
        <f t="shared" si="31"/>
        <v>9.3432418988061396</v>
      </c>
      <c r="AM89" s="431" t="str">
        <f t="shared" si="32"/>
        <v>4.17 pts.</v>
      </c>
      <c r="AN89" s="432" t="str">
        <f t="shared" si="33"/>
        <v>-12.1 pts.</v>
      </c>
      <c r="AO89" s="11"/>
    </row>
    <row r="90" spans="1:41" x14ac:dyDescent="0.35">
      <c r="A90" s="65" t="s">
        <v>8</v>
      </c>
      <c r="B90" s="66"/>
      <c r="C90" s="11"/>
      <c r="D90" s="11"/>
      <c r="E90" s="11"/>
      <c r="F90" s="11"/>
      <c r="G90" s="11"/>
      <c r="H90" s="88" t="s">
        <v>76</v>
      </c>
      <c r="I90" s="188" t="str">
        <f>IF(_epmOfflineCondition_,"T1",_xll.EVPRO($B$1,$H90,"STYLE"))</f>
        <v>T1</v>
      </c>
      <c r="J90" s="188" t="str">
        <f>IF(_epmOfflineCondition_,"Y",_xll.EVPRO($B$1,$H90,"CALC"))</f>
        <v>Y</v>
      </c>
      <c r="K90" s="189" t="str">
        <f t="shared" si="22"/>
        <v/>
      </c>
      <c r="L90" s="190" t="str">
        <f>IF(_epmOfflineCondition_,"600000",_xll.EVPRO($B$1,H90,"JDEID"))</f>
        <v>600000</v>
      </c>
      <c r="M90" s="190" t="str">
        <f>IF(_epmOfflineCondition_,"",IF(AND(I90="N",J90="N"),_xll.EVPRO($B$1,H90,"PSFTID"),""))</f>
        <v/>
      </c>
      <c r="N90" s="190" t="str">
        <f>IF(_epmOfflineCondition_,"Total Labor &amp; Related Exp",IF(_xll.EVDES(H90,$B$1)="#NODATA","",_xll.EVDES(H90,$B$1)))</f>
        <v>Total Labor &amp; Related Exp</v>
      </c>
      <c r="O90" s="238">
        <v>32031.46</v>
      </c>
      <c r="P90" s="238">
        <v>54531.61</v>
      </c>
      <c r="Q90" s="238">
        <v>62132.09</v>
      </c>
      <c r="R90" s="238">
        <v>86635.62</v>
      </c>
      <c r="S90" s="238">
        <v>83057.179999999993</v>
      </c>
      <c r="T90" s="238">
        <v>71385.11</v>
      </c>
      <c r="U90" s="238">
        <v>92488.04</v>
      </c>
      <c r="V90" s="238">
        <v>75145.649999999994</v>
      </c>
      <c r="W90" s="238">
        <v>103190.49</v>
      </c>
      <c r="X90" s="238">
        <v>72766.350000000006</v>
      </c>
      <c r="Y90" s="238">
        <v>98247.16</v>
      </c>
      <c r="Z90" s="238">
        <v>107339.31</v>
      </c>
      <c r="AA90" s="238">
        <f t="shared" si="23"/>
        <v>938950.06999999983</v>
      </c>
      <c r="AB90" s="239">
        <f t="shared" si="24"/>
        <v>1.2562144043624288</v>
      </c>
      <c r="AC90" s="240"/>
      <c r="AD90" s="238">
        <v>590015.46043820295</v>
      </c>
      <c r="AE90" s="239">
        <f t="shared" si="25"/>
        <v>0.73023742306684258</v>
      </c>
      <c r="AF90" s="241">
        <f t="shared" si="26"/>
        <v>348934.60956179688</v>
      </c>
      <c r="AG90" s="238">
        <v>402633.58</v>
      </c>
      <c r="AH90" s="239">
        <f t="shared" si="27"/>
        <v>1.5652436810403612</v>
      </c>
      <c r="AI90" s="241">
        <f t="shared" si="28"/>
        <v>536316.48999999976</v>
      </c>
      <c r="AJ90" s="246">
        <f t="shared" si="29"/>
        <v>52.361703658264545</v>
      </c>
      <c r="AK90" s="247">
        <f t="shared" si="30"/>
        <v>28.157652975002527</v>
      </c>
      <c r="AL90" s="249">
        <f t="shared" si="31"/>
        <v>57.224783968163734</v>
      </c>
      <c r="AM90" s="433" t="str">
        <f t="shared" si="32"/>
        <v>52.6 pts.</v>
      </c>
      <c r="AN90" s="434" t="str">
        <f t="shared" si="33"/>
        <v>-30.9 pts.</v>
      </c>
      <c r="AO90" s="11"/>
    </row>
    <row r="91" spans="1:41" x14ac:dyDescent="0.35">
      <c r="A91" s="11"/>
      <c r="B91" s="11"/>
      <c r="C91" s="11"/>
      <c r="D91" s="11"/>
      <c r="E91" s="11"/>
      <c r="F91" s="11"/>
      <c r="G91" s="76"/>
      <c r="H91" s="11"/>
      <c r="I91" s="59"/>
      <c r="J91" s="59"/>
      <c r="K91" s="11"/>
      <c r="L91" s="11"/>
      <c r="M91" s="11"/>
      <c r="N91" s="11"/>
      <c r="O91" s="129"/>
      <c r="P91" s="130"/>
      <c r="Q91" s="130"/>
      <c r="R91" s="130"/>
      <c r="S91" s="130"/>
      <c r="T91" s="130"/>
      <c r="U91" s="130"/>
      <c r="V91" s="130"/>
      <c r="W91" s="130"/>
      <c r="X91" s="130"/>
      <c r="Y91" s="130"/>
      <c r="Z91" s="130"/>
      <c r="AA91" s="130"/>
      <c r="AB91" s="131"/>
      <c r="AC91" s="11"/>
      <c r="AD91" s="129"/>
      <c r="AE91" s="130"/>
      <c r="AF91" s="131"/>
      <c r="AG91" s="129"/>
      <c r="AH91" s="130"/>
      <c r="AI91" s="131"/>
      <c r="AJ91" s="11"/>
      <c r="AK91" s="11"/>
      <c r="AL91" s="11"/>
      <c r="AM91" s="11"/>
      <c r="AN91" s="11"/>
      <c r="AO91" s="11"/>
    </row>
    <row r="92" spans="1:41" x14ac:dyDescent="0.35">
      <c r="A92" s="62" t="s">
        <v>9</v>
      </c>
      <c r="B92" s="63" t="s">
        <v>10</v>
      </c>
      <c r="C92" s="11"/>
      <c r="D92" s="11"/>
      <c r="E92" s="11"/>
      <c r="F92" s="11"/>
      <c r="G92" s="11"/>
      <c r="H92" s="11" t="s">
        <v>82</v>
      </c>
      <c r="I92" s="59" t="str">
        <f>IF(_epmOfflineCondition_,"B1",_xll.EVPRO($B$1,$H92,"STYLE"))</f>
        <v>B1</v>
      </c>
      <c r="J92" s="59" t="str">
        <f>IF(_epmOfflineCondition_,"Y",_xll.EVPRO($B$1,$H92,"CALC"))</f>
        <v>Y</v>
      </c>
      <c r="K92" s="11"/>
      <c r="L92" s="11"/>
      <c r="M92" s="11"/>
      <c r="N92" s="105" t="str">
        <f>IF(_epmOfflineCondition_,"Other Expenses",IF(_xll.EVDES(H92,$B$1)="#NODATA","",_xll.EVDES(H92,$B$1)))</f>
        <v>Other Expenses</v>
      </c>
      <c r="O92" s="119"/>
      <c r="P92" s="120"/>
      <c r="Q92" s="120"/>
      <c r="R92" s="120"/>
      <c r="S92" s="120"/>
      <c r="T92" s="120"/>
      <c r="U92" s="120"/>
      <c r="V92" s="120"/>
      <c r="W92" s="120"/>
      <c r="X92" s="120"/>
      <c r="Y92" s="120"/>
      <c r="Z92" s="120"/>
      <c r="AA92" s="120"/>
      <c r="AB92" s="121"/>
      <c r="AC92" s="11"/>
      <c r="AD92" s="119"/>
      <c r="AE92" s="120"/>
      <c r="AF92" s="121"/>
      <c r="AG92" s="119"/>
      <c r="AH92" s="120"/>
      <c r="AI92" s="121"/>
      <c r="AJ92" s="11"/>
      <c r="AK92" s="11"/>
      <c r="AL92" s="11"/>
      <c r="AM92" s="11"/>
      <c r="AN92" s="11"/>
      <c r="AO92" s="11"/>
    </row>
    <row r="93" spans="1:41" x14ac:dyDescent="0.35">
      <c r="A93" s="65" t="s">
        <v>11</v>
      </c>
      <c r="B93" s="66" t="s">
        <v>21</v>
      </c>
      <c r="C93" s="11"/>
      <c r="D93" s="11"/>
      <c r="E93" s="11"/>
      <c r="F93" s="11"/>
      <c r="G93" s="11"/>
      <c r="H93" s="88" t="s">
        <v>828</v>
      </c>
      <c r="I93" s="122" t="str">
        <f>IF(_epmOfflineCondition_,"N",_xll.EVPRO($B$1,$H93,"STYLE"))</f>
        <v>N</v>
      </c>
      <c r="J93" s="122" t="str">
        <f>IF(_epmOfflineCondition_,"N",_xll.EVPRO($B$1,$H93,"CALC"))</f>
        <v>N</v>
      </c>
      <c r="K93" s="179" t="str">
        <f t="shared" ref="K93:K115" si="34">IF(AND(I93&lt;&gt;"B1",J93="Y"),"&gt;","")</f>
        <v/>
      </c>
      <c r="L93" s="90" t="str">
        <f>IF(_epmOfflineCondition_,"701100",_xll.EVPRO($B$1,H93,"JDEID"))</f>
        <v>701100</v>
      </c>
      <c r="M93" s="90" t="str">
        <f>IF(_epmOfflineCondition_,"690015",IF(AND(I93="N",J93="N"),_xll.EVPRO($B$1,H93,"PSFTID"),""))</f>
        <v>690015</v>
      </c>
      <c r="N93" s="90" t="str">
        <f>IF(_epmOfflineCondition_,"Dues and Subscriptions",IF(_xll.EVDES(H93,$B$1)="#NODATA","",_xll.EVDES(H93,$B$1)))</f>
        <v>Dues and Subscriptions</v>
      </c>
      <c r="O93" s="143">
        <v>81</v>
      </c>
      <c r="P93" s="143">
        <v>-81</v>
      </c>
      <c r="Q93" s="143">
        <v>461.4</v>
      </c>
      <c r="R93" s="143"/>
      <c r="S93" s="143"/>
      <c r="T93" s="143">
        <v>405.2</v>
      </c>
      <c r="U93" s="143"/>
      <c r="V93" s="143"/>
      <c r="W93" s="143"/>
      <c r="X93" s="143">
        <v>414</v>
      </c>
      <c r="Y93" s="143">
        <v>414</v>
      </c>
      <c r="Z93" s="143">
        <v>467.05</v>
      </c>
      <c r="AA93" s="250">
        <f t="shared" ref="AA93:AA116" si="35">IF($I93="B1","",SUM(O93:Z93))</f>
        <v>2161.65</v>
      </c>
      <c r="AB93" s="144">
        <f t="shared" ref="AB93:AB116" si="36">IF(AA93=0,"",IFERROR(AA93/AA$19,""))</f>
        <v>2.8920556629704977E-3</v>
      </c>
      <c r="AC93" s="140"/>
      <c r="AD93" s="143">
        <v>972</v>
      </c>
      <c r="AE93" s="144">
        <f t="shared" ref="AE93:AE116" si="37">IF(AD93=0,"",IFERROR(AD93/AD$19,""))</f>
        <v>1.2030036885708234E-3</v>
      </c>
      <c r="AF93" s="145">
        <f t="shared" ref="AF93:AF116" si="38">IF(AND($AA93="",AD93=""),"",$AA93-AD93)</f>
        <v>1189.6500000000001</v>
      </c>
      <c r="AG93" s="143">
        <v>90</v>
      </c>
      <c r="AH93" s="144">
        <f t="shared" ref="AH93:AH116" si="39">IF(AG93=0,"",IFERROR(AG93/AG$19,""))</f>
        <v>3.498762604292282E-4</v>
      </c>
      <c r="AI93" s="145">
        <f t="shared" ref="AI93:AI116" si="40">IF(AND($AA93="",AG93=""),"",$AA93-AG93)</f>
        <v>2071.65</v>
      </c>
      <c r="AJ93" s="212">
        <f t="shared" ref="AJ93:AJ116" si="41">IFERROR(AA93/AA$20,0)</f>
        <v>0.12054706669640866</v>
      </c>
      <c r="AK93" s="213">
        <f t="shared" ref="AK93:AK116" si="42">IFERROR(AD93/AD$20,0)</f>
        <v>4.6387324615825141E-2</v>
      </c>
      <c r="AL93" s="215">
        <f t="shared" ref="AL93:AL116" si="43">IFERROR(AG93/AG$20,0)</f>
        <v>1.2791358726549176E-2</v>
      </c>
      <c r="AM93" s="423" t="str">
        <f t="shared" ref="AM93:AM116" si="44">+IFERROR(ROUND(($AB93-AE93)*100,2)&amp;" pts.",0)</f>
        <v>0.17 pts.</v>
      </c>
      <c r="AN93" s="424" t="str">
        <f t="shared" ref="AN93:AN116" si="45">+IFERROR(ROUND(($AB93-AH93)*100,2)&amp;" pts.",0)</f>
        <v>0.25 pts.</v>
      </c>
      <c r="AO93" s="11"/>
    </row>
    <row r="94" spans="1:41" x14ac:dyDescent="0.35">
      <c r="A94" s="65" t="s">
        <v>12</v>
      </c>
      <c r="B94" s="66" t="s">
        <v>22</v>
      </c>
      <c r="C94" s="11"/>
      <c r="D94" s="11"/>
      <c r="E94" s="11"/>
      <c r="F94" s="11"/>
      <c r="G94" s="11"/>
      <c r="H94" s="88" t="s">
        <v>856</v>
      </c>
      <c r="I94" s="122" t="str">
        <f>IF(_epmOfflineCondition_,"N",_xll.EVPRO($B$1,$H94,"STYLE"))</f>
        <v>N</v>
      </c>
      <c r="J94" s="122" t="str">
        <f>IF(_epmOfflineCondition_,"N",_xll.EVPRO($B$1,$H94,"CALC"))</f>
        <v>N</v>
      </c>
      <c r="K94" s="179" t="str">
        <f t="shared" si="34"/>
        <v/>
      </c>
      <c r="L94" s="90" t="str">
        <f>IF(_epmOfflineCondition_,"701300",_xll.EVPRO($B$1,H94,"JDEID"))</f>
        <v>701300</v>
      </c>
      <c r="M94" s="90" t="str">
        <f>IF(_epmOfflineCondition_,"690205",IF(AND(I94="N",J94="N"),_xll.EVPRO($B$1,H94,"PSFTID"),""))</f>
        <v>690205</v>
      </c>
      <c r="N94" s="90" t="str">
        <f>IF(_epmOfflineCondition_,"Printing &amp; Stationery",IF(_xll.EVDES(H94,$B$1)="#NODATA","",_xll.EVDES(H94,$B$1)))</f>
        <v>Printing &amp; Stationery</v>
      </c>
      <c r="O94" s="143"/>
      <c r="P94" s="143"/>
      <c r="Q94" s="143"/>
      <c r="R94" s="143"/>
      <c r="S94" s="143">
        <v>255.93</v>
      </c>
      <c r="T94" s="143">
        <v>-76.86</v>
      </c>
      <c r="U94" s="143">
        <v>347.91</v>
      </c>
      <c r="V94" s="143">
        <v>122.58</v>
      </c>
      <c r="W94" s="143">
        <v>490</v>
      </c>
      <c r="X94" s="143">
        <v>74.569999999999993</v>
      </c>
      <c r="Y94" s="143">
        <v>320.36</v>
      </c>
      <c r="Z94" s="143">
        <v>-35</v>
      </c>
      <c r="AA94" s="250">
        <f t="shared" si="35"/>
        <v>1499.4899999999998</v>
      </c>
      <c r="AB94" s="144">
        <f t="shared" si="36"/>
        <v>2.0061566609153336E-3</v>
      </c>
      <c r="AC94" s="140"/>
      <c r="AD94" s="143">
        <v>4190.8</v>
      </c>
      <c r="AE94" s="144">
        <f t="shared" si="37"/>
        <v>5.1867776317516536E-3</v>
      </c>
      <c r="AF94" s="145">
        <f t="shared" si="38"/>
        <v>-2691.3100000000004</v>
      </c>
      <c r="AG94" s="143">
        <v>549.19000000000005</v>
      </c>
      <c r="AH94" s="144">
        <f t="shared" si="39"/>
        <v>2.1349838162791983E-3</v>
      </c>
      <c r="AI94" s="145">
        <f t="shared" si="40"/>
        <v>950.29999999999973</v>
      </c>
      <c r="AJ94" s="212">
        <f t="shared" si="41"/>
        <v>8.3620901182244023E-2</v>
      </c>
      <c r="AK94" s="213">
        <f t="shared" si="42"/>
        <v>0.2</v>
      </c>
      <c r="AL94" s="215">
        <f t="shared" si="43"/>
        <v>7.80542922114838E-2</v>
      </c>
      <c r="AM94" s="423" t="str">
        <f t="shared" si="44"/>
        <v>-0.32 pts.</v>
      </c>
      <c r="AN94" s="424" t="str">
        <f t="shared" si="45"/>
        <v>-0.01 pts.</v>
      </c>
      <c r="AO94" s="11"/>
    </row>
    <row r="95" spans="1:41" x14ac:dyDescent="0.35">
      <c r="A95" s="65" t="s">
        <v>13</v>
      </c>
      <c r="B95" s="66" t="s">
        <v>737</v>
      </c>
      <c r="C95" s="11"/>
      <c r="D95" s="11"/>
      <c r="E95" s="11"/>
      <c r="F95" s="11"/>
      <c r="G95" s="11"/>
      <c r="H95" s="88" t="s">
        <v>831</v>
      </c>
      <c r="I95" s="122" t="str">
        <f>IF(_epmOfflineCondition_,"T4",_xll.EVPRO($B$1,$H95,"STYLE"))</f>
        <v>T4</v>
      </c>
      <c r="J95" s="122" t="str">
        <f>IF(_epmOfflineCondition_,"Y",_xll.EVPRO($B$1,$H95,"CALC"))</f>
        <v>Y</v>
      </c>
      <c r="K95" s="179" t="str">
        <f t="shared" si="34"/>
        <v>&gt;</v>
      </c>
      <c r="L95" s="90" t="str">
        <f>IF(_epmOfflineCondition_,"701500",_xll.EVPRO($B$1,H95,"JDEID"))</f>
        <v>701500</v>
      </c>
      <c r="M95" s="90" t="str">
        <f>IF(_epmOfflineCondition_,"",IF(AND(I95="N",J95="N"),_xll.EVPRO($B$1,H95,"PSFTID"),""))</f>
        <v/>
      </c>
      <c r="N95" s="90" t="str">
        <f>IF(_epmOfflineCondition_,"Operating Supplies",IF(_xll.EVDES(H95,$B$1)="#NODATA","",_xll.EVDES(H95,$B$1)))</f>
        <v>Operating Supplies</v>
      </c>
      <c r="O95" s="143">
        <v>-14.52</v>
      </c>
      <c r="P95" s="143">
        <v>866.59</v>
      </c>
      <c r="Q95" s="143">
        <v>2044.46</v>
      </c>
      <c r="R95" s="143">
        <v>1894.32</v>
      </c>
      <c r="S95" s="143">
        <v>-122.77</v>
      </c>
      <c r="T95" s="143">
        <v>592.77</v>
      </c>
      <c r="U95" s="143">
        <v>2415</v>
      </c>
      <c r="V95" s="143">
        <v>1788.85</v>
      </c>
      <c r="W95" s="143">
        <v>2918.56</v>
      </c>
      <c r="X95" s="143">
        <v>1358.07</v>
      </c>
      <c r="Y95" s="143">
        <v>2118.5100000000002</v>
      </c>
      <c r="Z95" s="143">
        <v>2643.5</v>
      </c>
      <c r="AA95" s="250">
        <f t="shared" si="35"/>
        <v>18503.34</v>
      </c>
      <c r="AB95" s="144">
        <f t="shared" si="36"/>
        <v>2.4755482724246998E-2</v>
      </c>
      <c r="AC95" s="140"/>
      <c r="AD95" s="143">
        <v>14039.18</v>
      </c>
      <c r="AE95" s="144">
        <f t="shared" si="37"/>
        <v>1.7375705066368041E-2</v>
      </c>
      <c r="AF95" s="145">
        <f t="shared" si="38"/>
        <v>4464.16</v>
      </c>
      <c r="AG95" s="143">
        <v>5809.12</v>
      </c>
      <c r="AH95" s="144">
        <f t="shared" si="39"/>
        <v>2.2583035355384869E-2</v>
      </c>
      <c r="AI95" s="145">
        <f t="shared" si="40"/>
        <v>12694.220000000001</v>
      </c>
      <c r="AJ95" s="212">
        <f t="shared" si="41"/>
        <v>1.0318614766897167</v>
      </c>
      <c r="AK95" s="213">
        <f t="shared" si="42"/>
        <v>0.67</v>
      </c>
      <c r="AL95" s="215">
        <f t="shared" si="43"/>
        <v>0.82562819783968167</v>
      </c>
      <c r="AM95" s="423" t="str">
        <f t="shared" si="44"/>
        <v>0.74 pts.</v>
      </c>
      <c r="AN95" s="424" t="str">
        <f t="shared" si="45"/>
        <v>0.22 pts.</v>
      </c>
      <c r="AO95" s="11"/>
    </row>
    <row r="96" spans="1:41" x14ac:dyDescent="0.35">
      <c r="A96" s="65" t="s">
        <v>14</v>
      </c>
      <c r="B96" s="66"/>
      <c r="C96" s="11"/>
      <c r="D96" s="11"/>
      <c r="E96" s="11"/>
      <c r="F96" s="11"/>
      <c r="G96" s="11"/>
      <c r="H96" s="88" t="s">
        <v>857</v>
      </c>
      <c r="I96" s="122" t="str">
        <f>IF(_epmOfflineCondition_,"N",_xll.EVPRO($B$1,$H96,"STYLE"))</f>
        <v>N</v>
      </c>
      <c r="J96" s="122" t="str">
        <f>IF(_epmOfflineCondition_,"N",_xll.EVPRO($B$1,$H96,"CALC"))</f>
        <v>N</v>
      </c>
      <c r="K96" s="179" t="str">
        <f t="shared" si="34"/>
        <v/>
      </c>
      <c r="L96" s="90" t="str">
        <f>IF(_epmOfflineCondition_,"701600",_xll.EVPRO($B$1,H96,"JDEID"))</f>
        <v>701600</v>
      </c>
      <c r="M96" s="90" t="str">
        <f>IF(_epmOfflineCondition_,"590015",IF(AND(I96="N",J96="N"),_xll.EVPRO($B$1,H96,"PSFTID"),""))</f>
        <v>590015</v>
      </c>
      <c r="N96" s="90" t="str">
        <f>IF(_epmOfflineCondition_,"Cleaning Supplies",IF(_xll.EVDES(H96,$B$1)="#NODATA","",_xll.EVDES(H96,$B$1)))</f>
        <v>Cleaning Supplies</v>
      </c>
      <c r="O96" s="143">
        <v>664.85</v>
      </c>
      <c r="P96" s="143">
        <v>948.59</v>
      </c>
      <c r="Q96" s="143">
        <v>1711.3</v>
      </c>
      <c r="R96" s="143">
        <v>941.03</v>
      </c>
      <c r="S96" s="143">
        <v>1833.5</v>
      </c>
      <c r="T96" s="143">
        <v>793.67</v>
      </c>
      <c r="U96" s="143">
        <v>-581.48</v>
      </c>
      <c r="V96" s="143">
        <v>155.63</v>
      </c>
      <c r="W96" s="143">
        <v>-41.96</v>
      </c>
      <c r="X96" s="143">
        <v>236.99</v>
      </c>
      <c r="Y96" s="143">
        <v>869.99</v>
      </c>
      <c r="Z96" s="143">
        <v>1116.6500000000001</v>
      </c>
      <c r="AA96" s="250">
        <f t="shared" si="35"/>
        <v>8648.7599999999984</v>
      </c>
      <c r="AB96" s="144">
        <f t="shared" si="36"/>
        <v>1.1571112500022074E-2</v>
      </c>
      <c r="AC96" s="140"/>
      <c r="AD96" s="143">
        <v>10686.54</v>
      </c>
      <c r="AE96" s="144">
        <f t="shared" si="37"/>
        <v>1.3226282960966718E-2</v>
      </c>
      <c r="AF96" s="145">
        <f t="shared" si="38"/>
        <v>-2037.7800000000025</v>
      </c>
      <c r="AG96" s="143">
        <v>3267.16</v>
      </c>
      <c r="AH96" s="144">
        <f t="shared" si="39"/>
        <v>1.2701130255821747E-2</v>
      </c>
      <c r="AI96" s="145">
        <f t="shared" si="40"/>
        <v>5381.5999999999985</v>
      </c>
      <c r="AJ96" s="212">
        <f t="shared" si="41"/>
        <v>0.48230872183805479</v>
      </c>
      <c r="AK96" s="213">
        <f t="shared" si="42"/>
        <v>0.51</v>
      </c>
      <c r="AL96" s="215">
        <f t="shared" si="43"/>
        <v>0.46434906196702669</v>
      </c>
      <c r="AM96" s="423" t="str">
        <f t="shared" si="44"/>
        <v>-0.17 pts.</v>
      </c>
      <c r="AN96" s="424" t="str">
        <f t="shared" si="45"/>
        <v>-0.11 pts.</v>
      </c>
      <c r="AO96" s="11"/>
    </row>
    <row r="97" spans="1:41" x14ac:dyDescent="0.35">
      <c r="A97" s="65" t="s">
        <v>15</v>
      </c>
      <c r="B97" s="66"/>
      <c r="C97" s="11"/>
      <c r="D97" s="11"/>
      <c r="E97" s="11"/>
      <c r="F97" s="11"/>
      <c r="G97" s="11"/>
      <c r="H97" s="88" t="s">
        <v>858</v>
      </c>
      <c r="I97" s="122" t="str">
        <f>IF(_epmOfflineCondition_,"N",_xll.EVPRO($B$1,$H97,"STYLE"))</f>
        <v>N</v>
      </c>
      <c r="J97" s="122" t="str">
        <f>IF(_epmOfflineCondition_,"N",_xll.EVPRO($B$1,$H97,"CALC"))</f>
        <v>N</v>
      </c>
      <c r="K97" s="179" t="str">
        <f t="shared" si="34"/>
        <v/>
      </c>
      <c r="L97" s="90" t="str">
        <f>IF(_epmOfflineCondition_,"701700",_xll.EVPRO($B$1,H97,"JDEID"))</f>
        <v>701700</v>
      </c>
      <c r="M97" s="90" t="str">
        <f>IF(_epmOfflineCondition_,"590026",IF(AND(I97="N",J97="N"),_xll.EVPRO($B$1,H97,"PSFTID"),""))</f>
        <v>590026</v>
      </c>
      <c r="N97" s="90" t="str">
        <f>IF(_epmOfflineCondition_,"Dishwashing Supplies",IF(_xll.EVDES(H97,$B$1)="#NODATA","",_xll.EVDES(H97,$B$1)))</f>
        <v>Dishwashing Supplies</v>
      </c>
      <c r="O97" s="143">
        <v>622.77</v>
      </c>
      <c r="P97" s="143">
        <v>725.53</v>
      </c>
      <c r="Q97" s="143">
        <v>555.63</v>
      </c>
      <c r="R97" s="143">
        <v>535.34</v>
      </c>
      <c r="S97" s="143">
        <v>378.52</v>
      </c>
      <c r="T97" s="143">
        <v>563.32000000000005</v>
      </c>
      <c r="U97" s="143">
        <v>540.30999999999995</v>
      </c>
      <c r="V97" s="143">
        <v>488.7</v>
      </c>
      <c r="W97" s="143">
        <v>107.85</v>
      </c>
      <c r="X97" s="143">
        <v>616.03</v>
      </c>
      <c r="Y97" s="143">
        <v>719.94</v>
      </c>
      <c r="Z97" s="143">
        <v>630.39</v>
      </c>
      <c r="AA97" s="250">
        <f t="shared" si="35"/>
        <v>6484.3300000000008</v>
      </c>
      <c r="AB97" s="144">
        <f t="shared" si="36"/>
        <v>8.6753374954638765E-3</v>
      </c>
      <c r="AC97" s="140"/>
      <c r="AD97" s="143">
        <v>6914.82</v>
      </c>
      <c r="AE97" s="144">
        <f t="shared" si="37"/>
        <v>8.5581830923902279E-3</v>
      </c>
      <c r="AF97" s="145">
        <f t="shared" si="38"/>
        <v>-430.48999999999887</v>
      </c>
      <c r="AG97" s="143">
        <v>578.94000000000005</v>
      </c>
      <c r="AH97" s="144">
        <f t="shared" si="39"/>
        <v>2.2506373579210823E-3</v>
      </c>
      <c r="AI97" s="145">
        <f t="shared" si="40"/>
        <v>5905.3900000000012</v>
      </c>
      <c r="AJ97" s="212">
        <f t="shared" si="41"/>
        <v>0.36160662502788316</v>
      </c>
      <c r="AK97" s="213">
        <f t="shared" si="42"/>
        <v>0.32999999999999996</v>
      </c>
      <c r="AL97" s="215">
        <f t="shared" si="43"/>
        <v>8.228254690164867E-2</v>
      </c>
      <c r="AM97" s="423" t="str">
        <f t="shared" si="44"/>
        <v>0.01 pts.</v>
      </c>
      <c r="AN97" s="424" t="str">
        <f t="shared" si="45"/>
        <v>0.64 pts.</v>
      </c>
      <c r="AO97" s="11"/>
    </row>
    <row r="98" spans="1:41" x14ac:dyDescent="0.35">
      <c r="A98" s="65" t="s">
        <v>16</v>
      </c>
      <c r="B98" s="66" t="s">
        <v>78</v>
      </c>
      <c r="C98" s="11"/>
      <c r="D98" s="11"/>
      <c r="E98" s="11"/>
      <c r="F98" s="11"/>
      <c r="G98" s="11"/>
      <c r="H98" s="88" t="s">
        <v>859</v>
      </c>
      <c r="I98" s="122" t="str">
        <f>IF(_epmOfflineCondition_,"N",_xll.EVPRO($B$1,$H98,"STYLE"))</f>
        <v>N</v>
      </c>
      <c r="J98" s="122" t="str">
        <f>IF(_epmOfflineCondition_,"N",_xll.EVPRO($B$1,$H98,"CALC"))</f>
        <v>N</v>
      </c>
      <c r="K98" s="179" t="str">
        <f t="shared" si="34"/>
        <v/>
      </c>
      <c r="L98" s="90" t="str">
        <f>IF(_epmOfflineCondition_,"702000",_xll.EVPRO($B$1,H98,"JDEID"))</f>
        <v>702000</v>
      </c>
      <c r="M98" s="90" t="str">
        <f>IF(_epmOfflineCondition_,"590031",IF(AND(I98="N",J98="N"),_xll.EVPRO($B$1,H98,"PSFTID"),""))</f>
        <v>590031</v>
      </c>
      <c r="N98" s="90" t="str">
        <f>IF(_epmOfflineCondition_,"Paper and Plastics",IF(_xll.EVDES(H98,$B$1)="#NODATA","",_xll.EVDES(H98,$B$1)))</f>
        <v>Paper and Plastics</v>
      </c>
      <c r="O98" s="143">
        <v>1859.89</v>
      </c>
      <c r="P98" s="143">
        <v>566.20000000000005</v>
      </c>
      <c r="Q98" s="143">
        <v>2533.9699999999998</v>
      </c>
      <c r="R98" s="143">
        <v>1775.82</v>
      </c>
      <c r="S98" s="143">
        <v>2054.3200000000002</v>
      </c>
      <c r="T98" s="143">
        <v>2031.28</v>
      </c>
      <c r="U98" s="143">
        <v>2988.5</v>
      </c>
      <c r="V98" s="143">
        <v>311.41000000000003</v>
      </c>
      <c r="W98" s="143">
        <v>1560.78</v>
      </c>
      <c r="X98" s="143">
        <v>2129.4899999999998</v>
      </c>
      <c r="Y98" s="143">
        <v>1706.46</v>
      </c>
      <c r="Z98" s="143">
        <v>1715.89</v>
      </c>
      <c r="AA98" s="250">
        <f t="shared" si="35"/>
        <v>21234.01</v>
      </c>
      <c r="AB98" s="144">
        <f t="shared" si="36"/>
        <v>2.8408826067158034E-2</v>
      </c>
      <c r="AC98" s="140"/>
      <c r="AD98" s="143">
        <v>13962.52</v>
      </c>
      <c r="AE98" s="144">
        <f t="shared" si="37"/>
        <v>1.7280826195209768E-2</v>
      </c>
      <c r="AF98" s="145">
        <f t="shared" si="38"/>
        <v>7271.489999999998</v>
      </c>
      <c r="AG98" s="143">
        <v>4428.38</v>
      </c>
      <c r="AH98" s="144">
        <f t="shared" si="39"/>
        <v>1.7215389268439841E-2</v>
      </c>
      <c r="AI98" s="145">
        <f t="shared" si="40"/>
        <v>16805.629999999997</v>
      </c>
      <c r="AJ98" s="212">
        <f t="shared" si="41"/>
        <v>1.1841406424269461</v>
      </c>
      <c r="AK98" s="213">
        <f t="shared" si="42"/>
        <v>0.66634150997422925</v>
      </c>
      <c r="AL98" s="215">
        <f t="shared" si="43"/>
        <v>0.62938885730528715</v>
      </c>
      <c r="AM98" s="423" t="str">
        <f t="shared" si="44"/>
        <v>1.11 pts.</v>
      </c>
      <c r="AN98" s="424" t="str">
        <f t="shared" si="45"/>
        <v>1.12 pts.</v>
      </c>
      <c r="AO98" s="11"/>
    </row>
    <row r="99" spans="1:41" x14ac:dyDescent="0.35">
      <c r="A99" s="65" t="s">
        <v>17</v>
      </c>
      <c r="B99" s="66"/>
      <c r="C99" s="11"/>
      <c r="D99" s="11"/>
      <c r="E99" s="11"/>
      <c r="F99" s="11"/>
      <c r="G99" s="11"/>
      <c r="H99" s="88" t="s">
        <v>871</v>
      </c>
      <c r="I99" s="122" t="str">
        <f>IF(_epmOfflineCondition_,"N",_xll.EVPRO($B$1,$H99,"STYLE"))</f>
        <v>N</v>
      </c>
      <c r="J99" s="122" t="str">
        <f>IF(_epmOfflineCondition_,"N",_xll.EVPRO($B$1,$H99,"CALC"))</f>
        <v>N</v>
      </c>
      <c r="K99" s="179" t="str">
        <f t="shared" si="34"/>
        <v/>
      </c>
      <c r="L99" s="90" t="str">
        <f>IF(_epmOfflineCondition_,"702300",_xll.EVPRO($B$1,H99,"JDEID"))</f>
        <v>702300</v>
      </c>
      <c r="M99" s="90" t="str">
        <f>IF(_epmOfflineCondition_,"590040",IF(AND(I99="N",J99="N"),_xll.EVPRO($B$1,H99,"PSFTID"),""))</f>
        <v>590040</v>
      </c>
      <c r="N99" s="90" t="str">
        <f>IF(_epmOfflineCondition_,"Decorations",IF(_xll.EVDES(H99,$B$1)="#NODATA","",_xll.EVDES(H99,$B$1)))</f>
        <v>Decorations</v>
      </c>
      <c r="O99" s="143"/>
      <c r="P99" s="143">
        <v>268.26</v>
      </c>
      <c r="Q99" s="143"/>
      <c r="R99" s="143">
        <v>576.87</v>
      </c>
      <c r="S99" s="143"/>
      <c r="T99" s="143"/>
      <c r="U99" s="143">
        <v>426.07</v>
      </c>
      <c r="V99" s="143">
        <v>171.16</v>
      </c>
      <c r="W99" s="143"/>
      <c r="X99" s="143"/>
      <c r="Y99" s="143">
        <v>446.66</v>
      </c>
      <c r="Z99" s="143">
        <v>85.13</v>
      </c>
      <c r="AA99" s="250">
        <f t="shared" si="35"/>
        <v>1974.15</v>
      </c>
      <c r="AB99" s="144">
        <f t="shared" si="36"/>
        <v>2.6412007896991687E-3</v>
      </c>
      <c r="AC99" s="140"/>
      <c r="AD99" s="143">
        <v>2280</v>
      </c>
      <c r="AE99" s="144">
        <f t="shared" si="37"/>
        <v>2.821860504055018E-3</v>
      </c>
      <c r="AF99" s="145">
        <f t="shared" si="38"/>
        <v>-305.84999999999991</v>
      </c>
      <c r="AG99" s="143">
        <v>899.46</v>
      </c>
      <c r="AH99" s="144">
        <f t="shared" si="39"/>
        <v>3.4966633467297067E-3</v>
      </c>
      <c r="AI99" s="145">
        <f t="shared" si="40"/>
        <v>1074.69</v>
      </c>
      <c r="AJ99" s="212">
        <f t="shared" si="41"/>
        <v>0.11009089895159492</v>
      </c>
      <c r="AK99" s="213">
        <f t="shared" si="42"/>
        <v>0.10880977379020712</v>
      </c>
      <c r="AL99" s="215">
        <f t="shared" si="43"/>
        <v>0.12783683911313246</v>
      </c>
      <c r="AM99" s="423" t="str">
        <f t="shared" si="44"/>
        <v>-0.02 pts.</v>
      </c>
      <c r="AN99" s="424" t="str">
        <f t="shared" si="45"/>
        <v>-0.09 pts.</v>
      </c>
      <c r="AO99" s="11"/>
    </row>
    <row r="100" spans="1:41" x14ac:dyDescent="0.35">
      <c r="A100" s="11"/>
      <c r="B100" s="11"/>
      <c r="C100" s="11"/>
      <c r="D100" s="11"/>
      <c r="E100" s="11"/>
      <c r="F100" s="11"/>
      <c r="G100" s="11"/>
      <c r="H100" s="88" t="s">
        <v>872</v>
      </c>
      <c r="I100" s="122" t="str">
        <f>IF(_epmOfflineCondition_,"T4",_xll.EVPRO($B$1,$H100,"STYLE"))</f>
        <v>T4</v>
      </c>
      <c r="J100" s="122" t="str">
        <f>IF(_epmOfflineCondition_,"Y",_xll.EVPRO($B$1,$H100,"CALC"))</f>
        <v>Y</v>
      </c>
      <c r="K100" s="179" t="str">
        <f t="shared" si="34"/>
        <v>&gt;</v>
      </c>
      <c r="L100" s="90" t="str">
        <f>IF(_epmOfflineCondition_,"702500",_xll.EVPRO($B$1,H100,"JDEID"))</f>
        <v>702500</v>
      </c>
      <c r="M100" s="90" t="str">
        <f>IF(_epmOfflineCondition_,"",IF(AND(I100="N",J100="N"),_xll.EVPRO($B$1,H100,"PSFTID"),""))</f>
        <v/>
      </c>
      <c r="N100" s="90" t="str">
        <f>IF(_epmOfflineCondition_,"Laundry &amp; Dry Cleaning",IF(_xll.EVDES(H100,$B$1)="#NODATA","",_xll.EVDES(H100,$B$1)))</f>
        <v>Laundry &amp; Dry Cleaning</v>
      </c>
      <c r="O100" s="143"/>
      <c r="P100" s="143"/>
      <c r="Q100" s="143"/>
      <c r="R100" s="143"/>
      <c r="S100" s="143"/>
      <c r="T100" s="143"/>
      <c r="U100" s="143"/>
      <c r="V100" s="143"/>
      <c r="W100" s="143"/>
      <c r="X100" s="143"/>
      <c r="Y100" s="143">
        <v>26</v>
      </c>
      <c r="Z100" s="143">
        <v>-26</v>
      </c>
      <c r="AA100" s="250">
        <f t="shared" si="35"/>
        <v>0</v>
      </c>
      <c r="AB100" s="144" t="str">
        <f t="shared" si="36"/>
        <v/>
      </c>
      <c r="AC100" s="140"/>
      <c r="AD100" s="143"/>
      <c r="AE100" s="144" t="str">
        <f t="shared" si="37"/>
        <v/>
      </c>
      <c r="AF100" s="145">
        <f t="shared" si="38"/>
        <v>0</v>
      </c>
      <c r="AG100" s="143"/>
      <c r="AH100" s="144" t="str">
        <f t="shared" si="39"/>
        <v/>
      </c>
      <c r="AI100" s="145">
        <f t="shared" si="40"/>
        <v>0</v>
      </c>
      <c r="AJ100" s="212">
        <f t="shared" si="41"/>
        <v>0</v>
      </c>
      <c r="AK100" s="213">
        <f t="shared" si="42"/>
        <v>0</v>
      </c>
      <c r="AL100" s="215">
        <f t="shared" si="43"/>
        <v>0</v>
      </c>
      <c r="AM100" s="423">
        <f t="shared" si="44"/>
        <v>0</v>
      </c>
      <c r="AN100" s="424">
        <f t="shared" si="45"/>
        <v>0</v>
      </c>
      <c r="AO100" s="11"/>
    </row>
    <row r="101" spans="1:41" x14ac:dyDescent="0.35">
      <c r="A101" s="97" t="s">
        <v>92</v>
      </c>
      <c r="B101" s="98" t="s">
        <v>93</v>
      </c>
      <c r="C101" s="98" t="s">
        <v>94</v>
      </c>
      <c r="D101" s="98" t="s">
        <v>95</v>
      </c>
      <c r="E101" s="98" t="s">
        <v>96</v>
      </c>
      <c r="F101" s="99" t="s">
        <v>97</v>
      </c>
      <c r="G101" s="11"/>
      <c r="H101" s="88" t="s">
        <v>873</v>
      </c>
      <c r="I101" s="122" t="str">
        <f>IF(_epmOfflineCondition_,"N",_xll.EVPRO($B$1,$H101,"STYLE"))</f>
        <v>N</v>
      </c>
      <c r="J101" s="122" t="str">
        <f>IF(_epmOfflineCondition_,"N",_xll.EVPRO($B$1,$H101,"CALC"))</f>
        <v>N</v>
      </c>
      <c r="K101" s="179" t="str">
        <f t="shared" si="34"/>
        <v/>
      </c>
      <c r="L101" s="90" t="str">
        <f>IF(_epmOfflineCondition_,"702580",_xll.EVPRO($B$1,H101,"JDEID"))</f>
        <v>702580</v>
      </c>
      <c r="M101" s="90" t="str">
        <f>IF(_epmOfflineCondition_,"590166",IF(AND(I101="N",J101="N"),_xll.EVPRO($B$1,H101,"PSFTID"),""))</f>
        <v>590166</v>
      </c>
      <c r="N101" s="90" t="str">
        <f>IF(_epmOfflineCondition_,"Reservations",IF(_xll.EVDES(H101,$B$1)="#NODATA","",_xll.EVDES(H101,$B$1)))</f>
        <v>Reservations</v>
      </c>
      <c r="O101" s="143"/>
      <c r="P101" s="143">
        <v>593.55999999999995</v>
      </c>
      <c r="Q101" s="143">
        <v>121.75</v>
      </c>
      <c r="R101" s="143">
        <v>556.44000000000005</v>
      </c>
      <c r="S101" s="143"/>
      <c r="T101" s="143">
        <v>307</v>
      </c>
      <c r="U101" s="143">
        <v>390.6</v>
      </c>
      <c r="V101" s="143">
        <v>407.6</v>
      </c>
      <c r="W101" s="143">
        <v>479</v>
      </c>
      <c r="X101" s="143">
        <v>210</v>
      </c>
      <c r="Y101" s="143">
        <v>418</v>
      </c>
      <c r="Z101" s="143">
        <v>251</v>
      </c>
      <c r="AA101" s="250">
        <f t="shared" si="35"/>
        <v>3734.95</v>
      </c>
      <c r="AB101" s="144">
        <f t="shared" si="36"/>
        <v>4.996962180932E-3</v>
      </c>
      <c r="AC101" s="140"/>
      <c r="AD101" s="143">
        <v>450</v>
      </c>
      <c r="AE101" s="144">
        <f t="shared" si="37"/>
        <v>5.56946152116122E-4</v>
      </c>
      <c r="AF101" s="145">
        <f t="shared" si="38"/>
        <v>3284.95</v>
      </c>
      <c r="AG101" s="143">
        <v>0</v>
      </c>
      <c r="AH101" s="144" t="str">
        <f t="shared" si="39"/>
        <v/>
      </c>
      <c r="AI101" s="145">
        <f t="shared" si="40"/>
        <v>3734.95</v>
      </c>
      <c r="AJ101" s="212">
        <f t="shared" si="41"/>
        <v>0.2082840731652911</v>
      </c>
      <c r="AK101" s="213">
        <f t="shared" si="42"/>
        <v>2.1475613248067196E-2</v>
      </c>
      <c r="AL101" s="215">
        <f t="shared" si="43"/>
        <v>0</v>
      </c>
      <c r="AM101" s="423" t="str">
        <f t="shared" si="44"/>
        <v>0.44 pts.</v>
      </c>
      <c r="AN101" s="424">
        <f t="shared" si="45"/>
        <v>0</v>
      </c>
      <c r="AO101" s="11"/>
    </row>
    <row r="102" spans="1:41" x14ac:dyDescent="0.35">
      <c r="A102" s="11"/>
      <c r="B102" s="11"/>
      <c r="C102" s="11"/>
      <c r="D102" s="11"/>
      <c r="E102" s="11"/>
      <c r="F102" s="11"/>
      <c r="G102" s="11"/>
      <c r="H102" s="88" t="s">
        <v>832</v>
      </c>
      <c r="I102" s="122" t="str">
        <f>IF(_epmOfflineCondition_,"T4",_xll.EVPRO($B$1,$H102,"STYLE"))</f>
        <v>T4</v>
      </c>
      <c r="J102" s="122" t="str">
        <f>IF(_epmOfflineCondition_,"Y",_xll.EVPRO($B$1,$H102,"CALC"))</f>
        <v>Y</v>
      </c>
      <c r="K102" s="179" t="str">
        <f t="shared" si="34"/>
        <v>&gt;</v>
      </c>
      <c r="L102" s="90" t="str">
        <f>IF(_epmOfflineCondition_,"",_xll.EVPRO($B$1,H102,"JDEID"))</f>
        <v/>
      </c>
      <c r="M102" s="90" t="str">
        <f>IF(_epmOfflineCondition_,"",IF(AND(I102="N",J102="N"),_xll.EVPRO($B$1,H102,"PSFTID"),""))</f>
        <v/>
      </c>
      <c r="N102" s="90" t="str">
        <f>IF(_epmOfflineCondition_,"Contract Services",IF(_xll.EVDES(H102,$B$1)="#NODATA","",_xll.EVDES(H102,$B$1)))</f>
        <v>Contract Services</v>
      </c>
      <c r="O102" s="143"/>
      <c r="P102" s="143">
        <v>2105.7399999999998</v>
      </c>
      <c r="Q102" s="143">
        <v>4365</v>
      </c>
      <c r="R102" s="143">
        <v>2705.63</v>
      </c>
      <c r="S102" s="143">
        <v>2825</v>
      </c>
      <c r="T102" s="143">
        <v>2675</v>
      </c>
      <c r="U102" s="143">
        <v>3815</v>
      </c>
      <c r="V102" s="143">
        <v>2675</v>
      </c>
      <c r="W102" s="143">
        <v>2825</v>
      </c>
      <c r="X102" s="143">
        <v>11314.72</v>
      </c>
      <c r="Y102" s="143">
        <v>6840.75</v>
      </c>
      <c r="Z102" s="143">
        <v>9228.08</v>
      </c>
      <c r="AA102" s="250">
        <f t="shared" si="35"/>
        <v>51374.92</v>
      </c>
      <c r="AB102" s="144">
        <f t="shared" si="36"/>
        <v>6.8734128244931539E-2</v>
      </c>
      <c r="AC102" s="140"/>
      <c r="AD102" s="143">
        <v>29100</v>
      </c>
      <c r="AE102" s="144">
        <f t="shared" si="37"/>
        <v>3.6015851170175889E-2</v>
      </c>
      <c r="AF102" s="145">
        <f t="shared" si="38"/>
        <v>22274.92</v>
      </c>
      <c r="AG102" s="143">
        <v>20947.45</v>
      </c>
      <c r="AH102" s="144">
        <f t="shared" si="39"/>
        <v>8.1433505239202633E-2</v>
      </c>
      <c r="AI102" s="145">
        <f t="shared" si="40"/>
        <v>30427.469999999998</v>
      </c>
      <c r="AJ102" s="212">
        <f t="shared" si="41"/>
        <v>2.864985500780727</v>
      </c>
      <c r="AK102" s="213">
        <f t="shared" si="42"/>
        <v>1.388756323375012</v>
      </c>
      <c r="AL102" s="215">
        <f t="shared" si="43"/>
        <v>2.977181637293917</v>
      </c>
      <c r="AM102" s="423" t="str">
        <f t="shared" si="44"/>
        <v>3.27 pts.</v>
      </c>
      <c r="AN102" s="424" t="str">
        <f t="shared" si="45"/>
        <v>-1.27 pts.</v>
      </c>
      <c r="AO102" s="11"/>
    </row>
    <row r="103" spans="1:41" x14ac:dyDescent="0.35">
      <c r="A103" s="11" t="s">
        <v>108</v>
      </c>
      <c r="B103" s="11"/>
      <c r="C103" s="104" t="s">
        <v>101</v>
      </c>
      <c r="D103" s="11" t="s">
        <v>106</v>
      </c>
      <c r="E103" s="11"/>
      <c r="F103" s="11" t="s">
        <v>98</v>
      </c>
      <c r="G103" s="11"/>
      <c r="H103" s="88" t="s">
        <v>833</v>
      </c>
      <c r="I103" s="122" t="str">
        <f>IF(_epmOfflineCondition_,"T4",_xll.EVPRO($B$1,$H103,"STYLE"))</f>
        <v>T4</v>
      </c>
      <c r="J103" s="122" t="str">
        <f>IF(_epmOfflineCondition_,"Y",_xll.EVPRO($B$1,$H103,"CALC"))</f>
        <v>Y</v>
      </c>
      <c r="K103" s="179" t="str">
        <f t="shared" si="34"/>
        <v>&gt;</v>
      </c>
      <c r="L103" s="90" t="str">
        <f>IF(_epmOfflineCondition_,"",_xll.EVPRO($B$1,H103,"JDEID"))</f>
        <v/>
      </c>
      <c r="M103" s="90" t="str">
        <f>IF(_epmOfflineCondition_,"",IF(AND(I103="N",J103="N"),_xll.EVPRO($B$1,H103,"PSFTID"),""))</f>
        <v/>
      </c>
      <c r="N103" s="90" t="str">
        <f>IF(_epmOfflineCondition_,"Travel - Other",IF(_xll.EVDES(H103,$B$1)="#NODATA","",_xll.EVDES(H103,$B$1)))</f>
        <v>Travel - Other</v>
      </c>
      <c r="O103" s="143"/>
      <c r="P103" s="143">
        <v>80</v>
      </c>
      <c r="Q103" s="143">
        <v>38.14</v>
      </c>
      <c r="R103" s="143">
        <v>80.64</v>
      </c>
      <c r="S103" s="143">
        <v>674.66</v>
      </c>
      <c r="T103" s="143">
        <v>387.98</v>
      </c>
      <c r="U103" s="143">
        <v>-67.86</v>
      </c>
      <c r="V103" s="143">
        <v>-19.149999999999999</v>
      </c>
      <c r="W103" s="143"/>
      <c r="X103" s="143">
        <v>30</v>
      </c>
      <c r="Y103" s="143"/>
      <c r="Z103" s="143">
        <v>388.88</v>
      </c>
      <c r="AA103" s="250">
        <f t="shared" si="35"/>
        <v>1593.29</v>
      </c>
      <c r="AB103" s="144">
        <f t="shared" si="36"/>
        <v>2.1316509921838703E-3</v>
      </c>
      <c r="AC103" s="140"/>
      <c r="AD103" s="143"/>
      <c r="AE103" s="144" t="str">
        <f t="shared" si="37"/>
        <v/>
      </c>
      <c r="AF103" s="145">
        <f t="shared" si="38"/>
        <v>1593.29</v>
      </c>
      <c r="AG103" s="143">
        <v>1800.35</v>
      </c>
      <c r="AH103" s="144">
        <f t="shared" si="39"/>
        <v>6.9988858384862334E-3</v>
      </c>
      <c r="AI103" s="145">
        <f t="shared" si="40"/>
        <v>-207.05999999999995</v>
      </c>
      <c r="AJ103" s="212">
        <f t="shared" si="41"/>
        <v>8.8851773366049519E-2</v>
      </c>
      <c r="AK103" s="213">
        <f t="shared" si="42"/>
        <v>0</v>
      </c>
      <c r="AL103" s="215">
        <f t="shared" si="43"/>
        <v>0.25587691870380896</v>
      </c>
      <c r="AM103" s="423">
        <f t="shared" si="44"/>
        <v>0</v>
      </c>
      <c r="AN103" s="424" t="str">
        <f t="shared" si="45"/>
        <v>-0.49 pts.</v>
      </c>
      <c r="AO103" s="11"/>
    </row>
    <row r="104" spans="1:41" x14ac:dyDescent="0.35">
      <c r="A104" s="11" t="s">
        <v>100</v>
      </c>
      <c r="B104" s="11"/>
      <c r="C104" s="53" t="s">
        <v>101</v>
      </c>
      <c r="D104" s="11" t="s">
        <v>106</v>
      </c>
      <c r="E104" s="11"/>
      <c r="F104" s="11" t="s">
        <v>98</v>
      </c>
      <c r="G104" s="11"/>
      <c r="H104" s="88" t="s">
        <v>834</v>
      </c>
      <c r="I104" s="122" t="str">
        <f>IF(_epmOfflineCondition_,"T4",_xll.EVPRO($B$1,$H104,"STYLE"))</f>
        <v>T4</v>
      </c>
      <c r="J104" s="122" t="str">
        <f>IF(_epmOfflineCondition_,"Y",_xll.EVPRO($B$1,$H104,"CALC"))</f>
        <v>Y</v>
      </c>
      <c r="K104" s="179" t="str">
        <f t="shared" si="34"/>
        <v>&gt;</v>
      </c>
      <c r="L104" s="90" t="str">
        <f>IF(_epmOfflineCondition_,"702900",_xll.EVPRO($B$1,H104,"JDEID"))</f>
        <v>702900</v>
      </c>
      <c r="M104" s="90" t="str">
        <f>IF(_epmOfflineCondition_,"",IF(AND(I104="N",J104="N"),_xll.EVPRO($B$1,H104,"PSFTID"),""))</f>
        <v/>
      </c>
      <c r="N104" s="90" t="str">
        <f>IF(_epmOfflineCondition_,"Travel - Meals &amp; Entertainment",IF(_xll.EVDES(H104,$B$1)="#NODATA","",_xll.EVDES(H104,$B$1)))</f>
        <v>Travel - Meals &amp; Entertainment</v>
      </c>
      <c r="O104" s="143"/>
      <c r="P104" s="143">
        <v>345.95</v>
      </c>
      <c r="Q104" s="143">
        <v>9.1199999999999992</v>
      </c>
      <c r="R104" s="143">
        <v>333.25</v>
      </c>
      <c r="S104" s="143">
        <v>408.54</v>
      </c>
      <c r="T104" s="143">
        <v>308.89</v>
      </c>
      <c r="U104" s="143"/>
      <c r="V104" s="143"/>
      <c r="W104" s="143"/>
      <c r="X104" s="143"/>
      <c r="Y104" s="143"/>
      <c r="Z104" s="143">
        <v>111.89</v>
      </c>
      <c r="AA104" s="250">
        <f t="shared" si="35"/>
        <v>1517.64</v>
      </c>
      <c r="AB104" s="144">
        <f t="shared" si="36"/>
        <v>2.0304394126479984E-3</v>
      </c>
      <c r="AC104" s="140"/>
      <c r="AD104" s="143"/>
      <c r="AE104" s="144" t="str">
        <f t="shared" si="37"/>
        <v/>
      </c>
      <c r="AF104" s="145">
        <f t="shared" si="38"/>
        <v>1517.64</v>
      </c>
      <c r="AG104" s="143">
        <v>1149.3499999999999</v>
      </c>
      <c r="AH104" s="144">
        <f t="shared" si="39"/>
        <v>4.4681142213814822E-3</v>
      </c>
      <c r="AI104" s="145">
        <f t="shared" si="40"/>
        <v>368.29000000000019</v>
      </c>
      <c r="AJ104" s="212">
        <f t="shared" si="41"/>
        <v>8.4633058219942006E-2</v>
      </c>
      <c r="AK104" s="213">
        <f t="shared" si="42"/>
        <v>0</v>
      </c>
      <c r="AL104" s="215">
        <f t="shared" si="43"/>
        <v>0.16335275724843659</v>
      </c>
      <c r="AM104" s="423">
        <f t="shared" si="44"/>
        <v>0</v>
      </c>
      <c r="AN104" s="424" t="str">
        <f t="shared" si="45"/>
        <v>-0.24 pts.</v>
      </c>
      <c r="AO104" s="11"/>
    </row>
    <row r="105" spans="1:41" x14ac:dyDescent="0.35">
      <c r="A105" s="11" t="s">
        <v>109</v>
      </c>
      <c r="B105" s="11"/>
      <c r="C105" s="106" t="s">
        <v>101</v>
      </c>
      <c r="D105" s="11" t="s">
        <v>106</v>
      </c>
      <c r="E105" s="11"/>
      <c r="F105" s="11" t="s">
        <v>98</v>
      </c>
      <c r="G105" s="76"/>
      <c r="H105" s="88" t="s">
        <v>874</v>
      </c>
      <c r="I105" s="122" t="str">
        <f>IF(_epmOfflineCondition_,"T4",_xll.EVPRO($B$1,$H105,"STYLE"))</f>
        <v>T4</v>
      </c>
      <c r="J105" s="122" t="str">
        <f>IF(_epmOfflineCondition_,"Y",_xll.EVPRO($B$1,$H105,"CALC"))</f>
        <v>Y</v>
      </c>
      <c r="K105" s="179" t="str">
        <f t="shared" si="34"/>
        <v>&gt;</v>
      </c>
      <c r="L105" s="90" t="str">
        <f>IF(_epmOfflineCondition_,"703000",_xll.EVPRO($B$1,H105,"JDEID"))</f>
        <v>703000</v>
      </c>
      <c r="M105" s="90" t="str">
        <f>IF(_epmOfflineCondition_,"",IF(AND(I105="N",J105="N"),_xll.EVPRO($B$1,H105,"PSFTID"),""))</f>
        <v/>
      </c>
      <c r="N105" s="90" t="str">
        <f>IF(_epmOfflineCondition_,"Complimentary Services &amp; Gifts",IF(_xll.EVDES(H105,$B$1)="#NODATA","",_xll.EVDES(H105,$B$1)))</f>
        <v>Complimentary Services &amp; Gifts</v>
      </c>
      <c r="O105" s="143"/>
      <c r="P105" s="143"/>
      <c r="Q105" s="143"/>
      <c r="R105" s="143">
        <v>60.72</v>
      </c>
      <c r="S105" s="143">
        <v>29.98</v>
      </c>
      <c r="T105" s="143"/>
      <c r="U105" s="143"/>
      <c r="V105" s="143"/>
      <c r="W105" s="143">
        <v>332.5</v>
      </c>
      <c r="X105" s="143">
        <v>49.62</v>
      </c>
      <c r="Y105" s="143"/>
      <c r="Z105" s="143">
        <v>144.18</v>
      </c>
      <c r="AA105" s="250">
        <f t="shared" si="35"/>
        <v>617</v>
      </c>
      <c r="AB105" s="144">
        <f t="shared" si="36"/>
        <v>8.2547976964485322E-4</v>
      </c>
      <c r="AC105" s="140"/>
      <c r="AD105" s="143">
        <v>1800</v>
      </c>
      <c r="AE105" s="144">
        <f t="shared" si="37"/>
        <v>2.227784608464488E-3</v>
      </c>
      <c r="AF105" s="145">
        <f t="shared" si="38"/>
        <v>-1183</v>
      </c>
      <c r="AG105" s="143">
        <v>57.69</v>
      </c>
      <c r="AH105" s="144">
        <f t="shared" si="39"/>
        <v>2.2427068293513527E-4</v>
      </c>
      <c r="AI105" s="145">
        <f t="shared" si="40"/>
        <v>559.30999999999995</v>
      </c>
      <c r="AJ105" s="212">
        <f t="shared" si="41"/>
        <v>3.4407762658933749E-2</v>
      </c>
      <c r="AK105" s="213">
        <f t="shared" si="42"/>
        <v>8.5902452992268785E-2</v>
      </c>
      <c r="AL105" s="215">
        <f t="shared" si="43"/>
        <v>8.199260943718022E-3</v>
      </c>
      <c r="AM105" s="423" t="str">
        <f t="shared" si="44"/>
        <v>-0.14 pts.</v>
      </c>
      <c r="AN105" s="424" t="str">
        <f t="shared" si="45"/>
        <v>0.06 pts.</v>
      </c>
      <c r="AO105" s="11"/>
    </row>
    <row r="106" spans="1:41" x14ac:dyDescent="0.35">
      <c r="A106" s="11" t="s">
        <v>109</v>
      </c>
      <c r="B106" s="11"/>
      <c r="C106" s="196" t="s">
        <v>101</v>
      </c>
      <c r="D106" s="11" t="s">
        <v>107</v>
      </c>
      <c r="E106" s="11"/>
      <c r="F106" s="11" t="s">
        <v>99</v>
      </c>
      <c r="G106" s="11"/>
      <c r="H106" s="88" t="s">
        <v>875</v>
      </c>
      <c r="I106" s="122" t="str">
        <f>IF(_epmOfflineCondition_,"N",_xll.EVPRO($B$1,$H106,"STYLE"))</f>
        <v>N</v>
      </c>
      <c r="J106" s="122" t="str">
        <f>IF(_epmOfflineCondition_,"N",_xll.EVPRO($B$1,$H106,"CALC"))</f>
        <v>N</v>
      </c>
      <c r="K106" s="179" t="str">
        <f t="shared" si="34"/>
        <v/>
      </c>
      <c r="L106" s="90" t="str">
        <f>IF(_epmOfflineCondition_,"703200",_xll.EVPRO($B$1,H106,"JDEID"))</f>
        <v>703200</v>
      </c>
      <c r="M106" s="90" t="str">
        <f>IF(_epmOfflineCondition_,"590035",IF(AND(I106="N",J106="N"),_xll.EVPRO($B$1,H106,"PSFTID"),""))</f>
        <v>590035</v>
      </c>
      <c r="N106" s="90" t="str">
        <f>IF(_epmOfflineCondition_,"Uniform Costs",IF(_xll.EVDES(H106,$B$1)="#NODATA","",_xll.EVDES(H106,$B$1)))</f>
        <v>Uniform Costs</v>
      </c>
      <c r="O106" s="143"/>
      <c r="P106" s="143"/>
      <c r="Q106" s="143"/>
      <c r="R106" s="143">
        <v>41.67</v>
      </c>
      <c r="S106" s="143"/>
      <c r="T106" s="143"/>
      <c r="U106" s="143">
        <v>452.46</v>
      </c>
      <c r="V106" s="143"/>
      <c r="W106" s="143"/>
      <c r="X106" s="143">
        <v>318.83</v>
      </c>
      <c r="Y106" s="143">
        <v>98.32</v>
      </c>
      <c r="Z106" s="143">
        <v>633.73</v>
      </c>
      <c r="AA106" s="250">
        <f t="shared" si="35"/>
        <v>1545.01</v>
      </c>
      <c r="AB106" s="144">
        <f t="shared" si="36"/>
        <v>2.0670575346823251E-3</v>
      </c>
      <c r="AC106" s="140"/>
      <c r="AD106" s="143">
        <v>800</v>
      </c>
      <c r="AE106" s="144">
        <f t="shared" si="37"/>
        <v>9.9012649265088366E-4</v>
      </c>
      <c r="AF106" s="145">
        <f t="shared" si="38"/>
        <v>745.01</v>
      </c>
      <c r="AG106" s="143">
        <v>890.36</v>
      </c>
      <c r="AH106" s="144">
        <f t="shared" si="39"/>
        <v>3.4612869692863071E-3</v>
      </c>
      <c r="AI106" s="145">
        <f t="shared" si="40"/>
        <v>654.65</v>
      </c>
      <c r="AJ106" s="212">
        <f t="shared" si="41"/>
        <v>8.6159379879544945E-2</v>
      </c>
      <c r="AK106" s="213">
        <f t="shared" si="42"/>
        <v>3.8178867996563899E-2</v>
      </c>
      <c r="AL106" s="215">
        <f t="shared" si="43"/>
        <v>0.12654349061967027</v>
      </c>
      <c r="AM106" s="423" t="str">
        <f t="shared" si="44"/>
        <v>0.11 pts.</v>
      </c>
      <c r="AN106" s="424" t="str">
        <f t="shared" si="45"/>
        <v>-0.14 pts.</v>
      </c>
      <c r="AO106" s="11"/>
    </row>
    <row r="107" spans="1:41" x14ac:dyDescent="0.35">
      <c r="A107" s="11" t="s">
        <v>110</v>
      </c>
      <c r="B107" s="11"/>
      <c r="C107" s="106" t="s">
        <v>101</v>
      </c>
      <c r="D107" s="11" t="s">
        <v>106</v>
      </c>
      <c r="E107" s="11"/>
      <c r="F107" s="11" t="s">
        <v>98</v>
      </c>
      <c r="G107" s="11"/>
      <c r="H107" s="88" t="s">
        <v>876</v>
      </c>
      <c r="I107" s="122" t="str">
        <f>IF(_epmOfflineCondition_,"N",_xll.EVPRO($B$1,$H107,"STYLE"))</f>
        <v>N</v>
      </c>
      <c r="J107" s="122" t="str">
        <f>IF(_epmOfflineCondition_,"N",_xll.EVPRO($B$1,$H107,"CALC"))</f>
        <v>N</v>
      </c>
      <c r="K107" s="179" t="str">
        <f t="shared" si="34"/>
        <v/>
      </c>
      <c r="L107" s="90" t="str">
        <f>IF(_epmOfflineCondition_,"703300",_xll.EVPRO($B$1,H107,"JDEID"))</f>
        <v>703300</v>
      </c>
      <c r="M107" s="90" t="str">
        <f>IF(_epmOfflineCondition_,"590115",IF(AND(I107="N",J107="N"),_xll.EVPRO($B$1,H107,"PSFTID"),""))</f>
        <v>590115</v>
      </c>
      <c r="N107" s="90" t="str">
        <f>IF(_epmOfflineCondition_,"Uniforms Laundry",IF(_xll.EVDES(H107,$B$1)="#NODATA","",_xll.EVDES(H107,$B$1)))</f>
        <v>Uniforms Laundry</v>
      </c>
      <c r="O107" s="143"/>
      <c r="P107" s="143">
        <v>387.3</v>
      </c>
      <c r="Q107" s="143">
        <v>621.98</v>
      </c>
      <c r="R107" s="143"/>
      <c r="S107" s="143">
        <v>83.6</v>
      </c>
      <c r="T107" s="143">
        <v>0.4</v>
      </c>
      <c r="U107" s="143">
        <v>34.200000000000003</v>
      </c>
      <c r="V107" s="143">
        <v>138.19999999999999</v>
      </c>
      <c r="W107" s="143">
        <v>361</v>
      </c>
      <c r="X107" s="143">
        <v>372.4</v>
      </c>
      <c r="Y107" s="143">
        <v>376.5</v>
      </c>
      <c r="Z107" s="143">
        <v>376.5</v>
      </c>
      <c r="AA107" s="250">
        <f t="shared" si="35"/>
        <v>2752.08</v>
      </c>
      <c r="AB107" s="144">
        <f t="shared" si="36"/>
        <v>3.6819876247069813E-3</v>
      </c>
      <c r="AC107" s="140"/>
      <c r="AD107" s="143">
        <v>4190.8</v>
      </c>
      <c r="AE107" s="144">
        <f t="shared" si="37"/>
        <v>5.1867776317516536E-3</v>
      </c>
      <c r="AF107" s="145">
        <f t="shared" si="38"/>
        <v>-1438.7200000000003</v>
      </c>
      <c r="AG107" s="143">
        <v>1495.24</v>
      </c>
      <c r="AH107" s="144">
        <f t="shared" si="39"/>
        <v>5.8127664404911024E-3</v>
      </c>
      <c r="AI107" s="145">
        <f t="shared" si="40"/>
        <v>1256.8399999999999</v>
      </c>
      <c r="AJ107" s="212">
        <f t="shared" si="41"/>
        <v>0.15347312067811733</v>
      </c>
      <c r="AK107" s="213">
        <f t="shared" si="42"/>
        <v>0.2</v>
      </c>
      <c r="AL107" s="215">
        <f t="shared" si="43"/>
        <v>0.21251279135872655</v>
      </c>
      <c r="AM107" s="423" t="str">
        <f t="shared" si="44"/>
        <v>-0.15 pts.</v>
      </c>
      <c r="AN107" s="424" t="str">
        <f t="shared" si="45"/>
        <v>-0.21 pts.</v>
      </c>
      <c r="AO107" s="11"/>
    </row>
    <row r="108" spans="1:41" x14ac:dyDescent="0.35">
      <c r="A108" s="11" t="s">
        <v>110</v>
      </c>
      <c r="B108" s="11"/>
      <c r="C108" s="109" t="s">
        <v>101</v>
      </c>
      <c r="D108" s="11" t="s">
        <v>107</v>
      </c>
      <c r="E108" s="11"/>
      <c r="F108" s="11" t="s">
        <v>99</v>
      </c>
      <c r="G108" s="11"/>
      <c r="H108" s="88" t="s">
        <v>860</v>
      </c>
      <c r="I108" s="122" t="str">
        <f>IF(_epmOfflineCondition_,"N",_xll.EVPRO($B$1,$H108,"STYLE"))</f>
        <v>N</v>
      </c>
      <c r="J108" s="122" t="str">
        <f>IF(_epmOfflineCondition_,"N",_xll.EVPRO($B$1,$H108,"CALC"))</f>
        <v>N</v>
      </c>
      <c r="K108" s="179" t="str">
        <f t="shared" si="34"/>
        <v/>
      </c>
      <c r="L108" s="90" t="str">
        <f>IF(_epmOfflineCondition_,"703400",_xll.EVPRO($B$1,H108,"JDEID"))</f>
        <v>703400</v>
      </c>
      <c r="M108" s="90" t="str">
        <f>IF(_epmOfflineCondition_,"590010",IF(AND(I108="N",J108="N"),_xll.EVPRO($B$1,H108,"PSFTID"),""))</f>
        <v>590010</v>
      </c>
      <c r="N108" s="90" t="str">
        <f>IF(_epmOfflineCondition_,"Linen",IF(_xll.EVDES(H108,$B$1)="#NODATA","",_xll.EVDES(H108,$B$1)))</f>
        <v>Linen</v>
      </c>
      <c r="O108" s="143">
        <v>586.62</v>
      </c>
      <c r="P108" s="143">
        <v>492.29</v>
      </c>
      <c r="Q108" s="143">
        <v>894.83</v>
      </c>
      <c r="R108" s="143">
        <v>940.51</v>
      </c>
      <c r="S108" s="143">
        <v>1153.56</v>
      </c>
      <c r="T108" s="143">
        <v>1976.12</v>
      </c>
      <c r="U108" s="143">
        <v>925.06</v>
      </c>
      <c r="V108" s="143">
        <v>2338.54</v>
      </c>
      <c r="W108" s="143">
        <v>1264.76</v>
      </c>
      <c r="X108" s="143">
        <v>1602.47</v>
      </c>
      <c r="Y108" s="143">
        <v>1235.74</v>
      </c>
      <c r="Z108" s="143">
        <v>1865.53</v>
      </c>
      <c r="AA108" s="250">
        <f t="shared" si="35"/>
        <v>15276.029999999999</v>
      </c>
      <c r="AB108" s="144">
        <f t="shared" si="36"/>
        <v>2.0437688371941435E-2</v>
      </c>
      <c r="AC108" s="140"/>
      <c r="AD108" s="143">
        <v>12572.4</v>
      </c>
      <c r="AE108" s="144">
        <f t="shared" si="37"/>
        <v>1.556033289525496E-2</v>
      </c>
      <c r="AF108" s="145">
        <f t="shared" si="38"/>
        <v>2703.6299999999992</v>
      </c>
      <c r="AG108" s="143">
        <v>6231.14</v>
      </c>
      <c r="AH108" s="144">
        <f t="shared" si="39"/>
        <v>2.4223644015677569E-2</v>
      </c>
      <c r="AI108" s="145">
        <f t="shared" si="40"/>
        <v>9044.89</v>
      </c>
      <c r="AJ108" s="212">
        <f t="shared" si="41"/>
        <v>0.85188657149230418</v>
      </c>
      <c r="AK108" s="213">
        <f t="shared" si="42"/>
        <v>0.6</v>
      </c>
      <c r="AL108" s="215">
        <f t="shared" si="43"/>
        <v>0.88560830017055148</v>
      </c>
      <c r="AM108" s="423" t="str">
        <f t="shared" si="44"/>
        <v>0.49 pts.</v>
      </c>
      <c r="AN108" s="424" t="str">
        <f t="shared" si="45"/>
        <v>-0.38 pts.</v>
      </c>
      <c r="AO108" s="11"/>
    </row>
    <row r="109" spans="1:41" x14ac:dyDescent="0.35">
      <c r="A109" s="11"/>
      <c r="B109" s="11"/>
      <c r="C109" s="208"/>
      <c r="D109" s="11"/>
      <c r="E109" s="11"/>
      <c r="F109" s="11"/>
      <c r="G109" s="11"/>
      <c r="H109" s="88" t="s">
        <v>861</v>
      </c>
      <c r="I109" s="122" t="str">
        <f>IF(_epmOfflineCondition_,"N",_xll.EVPRO($B$1,$H109,"STYLE"))</f>
        <v>N</v>
      </c>
      <c r="J109" s="122" t="str">
        <f>IF(_epmOfflineCondition_,"N",_xll.EVPRO($B$1,$H109,"CALC"))</f>
        <v>N</v>
      </c>
      <c r="K109" s="179" t="str">
        <f t="shared" si="34"/>
        <v/>
      </c>
      <c r="L109" s="90" t="str">
        <f>IF(_epmOfflineCondition_,"703500",_xll.EVPRO($B$1,H109,"JDEID"))</f>
        <v>703500</v>
      </c>
      <c r="M109" s="90" t="str">
        <f>IF(_epmOfflineCondition_,"590004",IF(AND(I109="N",J109="N"),_xll.EVPRO($B$1,H109,"PSFTID"),""))</f>
        <v>590004</v>
      </c>
      <c r="N109" s="90" t="str">
        <f>IF(_epmOfflineCondition_,"China",IF(_xll.EVDES(H109,$B$1)="#NODATA","",_xll.EVDES(H109,$B$1)))</f>
        <v>China</v>
      </c>
      <c r="O109" s="143"/>
      <c r="P109" s="143"/>
      <c r="Q109" s="143"/>
      <c r="R109" s="143"/>
      <c r="S109" s="143"/>
      <c r="T109" s="143"/>
      <c r="U109" s="143"/>
      <c r="V109" s="143"/>
      <c r="W109" s="143"/>
      <c r="X109" s="143">
        <v>93.2</v>
      </c>
      <c r="Y109" s="143">
        <v>0.01</v>
      </c>
      <c r="Z109" s="143"/>
      <c r="AA109" s="250">
        <f t="shared" si="35"/>
        <v>93.210000000000008</v>
      </c>
      <c r="AB109" s="144">
        <f t="shared" si="36"/>
        <v>1.2470497460064306E-4</v>
      </c>
      <c r="AC109" s="140"/>
      <c r="AD109" s="143"/>
      <c r="AE109" s="144" t="str">
        <f t="shared" si="37"/>
        <v/>
      </c>
      <c r="AF109" s="145">
        <f t="shared" si="38"/>
        <v>93.210000000000008</v>
      </c>
      <c r="AG109" s="143"/>
      <c r="AH109" s="144" t="str">
        <f t="shared" si="39"/>
        <v/>
      </c>
      <c r="AI109" s="145">
        <f t="shared" si="40"/>
        <v>93.210000000000008</v>
      </c>
      <c r="AJ109" s="212">
        <f t="shared" si="41"/>
        <v>5.1979701093018069E-3</v>
      </c>
      <c r="AK109" s="213">
        <f t="shared" si="42"/>
        <v>0</v>
      </c>
      <c r="AL109" s="215">
        <f t="shared" si="43"/>
        <v>0</v>
      </c>
      <c r="AM109" s="423">
        <f t="shared" si="44"/>
        <v>0</v>
      </c>
      <c r="AN109" s="424">
        <f t="shared" si="45"/>
        <v>0</v>
      </c>
      <c r="AO109" s="11"/>
    </row>
    <row r="110" spans="1:41" x14ac:dyDescent="0.35">
      <c r="A110" s="11"/>
      <c r="B110" s="11"/>
      <c r="C110" s="11"/>
      <c r="D110" s="11"/>
      <c r="E110" s="11"/>
      <c r="F110" s="11"/>
      <c r="G110" s="11"/>
      <c r="H110" s="88" t="s">
        <v>877</v>
      </c>
      <c r="I110" s="122" t="str">
        <f>IF(_epmOfflineCondition_,"N",_xll.EVPRO($B$1,$H110,"STYLE"))</f>
        <v>N</v>
      </c>
      <c r="J110" s="122" t="str">
        <f>IF(_epmOfflineCondition_,"N",_xll.EVPRO($B$1,$H110,"CALC"))</f>
        <v>N</v>
      </c>
      <c r="K110" s="179" t="str">
        <f t="shared" si="34"/>
        <v/>
      </c>
      <c r="L110" s="90" t="str">
        <f>IF(_epmOfflineCondition_,"703510",_xll.EVPRO($B$1,H110,"JDEID"))</f>
        <v>703510</v>
      </c>
      <c r="M110" s="90" t="str">
        <f>IF(_epmOfflineCondition_,"590003",IF(AND(I110="N",J110="N"),_xll.EVPRO($B$1,H110,"PSFTID"),""))</f>
        <v>590003</v>
      </c>
      <c r="N110" s="90" t="str">
        <f>IF(_epmOfflineCondition_,"Glassware",IF(_xll.EVDES(H110,$B$1)="#NODATA","",_xll.EVDES(H110,$B$1)))</f>
        <v>Glassware</v>
      </c>
      <c r="O110" s="143"/>
      <c r="P110" s="143"/>
      <c r="Q110" s="143"/>
      <c r="R110" s="143"/>
      <c r="S110" s="143"/>
      <c r="T110" s="143"/>
      <c r="U110" s="143">
        <v>803.86</v>
      </c>
      <c r="V110" s="143"/>
      <c r="W110" s="143"/>
      <c r="X110" s="143"/>
      <c r="Y110" s="143"/>
      <c r="Z110" s="143"/>
      <c r="AA110" s="250">
        <f t="shared" si="35"/>
        <v>803.86</v>
      </c>
      <c r="AB110" s="144">
        <f t="shared" si="36"/>
        <v>1.075478391615416E-3</v>
      </c>
      <c r="AC110" s="140"/>
      <c r="AD110" s="143"/>
      <c r="AE110" s="144" t="str">
        <f t="shared" si="37"/>
        <v/>
      </c>
      <c r="AF110" s="145">
        <f t="shared" si="38"/>
        <v>803.86</v>
      </c>
      <c r="AG110" s="143">
        <v>1081.58</v>
      </c>
      <c r="AH110" s="144">
        <f t="shared" si="39"/>
        <v>4.2046573972782733E-3</v>
      </c>
      <c r="AI110" s="145">
        <f t="shared" si="40"/>
        <v>-277.71999999999991</v>
      </c>
      <c r="AJ110" s="212">
        <f t="shared" si="41"/>
        <v>4.4828240017845196E-2</v>
      </c>
      <c r="AK110" s="213">
        <f t="shared" si="42"/>
        <v>0</v>
      </c>
      <c r="AL110" s="215">
        <f t="shared" si="43"/>
        <v>0.15372086412734506</v>
      </c>
      <c r="AM110" s="423">
        <f t="shared" si="44"/>
        <v>0</v>
      </c>
      <c r="AN110" s="424" t="str">
        <f t="shared" si="45"/>
        <v>-0.31 pts.</v>
      </c>
      <c r="AO110" s="11"/>
    </row>
    <row r="111" spans="1:41" x14ac:dyDescent="0.35">
      <c r="A111" s="61" t="str">
        <f>IF(_epmOfflineCondition_,"Evdre:Ok",_xll.EVDRE($B$1,A114:B121))</f>
        <v>Evdre:Ok</v>
      </c>
      <c r="B111" s="11" t="s">
        <v>736</v>
      </c>
      <c r="C111" s="11"/>
      <c r="D111" s="11"/>
      <c r="E111" s="11"/>
      <c r="F111" s="11"/>
      <c r="G111" s="76"/>
      <c r="H111" s="88" t="s">
        <v>878</v>
      </c>
      <c r="I111" s="122" t="str">
        <f>IF(_epmOfflineCondition_,"N",_xll.EVPRO($B$1,$H111,"STYLE"))</f>
        <v>N</v>
      </c>
      <c r="J111" s="122" t="str">
        <f>IF(_epmOfflineCondition_,"N",_xll.EVPRO($B$1,$H111,"CALC"))</f>
        <v>N</v>
      </c>
      <c r="K111" s="179" t="str">
        <f t="shared" si="34"/>
        <v/>
      </c>
      <c r="L111" s="90" t="str">
        <f>IF(_epmOfflineCondition_,"703600",_xll.EVPRO($B$1,H111,"JDEID"))</f>
        <v>703600</v>
      </c>
      <c r="M111" s="90" t="str">
        <f>IF(_epmOfflineCondition_,"590045",IF(AND(I111="N",J111="N"),_xll.EVPRO($B$1,H111,"PSFTID"),""))</f>
        <v>590045</v>
      </c>
      <c r="N111" s="90" t="str">
        <f>IF(_epmOfflineCondition_,"Utensils",IF(_xll.EVDES(H111,$B$1)="#NODATA","",_xll.EVDES(H111,$B$1)))</f>
        <v>Utensils</v>
      </c>
      <c r="O111" s="143"/>
      <c r="P111" s="143"/>
      <c r="Q111" s="143"/>
      <c r="R111" s="143">
        <v>129.30000000000001</v>
      </c>
      <c r="S111" s="143"/>
      <c r="T111" s="143"/>
      <c r="U111" s="143"/>
      <c r="V111" s="143"/>
      <c r="W111" s="143"/>
      <c r="X111" s="143"/>
      <c r="Y111" s="143"/>
      <c r="Z111" s="143"/>
      <c r="AA111" s="250">
        <f t="shared" si="35"/>
        <v>129.30000000000001</v>
      </c>
      <c r="AB111" s="144">
        <f t="shared" si="36"/>
        <v>1.7298952060790847E-4</v>
      </c>
      <c r="AC111" s="140"/>
      <c r="AD111" s="143"/>
      <c r="AE111" s="144" t="str">
        <f t="shared" si="37"/>
        <v/>
      </c>
      <c r="AF111" s="145">
        <f t="shared" si="38"/>
        <v>129.30000000000001</v>
      </c>
      <c r="AG111" s="143"/>
      <c r="AH111" s="144" t="str">
        <f t="shared" si="39"/>
        <v/>
      </c>
      <c r="AI111" s="145">
        <f t="shared" si="40"/>
        <v>129.30000000000001</v>
      </c>
      <c r="AJ111" s="212">
        <f t="shared" si="41"/>
        <v>7.2105732768235559E-3</v>
      </c>
      <c r="AK111" s="213">
        <f t="shared" si="42"/>
        <v>0</v>
      </c>
      <c r="AL111" s="215">
        <f t="shared" si="43"/>
        <v>0</v>
      </c>
      <c r="AM111" s="423">
        <f t="shared" si="44"/>
        <v>0</v>
      </c>
      <c r="AN111" s="424">
        <f t="shared" si="45"/>
        <v>0</v>
      </c>
      <c r="AO111" s="11"/>
    </row>
    <row r="112" spans="1:41" x14ac:dyDescent="0.35">
      <c r="A112" s="11"/>
      <c r="B112" s="11"/>
      <c r="C112" s="11"/>
      <c r="D112" s="11"/>
      <c r="E112" s="11"/>
      <c r="F112" s="11"/>
      <c r="G112" s="11"/>
      <c r="H112" s="88" t="s">
        <v>879</v>
      </c>
      <c r="I112" s="122" t="str">
        <f>IF(_epmOfflineCondition_,"N",_xll.EVPRO($B$1,$H112,"STYLE"))</f>
        <v>N</v>
      </c>
      <c r="J112" s="122" t="str">
        <f>IF(_epmOfflineCondition_,"N",_xll.EVPRO($B$1,$H112,"CALC"))</f>
        <v>N</v>
      </c>
      <c r="K112" s="179" t="str">
        <f t="shared" si="34"/>
        <v/>
      </c>
      <c r="L112" s="90" t="str">
        <f>IF(_epmOfflineCondition_,"703700",_xll.EVPRO($B$1,H112,"JDEID"))</f>
        <v>703700</v>
      </c>
      <c r="M112" s="90" t="str">
        <f>IF(_epmOfflineCondition_,"590046",IF(AND(I112="N",J112="N"),_xll.EVPRO($B$1,H112,"PSFTID"),""))</f>
        <v>590046</v>
      </c>
      <c r="N112" s="90" t="str">
        <f>IF(_epmOfflineCondition_,"Menus and Beverage Lists",IF(_xll.EVDES(H112,$B$1)="#NODATA","",_xll.EVDES(H112,$B$1)))</f>
        <v>Menus and Beverage Lists</v>
      </c>
      <c r="O112" s="143"/>
      <c r="P112" s="143"/>
      <c r="Q112" s="143"/>
      <c r="R112" s="143"/>
      <c r="S112" s="143"/>
      <c r="T112" s="143"/>
      <c r="U112" s="143"/>
      <c r="V112" s="143"/>
      <c r="W112" s="143"/>
      <c r="X112" s="143"/>
      <c r="Y112" s="143"/>
      <c r="Z112" s="143"/>
      <c r="AA112" s="250">
        <f t="shared" si="35"/>
        <v>0</v>
      </c>
      <c r="AB112" s="144" t="str">
        <f t="shared" si="36"/>
        <v/>
      </c>
      <c r="AC112" s="140"/>
      <c r="AD112" s="143"/>
      <c r="AE112" s="144" t="str">
        <f t="shared" si="37"/>
        <v/>
      </c>
      <c r="AF112" s="145">
        <f t="shared" si="38"/>
        <v>0</v>
      </c>
      <c r="AG112" s="143">
        <v>1293.3900000000001</v>
      </c>
      <c r="AH112" s="144">
        <f t="shared" si="39"/>
        <v>5.0280717386284391E-3</v>
      </c>
      <c r="AI112" s="145">
        <f t="shared" si="40"/>
        <v>-1293.3900000000001</v>
      </c>
      <c r="AJ112" s="212">
        <f t="shared" si="41"/>
        <v>0</v>
      </c>
      <c r="AK112" s="213">
        <f t="shared" si="42"/>
        <v>0</v>
      </c>
      <c r="AL112" s="215">
        <f t="shared" si="43"/>
        <v>0.18382461625923821</v>
      </c>
      <c r="AM112" s="423">
        <f t="shared" si="44"/>
        <v>0</v>
      </c>
      <c r="AN112" s="424">
        <f t="shared" si="45"/>
        <v>0</v>
      </c>
      <c r="AO112" s="11"/>
    </row>
    <row r="113" spans="1:41" x14ac:dyDescent="0.35">
      <c r="A113" s="62" t="s">
        <v>0</v>
      </c>
      <c r="B113" s="63" t="s">
        <v>1</v>
      </c>
      <c r="C113" s="11"/>
      <c r="D113" s="11"/>
      <c r="E113" s="11"/>
      <c r="F113" s="11"/>
      <c r="G113" s="11"/>
      <c r="H113" s="88" t="s">
        <v>880</v>
      </c>
      <c r="I113" s="122" t="str">
        <f>IF(_epmOfflineCondition_,"N",_xll.EVPRO($B$1,$H113,"STYLE"))</f>
        <v>N</v>
      </c>
      <c r="J113" s="122" t="str">
        <f>IF(_epmOfflineCondition_,"N",_xll.EVPRO($B$1,$H113,"CALC"))</f>
        <v>N</v>
      </c>
      <c r="K113" s="179" t="str">
        <f t="shared" si="34"/>
        <v/>
      </c>
      <c r="L113" s="90" t="str">
        <f>IF(_epmOfflineCondition_,"704100",_xll.EVPRO($B$1,H113,"JDEID"))</f>
        <v>704100</v>
      </c>
      <c r="M113" s="90" t="str">
        <f>IF(_epmOfflineCondition_,"690241",IF(AND(I113="N",J113="N"),_xll.EVPRO($B$1,H113,"PSFTID"),""))</f>
        <v>690241</v>
      </c>
      <c r="N113" s="90" t="str">
        <f>IF(_epmOfflineCondition_,"Music and Entertainment",IF(_xll.EVDES(H113,$B$1)="#NODATA","",_xll.EVDES(H113,$B$1)))</f>
        <v>Music and Entertainment</v>
      </c>
      <c r="O113" s="143"/>
      <c r="P113" s="143"/>
      <c r="Q113" s="143"/>
      <c r="R113" s="143"/>
      <c r="S113" s="143">
        <v>750</v>
      </c>
      <c r="T113" s="143">
        <v>700</v>
      </c>
      <c r="U113" s="143">
        <v>300</v>
      </c>
      <c r="V113" s="143"/>
      <c r="W113" s="143">
        <v>-300</v>
      </c>
      <c r="X113" s="143">
        <v>300</v>
      </c>
      <c r="Y113" s="143">
        <v>150</v>
      </c>
      <c r="Z113" s="143"/>
      <c r="AA113" s="250">
        <f t="shared" si="35"/>
        <v>1900</v>
      </c>
      <c r="AB113" s="144">
        <f t="shared" si="36"/>
        <v>2.541996049149467E-3</v>
      </c>
      <c r="AC113" s="140"/>
      <c r="AD113" s="143">
        <v>4200</v>
      </c>
      <c r="AE113" s="144">
        <f t="shared" si="37"/>
        <v>5.198164086417139E-3</v>
      </c>
      <c r="AF113" s="145">
        <f t="shared" si="38"/>
        <v>-2300</v>
      </c>
      <c r="AG113" s="143">
        <v>3700</v>
      </c>
      <c r="AH113" s="144">
        <f t="shared" si="39"/>
        <v>1.4383801817646048E-2</v>
      </c>
      <c r="AI113" s="145">
        <f t="shared" si="40"/>
        <v>-1800</v>
      </c>
      <c r="AJ113" s="212">
        <f t="shared" si="41"/>
        <v>0.1059558331474459</v>
      </c>
      <c r="AK113" s="213">
        <f t="shared" si="42"/>
        <v>0.20043905698196049</v>
      </c>
      <c r="AL113" s="215">
        <f t="shared" si="43"/>
        <v>0.52586696986924386</v>
      </c>
      <c r="AM113" s="423" t="str">
        <f t="shared" si="44"/>
        <v>-0.27 pts.</v>
      </c>
      <c r="AN113" s="424" t="str">
        <f t="shared" si="45"/>
        <v>-1.18 pts.</v>
      </c>
      <c r="AO113" s="11"/>
    </row>
    <row r="114" spans="1:41" x14ac:dyDescent="0.35">
      <c r="A114" s="65" t="s">
        <v>2</v>
      </c>
      <c r="B114" s="66" t="str">
        <f>IF(_epmOfflineCondition_,"'Venue1'!$B$2:$B$10",_xll.EVRNG($B$2:$B$10))</f>
        <v>'Venue1'!$B$2:$B$10</v>
      </c>
      <c r="C114" s="11"/>
      <c r="D114" s="11"/>
      <c r="E114" s="11"/>
      <c r="F114" s="11"/>
      <c r="G114" s="11"/>
      <c r="H114" s="88" t="s">
        <v>841</v>
      </c>
      <c r="I114" s="122" t="str">
        <f>IF(_epmOfflineCondition_,"N",_xll.EVPRO($B$1,$H114,"STYLE"))</f>
        <v>N</v>
      </c>
      <c r="J114" s="122" t="str">
        <f>IF(_epmOfflineCondition_,"N",_xll.EVPRO($B$1,$H114,"CALC"))</f>
        <v>N</v>
      </c>
      <c r="K114" s="179" t="str">
        <f t="shared" si="34"/>
        <v/>
      </c>
      <c r="L114" s="90" t="str">
        <f>IF(_epmOfflineCondition_,"705500",_xll.EVPRO($B$1,H114,"JDEID"))</f>
        <v>705500</v>
      </c>
      <c r="M114" s="90" t="str">
        <f>IF(_epmOfflineCondition_,"690105",IF(AND(I114="N",J114="N"),_xll.EVPRO($B$1,H114,"PSFTID"),""))</f>
        <v>690105</v>
      </c>
      <c r="N114" s="90" t="str">
        <f>IF(_epmOfflineCondition_,"Licenses &amp; Permits",IF(_xll.EVDES(H114,$B$1)="#NODATA","",_xll.EVDES(H114,$B$1)))</f>
        <v>Licenses &amp; Permits</v>
      </c>
      <c r="O114" s="143"/>
      <c r="P114" s="143"/>
      <c r="Q114" s="143">
        <v>1870</v>
      </c>
      <c r="R114" s="143"/>
      <c r="S114" s="143"/>
      <c r="T114" s="143"/>
      <c r="U114" s="143"/>
      <c r="V114" s="143"/>
      <c r="W114" s="143"/>
      <c r="X114" s="143"/>
      <c r="Y114" s="143"/>
      <c r="Z114" s="143"/>
      <c r="AA114" s="250">
        <f t="shared" si="35"/>
        <v>1870</v>
      </c>
      <c r="AB114" s="144">
        <f t="shared" si="36"/>
        <v>2.5018592694260543E-3</v>
      </c>
      <c r="AC114" s="140"/>
      <c r="AD114" s="143">
        <v>1870</v>
      </c>
      <c r="AE114" s="144">
        <f t="shared" si="37"/>
        <v>2.3144206765714401E-3</v>
      </c>
      <c r="AF114" s="145">
        <f t="shared" si="38"/>
        <v>0</v>
      </c>
      <c r="AG114" s="143">
        <v>1870</v>
      </c>
      <c r="AH114" s="144">
        <f t="shared" si="39"/>
        <v>7.2696511889184081E-3</v>
      </c>
      <c r="AI114" s="145">
        <f t="shared" si="40"/>
        <v>0</v>
      </c>
      <c r="AJ114" s="212">
        <f t="shared" si="41"/>
        <v>0.10428284630827571</v>
      </c>
      <c r="AK114" s="213">
        <f t="shared" si="42"/>
        <v>8.9243103941968119E-2</v>
      </c>
      <c r="AL114" s="215">
        <f t="shared" si="43"/>
        <v>0.26577600909607729</v>
      </c>
      <c r="AM114" s="423" t="str">
        <f t="shared" si="44"/>
        <v>0.02 pts.</v>
      </c>
      <c r="AN114" s="424" t="str">
        <f t="shared" si="45"/>
        <v>-0.48 pts.</v>
      </c>
      <c r="AO114" s="11"/>
    </row>
    <row r="115" spans="1:41" x14ac:dyDescent="0.35">
      <c r="A115" s="65" t="s">
        <v>3</v>
      </c>
      <c r="B115" s="66" t="str">
        <f>IF(_epmOfflineCondition_,"'Venue1'!$O$16:$AN$18",_xll.EVRNG($O$16:$AN$18))</f>
        <v>'Venue1'!$O$16:$AN$18</v>
      </c>
      <c r="C115" s="11"/>
      <c r="D115" s="11"/>
      <c r="E115" s="11"/>
      <c r="F115" s="11"/>
      <c r="G115" s="11"/>
      <c r="H115" s="88" t="s">
        <v>844</v>
      </c>
      <c r="I115" s="122" t="str">
        <f>IF(_epmOfflineCondition_,"T4",_xll.EVPRO($B$1,$H115,"STYLE"))</f>
        <v>T4</v>
      </c>
      <c r="J115" s="122" t="str">
        <f>IF(_epmOfflineCondition_,"Y",_xll.EVPRO($B$1,$H115,"CALC"))</f>
        <v>Y</v>
      </c>
      <c r="K115" s="179" t="str">
        <f t="shared" si="34"/>
        <v>&gt;</v>
      </c>
      <c r="L115" s="90" t="str">
        <f>IF(_epmOfflineCondition_,"706100",_xll.EVPRO($B$1,H115,"JDEID"))</f>
        <v>706100</v>
      </c>
      <c r="M115" s="90" t="str">
        <f>IF(_epmOfflineCondition_,"",IF(AND(I115="N",J115="N"),_xll.EVPRO($B$1,H115,"PSFTID"),""))</f>
        <v/>
      </c>
      <c r="N115" s="90" t="str">
        <f>IF(_epmOfflineCondition_,"Miscellaneous",IF(_xll.EVDES(H115,$B$1)="#NODATA","",_xll.EVDES(H115,$B$1)))</f>
        <v>Miscellaneous</v>
      </c>
      <c r="O115" s="143"/>
      <c r="P115" s="143"/>
      <c r="Q115" s="143"/>
      <c r="R115" s="143"/>
      <c r="S115" s="143"/>
      <c r="T115" s="143"/>
      <c r="U115" s="143"/>
      <c r="V115" s="143"/>
      <c r="W115" s="143"/>
      <c r="X115" s="143"/>
      <c r="Y115" s="143"/>
      <c r="Z115" s="143"/>
      <c r="AA115" s="250">
        <f t="shared" si="35"/>
        <v>0</v>
      </c>
      <c r="AB115" s="144" t="str">
        <f t="shared" si="36"/>
        <v/>
      </c>
      <c r="AC115" s="140"/>
      <c r="AD115" s="143"/>
      <c r="AE115" s="144" t="str">
        <f t="shared" si="37"/>
        <v/>
      </c>
      <c r="AF115" s="145">
        <f t="shared" si="38"/>
        <v>0</v>
      </c>
      <c r="AG115" s="143">
        <v>148.78</v>
      </c>
      <c r="AH115" s="144">
        <f t="shared" si="39"/>
        <v>5.7838433362956195E-4</v>
      </c>
      <c r="AI115" s="145">
        <f t="shared" si="40"/>
        <v>-148.78</v>
      </c>
      <c r="AJ115" s="212">
        <f t="shared" si="41"/>
        <v>0</v>
      </c>
      <c r="AK115" s="213">
        <f t="shared" si="42"/>
        <v>0</v>
      </c>
      <c r="AL115" s="215">
        <f t="shared" si="43"/>
        <v>2.1145537237066515E-2</v>
      </c>
      <c r="AM115" s="423">
        <f t="shared" si="44"/>
        <v>0</v>
      </c>
      <c r="AN115" s="424">
        <f t="shared" si="45"/>
        <v>0</v>
      </c>
      <c r="AO115" s="11"/>
    </row>
    <row r="116" spans="1:41" x14ac:dyDescent="0.35">
      <c r="A116" s="65" t="s">
        <v>4</v>
      </c>
      <c r="B116" s="66" t="str">
        <f>IF(_epmOfflineCondition_,"'Venue1'!$H$116:$H$119",_xll.EVRNG(H116:H119))</f>
        <v>'Venue1'!$H$116:$H$119</v>
      </c>
      <c r="C116" s="11"/>
      <c r="D116" s="11"/>
      <c r="E116" s="11"/>
      <c r="F116" s="11"/>
      <c r="G116" s="11"/>
      <c r="H116" s="88" t="s">
        <v>79</v>
      </c>
      <c r="I116" s="136" t="str">
        <f>IF(_epmOfflineCondition_,"T3",_xll.EVPRO($B$1,$H116,"STYLE"))</f>
        <v>T3</v>
      </c>
      <c r="J116" s="136" t="str">
        <f>IF(_epmOfflineCondition_,"Y",_xll.EVPRO($B$1,$H116,"CALC"))</f>
        <v>Y</v>
      </c>
      <c r="K116" s="104"/>
      <c r="L116" s="104"/>
      <c r="M116" s="104"/>
      <c r="N116" s="106" t="str">
        <f>IF(_epmOfflineCondition_,"Total Operations Expense",IF(_xll.EVDES(H116,$B$1)="#NODATA","",_xll.EVDES(H116,$B$1)))</f>
        <v>Total Operations Expense</v>
      </c>
      <c r="O116" s="154">
        <v>3800.61</v>
      </c>
      <c r="P116" s="154">
        <v>7299.01</v>
      </c>
      <c r="Q116" s="154">
        <v>15227.58</v>
      </c>
      <c r="R116" s="154">
        <v>10571.54</v>
      </c>
      <c r="S116" s="154">
        <v>10324.84</v>
      </c>
      <c r="T116" s="154">
        <v>10664.77</v>
      </c>
      <c r="U116" s="154">
        <v>12789.63</v>
      </c>
      <c r="V116" s="154">
        <v>8578.52</v>
      </c>
      <c r="W116" s="154">
        <v>9997.49</v>
      </c>
      <c r="X116" s="154">
        <v>19120.39</v>
      </c>
      <c r="Y116" s="154">
        <v>15741.24</v>
      </c>
      <c r="Z116" s="154">
        <v>19597.400000000001</v>
      </c>
      <c r="AA116" s="154">
        <f t="shared" si="35"/>
        <v>143713.02000000002</v>
      </c>
      <c r="AB116" s="155">
        <f t="shared" si="36"/>
        <v>0.1922725942375465</v>
      </c>
      <c r="AC116" s="140"/>
      <c r="AD116" s="154">
        <v>108029.06</v>
      </c>
      <c r="AE116" s="155">
        <f t="shared" si="37"/>
        <v>0.13370304285271481</v>
      </c>
      <c r="AF116" s="156">
        <f t="shared" si="38"/>
        <v>35683.960000000021</v>
      </c>
      <c r="AG116" s="154">
        <v>56287.58</v>
      </c>
      <c r="AH116" s="155">
        <f t="shared" si="39"/>
        <v>0.21881875554456687</v>
      </c>
      <c r="AI116" s="156">
        <f t="shared" si="40"/>
        <v>87425.440000000017</v>
      </c>
      <c r="AJ116" s="477">
        <f t="shared" si="41"/>
        <v>8.0143330359134524</v>
      </c>
      <c r="AK116" s="478">
        <f t="shared" si="42"/>
        <v>5.1555340269161016</v>
      </c>
      <c r="AL116" s="479">
        <f t="shared" si="43"/>
        <v>7.9999403069926096</v>
      </c>
      <c r="AM116" s="480" t="str">
        <f t="shared" si="44"/>
        <v>5.86 pts.</v>
      </c>
      <c r="AN116" s="481" t="str">
        <f t="shared" si="45"/>
        <v>-2.65 pts.</v>
      </c>
      <c r="AO116" s="11"/>
    </row>
    <row r="117" spans="1:41" x14ac:dyDescent="0.35">
      <c r="A117" s="65" t="s">
        <v>5</v>
      </c>
      <c r="B117" s="66"/>
      <c r="C117" s="11"/>
      <c r="D117" s="11"/>
      <c r="E117" s="11"/>
      <c r="F117" s="11"/>
      <c r="G117" s="11"/>
      <c r="H117" s="11"/>
      <c r="I117" s="59"/>
      <c r="J117" s="59"/>
      <c r="K117" s="11"/>
      <c r="L117" s="11"/>
      <c r="M117" s="11"/>
      <c r="N117" s="11"/>
      <c r="O117" s="140"/>
      <c r="P117" s="140"/>
      <c r="Q117" s="140"/>
      <c r="R117" s="140"/>
      <c r="S117" s="140"/>
      <c r="T117" s="140"/>
      <c r="U117" s="140"/>
      <c r="V117" s="140"/>
      <c r="W117" s="140"/>
      <c r="X117" s="140"/>
      <c r="Y117" s="140"/>
      <c r="Z117" s="140"/>
      <c r="AA117" s="140"/>
      <c r="AB117" s="140"/>
      <c r="AC117" s="140"/>
      <c r="AD117" s="140"/>
      <c r="AE117" s="140"/>
      <c r="AF117" s="140"/>
      <c r="AG117" s="140"/>
      <c r="AH117" s="140"/>
      <c r="AI117" s="140"/>
      <c r="AJ117" s="140"/>
      <c r="AK117" s="140"/>
      <c r="AL117" s="140"/>
      <c r="AM117" s="140"/>
      <c r="AN117" s="140"/>
      <c r="AO117" s="11"/>
    </row>
    <row r="118" spans="1:41" x14ac:dyDescent="0.35">
      <c r="A118" s="65" t="s">
        <v>6</v>
      </c>
      <c r="B118" s="66"/>
      <c r="C118" s="11"/>
      <c r="D118" s="11"/>
      <c r="E118" s="11"/>
      <c r="F118" s="11"/>
      <c r="G118" s="11"/>
      <c r="H118" s="88" t="s">
        <v>80</v>
      </c>
      <c r="I118" s="136" t="str">
        <f>IF(_epmOfflineCondition_,"T3",_xll.EVPRO($B$1,$H118,"STYLE"))</f>
        <v>T3</v>
      </c>
      <c r="J118" s="136" t="str">
        <f>IF(_epmOfflineCondition_,"Y",_xll.EVPRO($B$1,$H118,"CALC"))</f>
        <v>Y</v>
      </c>
      <c r="K118" s="106"/>
      <c r="L118" s="106"/>
      <c r="M118" s="106"/>
      <c r="N118" s="106" t="str">
        <f>IF(_epmOfflineCondition_,"Total Expenses",IF(_xll.EVDES(H118,$B$1)="#NODATA","",_xll.EVDES(H118,$B$1)))</f>
        <v>Total Expenses</v>
      </c>
      <c r="O118" s="238">
        <v>35832.07</v>
      </c>
      <c r="P118" s="238">
        <v>61830.62</v>
      </c>
      <c r="Q118" s="238">
        <v>77359.67</v>
      </c>
      <c r="R118" s="238">
        <v>97207.16</v>
      </c>
      <c r="S118" s="238">
        <v>93382.02</v>
      </c>
      <c r="T118" s="238">
        <v>82049.88</v>
      </c>
      <c r="U118" s="238">
        <v>105277.67</v>
      </c>
      <c r="V118" s="238">
        <v>83724.17</v>
      </c>
      <c r="W118" s="238">
        <v>113187.98</v>
      </c>
      <c r="X118" s="238">
        <v>91886.74</v>
      </c>
      <c r="Y118" s="238">
        <v>113988.4</v>
      </c>
      <c r="Z118" s="238">
        <v>126936.71</v>
      </c>
      <c r="AA118" s="238">
        <f>IF($I118="B1","",SUM(O118:Z118))</f>
        <v>1082663.0900000001</v>
      </c>
      <c r="AB118" s="239">
        <f>IF(AA118=0,"",IFERROR(AA118/AA$19,""))</f>
        <v>1.4484869985999758</v>
      </c>
      <c r="AC118" s="140"/>
      <c r="AD118" s="238">
        <v>698044.52043820301</v>
      </c>
      <c r="AE118" s="239">
        <f>IF(AD118=0,"",IFERROR(AD118/AD$19,""))</f>
        <v>0.86394046591955742</v>
      </c>
      <c r="AF118" s="254">
        <f>IF(AND($AA118="",AD118=""),"",$AA118-AD118)</f>
        <v>384618.56956179708</v>
      </c>
      <c r="AG118" s="255">
        <v>458921.16</v>
      </c>
      <c r="AH118" s="256">
        <f>IF(AG118=0,"",IFERROR(AG118/AG$19,""))</f>
        <v>1.7840624365849278</v>
      </c>
      <c r="AI118" s="254">
        <f>IF(AND($AA118="",AG118=""),"",$AA118-AG118)</f>
        <v>623741.93000000017</v>
      </c>
      <c r="AJ118" s="537">
        <f>IFERROR(AA118/AA$20,0)</f>
        <v>60.376036694178012</v>
      </c>
      <c r="AK118" s="538">
        <f>IFERROR(AD118/AD$20,0)</f>
        <v>33.313187001918628</v>
      </c>
      <c r="AL118" s="539">
        <f>IFERROR(AG118/AG$20,0)</f>
        <v>65.224724275156333</v>
      </c>
      <c r="AM118" s="540" t="str">
        <f>+IFERROR(ROUND(($AB118-AE118)*100,2)&amp;" pts.",0)</f>
        <v>58.45 pts.</v>
      </c>
      <c r="AN118" s="541" t="str">
        <f>+IFERROR(ROUND(($AB118-AH118)*100,2)&amp;" pts.",0)</f>
        <v>-33.56 pts.</v>
      </c>
      <c r="AO118" s="11"/>
    </row>
    <row r="119" spans="1:41" ht="15" thickBot="1" x14ac:dyDescent="0.4">
      <c r="A119" s="65" t="s">
        <v>7</v>
      </c>
      <c r="B119" s="66"/>
      <c r="C119" s="11"/>
      <c r="D119" s="11"/>
      <c r="E119" s="11"/>
      <c r="F119" s="11"/>
      <c r="G119" s="11"/>
      <c r="H119" s="88" t="s">
        <v>81</v>
      </c>
      <c r="I119" s="136" t="str">
        <f>IF(_epmOfflineCondition_,"T3",_xll.EVPRO($B$1,$H119,"STYLE"))</f>
        <v>T3</v>
      </c>
      <c r="J119" s="136" t="str">
        <f>IF(_epmOfflineCondition_,"Y",_xll.EVPRO($B$1,$H119,"CALC"))</f>
        <v>Y</v>
      </c>
      <c r="K119" s="106"/>
      <c r="L119" s="106"/>
      <c r="M119" s="106"/>
      <c r="N119" s="106" t="str">
        <f>IF(_epmOfflineCondition_,"Department Profit (Loss)",IF(_xll.EVDES(H119,$B$1)="#NODATA","",_xll.EVDES(H119,$B$1)))</f>
        <v>Department Profit (Loss)</v>
      </c>
      <c r="O119" s="169">
        <v>-9620.99</v>
      </c>
      <c r="P119" s="169">
        <v>-16847.53</v>
      </c>
      <c r="Q119" s="169">
        <v>-26398.97</v>
      </c>
      <c r="R119" s="169">
        <v>-56022.23</v>
      </c>
      <c r="S119" s="169">
        <v>-51008.41</v>
      </c>
      <c r="T119" s="169">
        <v>-36764.959999999999</v>
      </c>
      <c r="U119" s="169">
        <v>-52016.2</v>
      </c>
      <c r="V119" s="169">
        <v>-48631.86</v>
      </c>
      <c r="W119" s="169">
        <v>-83704.31</v>
      </c>
      <c r="X119" s="169">
        <v>-50434.41</v>
      </c>
      <c r="Y119" s="169">
        <v>-61276.32</v>
      </c>
      <c r="Z119" s="169">
        <v>-42856.41</v>
      </c>
      <c r="AA119" s="169">
        <f>IF($I119="B1","",SUM(O119:Z119))</f>
        <v>-535582.6</v>
      </c>
      <c r="AB119" s="170">
        <f>IF(AA119=0,"",IFERROR(AA119/AA$19,""))</f>
        <v>-0.71655202799642059</v>
      </c>
      <c r="AC119" s="140"/>
      <c r="AD119" s="169">
        <v>-83406.277938202998</v>
      </c>
      <c r="AE119" s="170">
        <f>IF(AD119=0,"",IFERROR(AD119/AD$19,""))</f>
        <v>-0.10322845680002213</v>
      </c>
      <c r="AF119" s="171">
        <f>IF(AND($AA119="",AD119=""),"",$AA119-AD119)</f>
        <v>-452176.32206179696</v>
      </c>
      <c r="AG119" s="169">
        <v>-311608</v>
      </c>
      <c r="AH119" s="170">
        <f>IF(AG119=0,"",IFERROR(AG119/AG$19,""))</f>
        <v>-1.2113804639981216</v>
      </c>
      <c r="AI119" s="171">
        <f>IF(AND($AA119="",AG119=""),"",$AA119-AG119)</f>
        <v>-223974.59999999998</v>
      </c>
      <c r="AJ119" s="483">
        <f>IFERROR(AA119/AA$20,0)</f>
        <v>-29.867421369618558</v>
      </c>
      <c r="AK119" s="484">
        <f>IFERROR(AD119/AD$20,0)</f>
        <v>-3.9804465943592153</v>
      </c>
      <c r="AL119" s="485">
        <f>IFERROR(AG119/AG$20,0)</f>
        <v>-44.28766344513928</v>
      </c>
      <c r="AM119" s="486" t="str">
        <f>+IFERROR(ROUND(($AB119-AE119)*100,2)&amp;" pts.",0)</f>
        <v>-61.33 pts.</v>
      </c>
      <c r="AN119" s="487" t="str">
        <f>+IFERROR(ROUND(($AB119-AH119)*100,2)&amp;" pts.",0)</f>
        <v>49.48 pts.</v>
      </c>
      <c r="AO119" s="11"/>
    </row>
    <row r="120" spans="1:41" ht="15" thickTop="1" x14ac:dyDescent="0.35">
      <c r="A120" s="65" t="s">
        <v>47</v>
      </c>
      <c r="B120" s="66" t="str">
        <f>IF(_epmOfflineCondition_,"'Venue1'!$A$125:$B$146",_xll.EVRNG($A$125:$B$146))</f>
        <v>'Venue1'!$A$125:$B$146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04" t="str">
        <f>N118&amp;" - Check"</f>
        <v>Total Expenses - Check</v>
      </c>
      <c r="O121" s="209">
        <f t="shared" ref="O121:AA121" si="46">SUMIF($H$35:$H$119,"600000",O$35:O$119)+SUMIF($H$35:$H$119,"700000",O$35:O$119)-SUMIF($H$35:$H$119,"TOTDEPTEXP",O$35:O$119)</f>
        <v>0</v>
      </c>
      <c r="P121" s="209">
        <f t="shared" si="46"/>
        <v>0</v>
      </c>
      <c r="Q121" s="209">
        <f t="shared" si="46"/>
        <v>0</v>
      </c>
      <c r="R121" s="209">
        <f t="shared" si="46"/>
        <v>0</v>
      </c>
      <c r="S121" s="209">
        <f t="shared" si="46"/>
        <v>0</v>
      </c>
      <c r="T121" s="209">
        <f t="shared" si="46"/>
        <v>0</v>
      </c>
      <c r="U121" s="209">
        <f t="shared" si="46"/>
        <v>0</v>
      </c>
      <c r="V121" s="209">
        <f t="shared" si="46"/>
        <v>0</v>
      </c>
      <c r="W121" s="209">
        <f t="shared" si="46"/>
        <v>0</v>
      </c>
      <c r="X121" s="209">
        <f t="shared" si="46"/>
        <v>0</v>
      </c>
      <c r="Y121" s="209">
        <f t="shared" si="46"/>
        <v>0</v>
      </c>
      <c r="Z121" s="209">
        <f t="shared" si="46"/>
        <v>0</v>
      </c>
      <c r="AA121" s="209">
        <f t="shared" si="46"/>
        <v>0</v>
      </c>
      <c r="AB121" s="100"/>
      <c r="AC121" s="11"/>
      <c r="AD121" s="209">
        <f>SUMIF($H$35:$H$119,"600000",AD$35:AD$119)+SUMIF($H$35:$H$119,"700000",AD$35:AD$119)-SUMIF($H$35:$H$119,"TOTDEPTEXP",AD$35:AD$119)</f>
        <v>0</v>
      </c>
      <c r="AE121" s="100"/>
      <c r="AF121" s="91"/>
      <c r="AG121" s="209">
        <f>SUMIF($H$35:$H$119,"600000",AG$35:AG$119)+SUMIF($H$35:$H$119,"700000",AG$35:AG$119)-SUMIF($H$35:$H$119,"TOTDEPTEXP",AG$35:AG$119)</f>
        <v>0</v>
      </c>
      <c r="AH121" s="100"/>
      <c r="AI121" s="9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04" t="str">
        <f>N119&amp;" - Check"</f>
        <v>Department Profit (Loss) - Check</v>
      </c>
      <c r="O122" s="209">
        <f t="shared" ref="O122:AA122" si="47">SUMIF($H$35:$H$119,"KPI_GP",O$35:O$119)-SUMIF($H$35:$H$119,"TOTDEPTEXP",O$35:O$119)-SUMIF($H$35:$H$119,"TOTDEPTPL",O$35:O$119)</f>
        <v>0</v>
      </c>
      <c r="P122" s="209">
        <f t="shared" si="47"/>
        <v>0</v>
      </c>
      <c r="Q122" s="209">
        <f t="shared" si="47"/>
        <v>0</v>
      </c>
      <c r="R122" s="209">
        <f t="shared" si="47"/>
        <v>0</v>
      </c>
      <c r="S122" s="209">
        <f t="shared" si="47"/>
        <v>0</v>
      </c>
      <c r="T122" s="209">
        <f t="shared" si="47"/>
        <v>0</v>
      </c>
      <c r="U122" s="209">
        <f t="shared" si="47"/>
        <v>0</v>
      </c>
      <c r="V122" s="209">
        <f t="shared" si="47"/>
        <v>0</v>
      </c>
      <c r="W122" s="209">
        <f t="shared" si="47"/>
        <v>0</v>
      </c>
      <c r="X122" s="209">
        <f t="shared" si="47"/>
        <v>0</v>
      </c>
      <c r="Y122" s="209">
        <f t="shared" si="47"/>
        <v>0</v>
      </c>
      <c r="Z122" s="209">
        <f t="shared" si="47"/>
        <v>0</v>
      </c>
      <c r="AA122" s="209">
        <f t="shared" si="47"/>
        <v>0</v>
      </c>
      <c r="AB122" s="100"/>
      <c r="AC122" s="11"/>
      <c r="AD122" s="209">
        <f>SUMIF($H$35:$H$119,"KPI_GP",AD$35:AD$119)-SUMIF($H$35:$H$119,"TOTDEPTEXP",AD$35:AD$119)-SUMIF($H$35:$H$119,"TOTDEPTPL",AD$35:AD$119)</f>
        <v>0</v>
      </c>
      <c r="AE122" s="100"/>
      <c r="AF122" s="91"/>
      <c r="AG122" s="209">
        <f>SUMIF($H$35:$H$119,"KPI_GP",AG$35:AG$119)-SUMIF($H$35:$H$119,"TOTDEPTEXP",AG$35:AG$119)-SUMIF($H$35:$H$119,"TOTDEPTPL",AG$35:AG$119)</f>
        <v>0</v>
      </c>
      <c r="AH122" s="100"/>
      <c r="AI122" s="9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37"/>
      <c r="P124" s="137"/>
      <c r="Q124" s="137"/>
      <c r="R124" s="137"/>
      <c r="S124" s="137"/>
      <c r="T124" s="137"/>
      <c r="U124" s="137"/>
      <c r="V124" s="137"/>
      <c r="W124" s="137"/>
      <c r="X124" s="137"/>
      <c r="Y124" s="137"/>
      <c r="Z124" s="137"/>
      <c r="AA124" s="137"/>
      <c r="AB124" s="11"/>
      <c r="AC124" s="11"/>
      <c r="AD124" s="137"/>
      <c r="AE124" s="11"/>
      <c r="AF124" s="11"/>
      <c r="AG124" s="137"/>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37"/>
      <c r="P126" s="137"/>
      <c r="Q126" s="137"/>
      <c r="R126" s="137"/>
      <c r="S126" s="137"/>
      <c r="T126" s="137"/>
      <c r="U126" s="137"/>
      <c r="V126" s="137"/>
      <c r="W126" s="137"/>
      <c r="X126" s="137"/>
      <c r="Y126" s="137"/>
      <c r="Z126" s="137"/>
      <c r="AA126" s="137"/>
      <c r="AB126" s="11"/>
      <c r="AC126" s="11"/>
      <c r="AD126" s="137"/>
      <c r="AE126" s="11"/>
      <c r="AF126" s="11"/>
      <c r="AG126" s="137"/>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59"/>
      <c r="I142" s="59"/>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59"/>
      <c r="I143" s="59"/>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59"/>
      <c r="I144" s="59"/>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59"/>
      <c r="I145" s="59"/>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59"/>
      <c r="I146" s="59"/>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59"/>
      <c r="I147" s="59"/>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59"/>
      <c r="I148" s="59"/>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59"/>
      <c r="I149" s="59"/>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59"/>
      <c r="I150" s="59"/>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59"/>
      <c r="I151" s="59"/>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267"/>
      <c r="J192" s="11"/>
      <c r="K192" s="267"/>
      <c r="L192" s="267"/>
      <c r="M192" s="267"/>
      <c r="N192" s="11"/>
      <c r="O192" s="267"/>
      <c r="P192" s="267"/>
      <c r="Q192" s="267"/>
      <c r="R192" s="267"/>
      <c r="S192" s="267"/>
      <c r="T192" s="267"/>
      <c r="U192" s="267"/>
      <c r="V192" s="267"/>
      <c r="W192" s="267"/>
      <c r="X192" s="267"/>
      <c r="Y192" s="267"/>
      <c r="Z192" s="267"/>
      <c r="AA192" s="267"/>
      <c r="AB192" s="11"/>
      <c r="AC192" s="11"/>
      <c r="AD192" s="267"/>
      <c r="AE192" s="11"/>
      <c r="AF192" s="267"/>
      <c r="AG192" s="11"/>
      <c r="AH192" s="267"/>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row r="195" spans="1:41"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row>
    <row r="196" spans="1:41" x14ac:dyDescent="0.35">
      <c r="A196" s="11"/>
      <c r="B196" s="11"/>
      <c r="C196" s="11"/>
      <c r="D196" s="11"/>
      <c r="E196" s="11"/>
      <c r="F196" s="11"/>
      <c r="G196" s="11"/>
      <c r="H196" s="11"/>
      <c r="I196" s="267"/>
      <c r="J196" s="11"/>
      <c r="K196" s="267"/>
      <c r="L196" s="267"/>
      <c r="M196" s="267"/>
      <c r="N196" s="11"/>
      <c r="O196" s="267"/>
      <c r="P196" s="267"/>
      <c r="Q196" s="267"/>
      <c r="R196" s="267"/>
      <c r="S196" s="267"/>
      <c r="T196" s="267"/>
      <c r="U196" s="267"/>
      <c r="V196" s="267"/>
      <c r="W196" s="267"/>
      <c r="X196" s="267"/>
      <c r="Y196" s="267"/>
      <c r="Z196" s="267"/>
      <c r="AA196" s="267"/>
      <c r="AB196" s="11"/>
      <c r="AC196" s="11"/>
      <c r="AD196" s="267"/>
      <c r="AE196" s="11"/>
      <c r="AF196" s="267"/>
      <c r="AG196" s="11"/>
      <c r="AH196" s="267"/>
      <c r="AI196" s="11"/>
      <c r="AJ196" s="11"/>
      <c r="AK196" s="11"/>
      <c r="AL196" s="11"/>
      <c r="AM196" s="11"/>
      <c r="AN196" s="11"/>
      <c r="AO196" s="11"/>
    </row>
  </sheetData>
  <sheetProtection algorithmName="SHA-512" hashValue="sGwNgR/ev2bCL5FkvxUUvC8PeUe73wkH+9Bwm7QkiwMCkSbC13atzJzOxgC7HRPJBtnkSlI8q//Cob66WjxEng==" saltValue="+vpaLJ2vGCovXdoj3Hvgrg==" spinCount="100000" sheet="1" scenarios="1"/>
  <mergeCells count="2">
    <mergeCell ref="AD31:AE31"/>
    <mergeCell ref="AG31:AH31"/>
  </mergeCells>
  <dataValidations disablePrompts="1" count="2">
    <dataValidation type="list" allowBlank="1" sqref="B28 B61 B94" xr:uid="{00000000-0002-0000-0700-000000000000}">
      <formula1>"ACCOUNT,BUSINESSUNIT,CATEGORY,DATASRC,DEPARTMENT,INTCO,MEASURES,RPTCURRENCY,TIME"</formula1>
    </dataValidation>
    <dataValidation type="list" allowBlank="1" sqref="B29 B62 B95" xr:uid="{00000000-0002-0000-07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0248" r:id="rId7" name="FPMExcelClientSheetOptionstb1">
          <controlPr defaultSize="0" autoLine="0" r:id="rId8">
            <anchor moveWithCells="1" sizeWithCells="1">
              <from>
                <xdr:col>0</xdr:col>
                <xdr:colOff>0</xdr:colOff>
                <xdr:row>0</xdr:row>
                <xdr:rowOff>0</xdr:rowOff>
              </from>
              <to>
                <xdr:col>13</xdr:col>
                <xdr:colOff>889000</xdr:colOff>
                <xdr:row>0</xdr:row>
                <xdr:rowOff>0</xdr:rowOff>
              </to>
            </anchor>
          </controlPr>
        </control>
      </mc:Choice>
      <mc:Fallback>
        <control shapeId="10248" r:id="rId7" name="FPMExcelClientSheetOptionstb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Venue1!N1</f>
        <v>Seawell Restaurant</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725</v>
      </c>
      <c r="C6" s="11" t="str">
        <f>IF(_epmOfflineCondition_,"Venue 1",_xll.EVDES(B6,$B$1))</f>
        <v>Venue 1</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IF(_epmOfflineCondition_,"'Venue1_KPI'!$B$2:$B$10",_xll.EVRNG($B$2:$B$10))</f>
        <v>'Venue1_KPI'!$B$2:$B$10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IF(_epmOfflineCondition_,"'Venue1_KPI'!$O$16:$AI$18",_xll.EVRNG(O16:AI18))</f>
        <v>'Venue1_KPI'!$O$16:$AI$18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IF(_epmOfflineCondition_,"'Venue1_KPI'!$H$35:$H$146",_xll.EVRNG(H35:H146))</f>
        <v>'Venue1_KPI'!$H$35:$H$146</v>
      </c>
      <c r="C19" s="11"/>
      <c r="D19" s="11"/>
      <c r="E19" s="11"/>
      <c r="F19" s="11"/>
      <c r="G19" s="67" t="str">
        <f>$B$6</f>
        <v>D2140</v>
      </c>
      <c r="H19" s="67" t="s">
        <v>273</v>
      </c>
      <c r="I19" s="68"/>
      <c r="J19" s="68"/>
      <c r="K19" s="67"/>
      <c r="L19" s="67"/>
      <c r="M19" s="67"/>
      <c r="N19" s="67" t="str">
        <f>IF(_epmOfflineCondition_,"Total Food &amp; Beverage Revenue",_xll.EVDES(H19))</f>
        <v>Total Food &amp; Beverage Revenue</v>
      </c>
      <c r="O19" s="69">
        <f>IF(_epmOfflineCondition_,29503.88,_xll.EVGTS($B$1,1,$B$3,$B$5,$B$7,$B$9,O$16,O$17,O$18,$G$19,$H$19))</f>
        <v>29503.88</v>
      </c>
      <c r="P19" s="69">
        <f>IF(_epmOfflineCondition_,46479.19,_xll.EVGTS($B$1,1,$B$3,$B$5,$B$7,$B$9,P$16,P$17,P$18,$G$19,$H$19))</f>
        <v>46479.19</v>
      </c>
      <c r="Q19" s="69">
        <f>IF(_epmOfflineCondition_,61259.65,_xll.EVGTS($B$1,1,$B$3,$B$5,$B$7,$B$9,Q$16,Q$17,Q$18,$G$19,$H$19))</f>
        <v>61259.65</v>
      </c>
      <c r="R19" s="69">
        <f>IF(_epmOfflineCondition_,54436.33,_xll.EVGTS($B$1,1,$B$3,$B$5,$B$7,$B$9,R$16,R$17,R$18,$G$19,$H$19))</f>
        <v>54436.33</v>
      </c>
      <c r="S19" s="69">
        <f>IF(_epmOfflineCondition_,55359.35,_xll.EVGTS($B$1,1,$B$3,$B$5,$B$7,$B$9,S$16,S$17,S$18,$G$19,$H$19))</f>
        <v>55359.35</v>
      </c>
      <c r="T19" s="69">
        <f>IF(_epmOfflineCondition_,50914.96,_xll.EVGTS($B$1,1,$B$3,$B$5,$B$7,$B$9,T$16,T$17,T$18,$G$19,$H$19))</f>
        <v>50914.96</v>
      </c>
      <c r="U19" s="69">
        <f>IF(_epmOfflineCondition_,59464.33,_xll.EVGTS($B$1,1,$B$3,$B$5,$B$7,$B$9,U$16,U$17,U$18,$G$19,$H$19))</f>
        <v>59464.33</v>
      </c>
      <c r="V19" s="69">
        <f>IF(_epmOfflineCondition_,41327.47,_xll.EVGTS($B$1,1,$B$3,$B$5,$B$7,$B$9,V$16,V$17,V$18,$G$19,$H$19))</f>
        <v>41327.47</v>
      </c>
      <c r="W19" s="69">
        <f>IF(_epmOfflineCondition_,34352.36,_xll.EVGTS($B$1,1,$B$3,$B$5,$B$7,$B$9,W$16,W$17,W$18,$G$19,$H$19))</f>
        <v>34352.36</v>
      </c>
      <c r="X19" s="69">
        <f>IF(_epmOfflineCondition_,47410.62,_xll.EVGTS($B$1,1,$B$3,$B$5,$B$7,$B$9,X$16,X$17,X$18,$G$19,$H$19))</f>
        <v>47410.62</v>
      </c>
      <c r="Y19" s="69">
        <f>IF(_epmOfflineCondition_,58575.61,_xll.EVGTS($B$1,1,$B$3,$B$5,$B$7,$B$9,Y$16,Y$17,Y$18,$G$19,$H$19))</f>
        <v>58575.61</v>
      </c>
      <c r="Z19" s="69">
        <f>IF(_epmOfflineCondition_,94212.85,_xll.EVGTS($B$1,1,$B$3,$B$5,$B$7,$B$9,Z$16,Z$17,Z$18,$G$19,$H$19))</f>
        <v>94212.85</v>
      </c>
      <c r="AA19" s="69">
        <f>SUM(O19:Z19)</f>
        <v>633296.6</v>
      </c>
      <c r="AB19" s="67"/>
      <c r="AC19" s="67"/>
      <c r="AD19" s="69">
        <f>IF(_epmOfflineCondition_,678972.75,_xll.EVGTS($B$1,1,$B$3,$B$5,$B$7,$B$9,AD$16,AD$17,AD$18,$G$19,$H$19))</f>
        <v>678972.75</v>
      </c>
      <c r="AE19" s="67"/>
      <c r="AF19" s="67"/>
      <c r="AG19" s="69">
        <f>IF(_epmOfflineCondition_,216548.7,_xll.EVGTS($B$1,1,$B$3,$B$5,$B$7,$B$9,AG$16,AG$17,AG$18,$G$19,$H$19))</f>
        <v>216548.7</v>
      </c>
      <c r="AH19" s="67"/>
      <c r="AI19" s="67"/>
    </row>
    <row r="20" spans="1:35" hidden="1" outlineLevel="1" x14ac:dyDescent="0.35">
      <c r="A20" s="65" t="s">
        <v>5</v>
      </c>
      <c r="B20" s="66"/>
      <c r="C20" s="11"/>
      <c r="D20" s="11"/>
      <c r="E20" s="11"/>
      <c r="F20" s="11"/>
      <c r="G20" s="67" t="str">
        <f>$B$6</f>
        <v>D2140</v>
      </c>
      <c r="H20" s="67">
        <v>946000</v>
      </c>
      <c r="I20" s="68"/>
      <c r="J20" s="68"/>
      <c r="K20" s="67"/>
      <c r="L20" s="67"/>
      <c r="M20" s="67"/>
      <c r="N20" s="67" t="str">
        <f>IF(_epmOfflineCondition_,"Total Customers",_xll.EVDES(H20))</f>
        <v>Total Customers</v>
      </c>
      <c r="O20" s="69">
        <f>IF(_epmOfflineCondition_,854,_xll.EVGTS($B$1,1,$B$3,$B$5,$B$7,$B$9,O$16,O$17,O$18,$G$20,$H$20))</f>
        <v>854</v>
      </c>
      <c r="P20" s="69">
        <f>IF(_epmOfflineCondition_,1206,_xll.EVGTS($B$1,1,$B$3,$B$5,$B$7,$B$9,P$16,P$17,P$18,$G$20,$H$20))</f>
        <v>1206</v>
      </c>
      <c r="Q20" s="69">
        <f>IF(_epmOfflineCondition_,1641,_xll.EVGTS($B$1,1,$B$3,$B$5,$B$7,$B$9,Q$16,Q$17,Q$18,$G$20,$H$20))</f>
        <v>1641</v>
      </c>
      <c r="R20" s="69">
        <f>IF(_epmOfflineCondition_,1474,_xll.EVGTS($B$1,1,$B$3,$B$5,$B$7,$B$9,R$16,R$17,R$18,$G$20,$H$20))</f>
        <v>1474</v>
      </c>
      <c r="S20" s="69">
        <f>IF(_epmOfflineCondition_,1693,_xll.EVGTS($B$1,1,$B$3,$B$5,$B$7,$B$9,S$16,S$17,S$18,$G$20,$H$20))</f>
        <v>1693</v>
      </c>
      <c r="T20" s="69">
        <f>IF(_epmOfflineCondition_,1596,_xll.EVGTS($B$1,1,$B$3,$B$5,$B$7,$B$9,T$16,T$17,T$18,$G$20,$H$20))</f>
        <v>1596</v>
      </c>
      <c r="U20" s="69">
        <f>IF(_epmOfflineCondition_,1643,_xll.EVGTS($B$1,1,$B$3,$B$5,$B$7,$B$9,U$16,U$17,U$18,$G$20,$H$20))</f>
        <v>1643</v>
      </c>
      <c r="V20" s="69">
        <f>IF(_epmOfflineCondition_,1045,_xll.EVGTS($B$1,1,$B$3,$B$5,$B$7,$B$9,V$16,V$17,V$18,$G$20,$H$20))</f>
        <v>1045</v>
      </c>
      <c r="W20" s="69">
        <f>IF(_epmOfflineCondition_,965,_xll.EVGTS($B$1,1,$B$3,$B$5,$B$7,$B$9,W$16,W$17,W$18,$G$20,$H$20))</f>
        <v>965</v>
      </c>
      <c r="X20" s="69">
        <f>IF(_epmOfflineCondition_,1318,_xll.EVGTS($B$1,1,$B$3,$B$5,$B$7,$B$9,X$16,X$17,X$18,$G$20,$H$20))</f>
        <v>1318</v>
      </c>
      <c r="Y20" s="69">
        <f>IF(_epmOfflineCondition_,1773,_xll.EVGTS($B$1,1,$B$3,$B$5,$B$7,$B$9,Y$16,Y$17,Y$18,$G$20,$H$20))</f>
        <v>1773</v>
      </c>
      <c r="Z20" s="69">
        <f>IF(_epmOfflineCondition_,2724,_xll.EVGTS($B$1,1,$B$3,$B$5,$B$7,$B$9,Z$16,Z$17,Z$18,$G$20,$H$20))</f>
        <v>2724</v>
      </c>
      <c r="AA20" s="69">
        <f>SUM(O20:Z20)</f>
        <v>17932</v>
      </c>
      <c r="AB20" s="67"/>
      <c r="AC20" s="67"/>
      <c r="AD20" s="69">
        <f>IF(_epmOfflineCondition_,20954,_xll.EVGTS($B$1,1,$B$3,$B$5,$B$7,$B$9,AD$16,AD$17,AD$18,$G$20,$H$20))</f>
        <v>20954</v>
      </c>
      <c r="AE20" s="67"/>
      <c r="AF20" s="67"/>
      <c r="AG20" s="69">
        <f>IF(_epmOfflineCondition_,7036,_xll.EVGTS($B$1,1,$B$3,$B$5,$B$7,$B$9,AG$16,AG$17,AG$18,$G$20,$H$20))</f>
        <v>7036</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IF(_epmOfflineCondition_,"'Venue1_KPI'!$A$37:$B$58",_xll.EVRNG($A$37:$B$58))</f>
        <v>'Venue1_KPI'!$A$37:$B$58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IF(_epmOfflineCondition_,"Seawell Restaurant",IF($N$1="",IF(_xll.EVDES(B6,$B$1)="#NODATA","",_xll.EVDES(B6,$B$1)&amp;" Department"),$N$1))</f>
        <v>Seawell Restaurant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v>7852.93</v>
      </c>
      <c r="P35" s="143">
        <v>10689</v>
      </c>
      <c r="Q35" s="143">
        <v>14779.22</v>
      </c>
      <c r="R35" s="143">
        <v>14221.48</v>
      </c>
      <c r="S35" s="143">
        <v>16273.84</v>
      </c>
      <c r="T35" s="143">
        <v>16195.25</v>
      </c>
      <c r="U35" s="143">
        <v>17208.509999999998</v>
      </c>
      <c r="V35" s="143">
        <v>10576</v>
      </c>
      <c r="W35" s="143">
        <v>11693.7</v>
      </c>
      <c r="X35" s="143">
        <v>16515.91</v>
      </c>
      <c r="Y35" s="143">
        <v>16831.5</v>
      </c>
      <c r="Z35" s="143">
        <v>45179.83</v>
      </c>
      <c r="AA35" s="143">
        <f t="shared" ref="AA35:AA41" si="0">SUM(O35:Z35)</f>
        <v>198017.16999999998</v>
      </c>
      <c r="AB35" s="144">
        <f>IF(AA35=0,"",IFERROR(AA35/AA$19,""))</f>
        <v>0.31267682472951852</v>
      </c>
      <c r="AC35" s="140"/>
      <c r="AD35" s="143">
        <v>192203.55</v>
      </c>
      <c r="AE35" s="144">
        <f>IF(AD35=0,"",IFERROR(AD35/AD$19,""))</f>
        <v>0.28307991741936622</v>
      </c>
      <c r="AF35" s="145">
        <f t="shared" ref="AF35:AF42" si="1">IF(AND($AA35="",AD35=""),"",$AA35-AD35)</f>
        <v>5813.6199999999953</v>
      </c>
      <c r="AG35" s="143">
        <v>47394.5</v>
      </c>
      <c r="AH35" s="144">
        <f>IF(AG35=0,"",IFERROR(AG35/AG$19,""))</f>
        <v>0.21886300864424491</v>
      </c>
      <c r="AI35" s="145">
        <f t="shared" ref="AI35:AI42" si="2">IF(AND($AA35="",AG35=""),"",$AA35-AG35)</f>
        <v>150622.66999999998</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v>103</v>
      </c>
      <c r="P36" s="143">
        <v>154</v>
      </c>
      <c r="Q36" s="143">
        <v>255</v>
      </c>
      <c r="R36" s="143">
        <v>204</v>
      </c>
      <c r="S36" s="143">
        <v>592.79999999999995</v>
      </c>
      <c r="T36" s="143">
        <v>413</v>
      </c>
      <c r="U36" s="143">
        <v>656</v>
      </c>
      <c r="V36" s="143">
        <v>680.07</v>
      </c>
      <c r="W36" s="143">
        <v>222</v>
      </c>
      <c r="X36" s="143">
        <v>787</v>
      </c>
      <c r="Y36" s="143">
        <v>574</v>
      </c>
      <c r="Z36" s="143">
        <v>2052.1999999999998</v>
      </c>
      <c r="AA36" s="143">
        <f t="shared" si="0"/>
        <v>6693.0700000000006</v>
      </c>
      <c r="AB36" s="144">
        <f>IF(AA36=0,"",IFERROR(AA36/AA$19,""))</f>
        <v>1.0568618243015991E-2</v>
      </c>
      <c r="AC36" s="140"/>
      <c r="AD36" s="143">
        <v>10677.975</v>
      </c>
      <c r="AE36" s="144">
        <f>IF(AD36=0,"",IFERROR(AD36/AD$19,""))</f>
        <v>1.5726662078853679E-2</v>
      </c>
      <c r="AF36" s="145">
        <f t="shared" si="1"/>
        <v>-3984.9049999999997</v>
      </c>
      <c r="AG36" s="143">
        <v>746</v>
      </c>
      <c r="AH36" s="144">
        <f>IF(AG36=0,"",IFERROR(AG36/AG$19,""))</f>
        <v>3.4449525672516157E-3</v>
      </c>
      <c r="AI36" s="145">
        <f t="shared" si="2"/>
        <v>5947.0700000000006</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v>24</v>
      </c>
      <c r="Q37" s="143">
        <v>42</v>
      </c>
      <c r="R37" s="143">
        <v>28</v>
      </c>
      <c r="S37" s="143">
        <v>129</v>
      </c>
      <c r="T37" s="143"/>
      <c r="U37" s="143">
        <v>22</v>
      </c>
      <c r="V37" s="143">
        <v>40</v>
      </c>
      <c r="W37" s="143">
        <v>16</v>
      </c>
      <c r="X37" s="143">
        <v>23</v>
      </c>
      <c r="Y37" s="143">
        <v>32</v>
      </c>
      <c r="Z37" s="143">
        <v>384</v>
      </c>
      <c r="AA37" s="143">
        <f t="shared" si="0"/>
        <v>740</v>
      </c>
      <c r="AB37" s="144">
        <f>IF(AA37=0,"",IFERROR(AA37/AA$19,""))</f>
        <v>1.168488824983428E-3</v>
      </c>
      <c r="AC37" s="140"/>
      <c r="AD37" s="143"/>
      <c r="AE37" s="144" t="str">
        <f>IF(AD37=0,"",IFERROR(AD37/AD$19,""))</f>
        <v/>
      </c>
      <c r="AF37" s="145">
        <f t="shared" si="1"/>
        <v>740</v>
      </c>
      <c r="AG37" s="143">
        <v>56</v>
      </c>
      <c r="AH37" s="144">
        <f>IF(AG37=0,"",IFERROR(AG37/AG$19,""))</f>
        <v>2.5860233748805695E-4</v>
      </c>
      <c r="AI37" s="145">
        <f t="shared" si="2"/>
        <v>684</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v>755</v>
      </c>
      <c r="P38" s="217">
        <v>1134</v>
      </c>
      <c r="Q38" s="217">
        <v>1574</v>
      </c>
      <c r="R38" s="217">
        <v>1548</v>
      </c>
      <c r="S38" s="217">
        <v>1739</v>
      </c>
      <c r="T38" s="217">
        <v>1592</v>
      </c>
      <c r="U38" s="217">
        <v>1678</v>
      </c>
      <c r="V38" s="217">
        <v>558</v>
      </c>
      <c r="W38" s="217">
        <v>823</v>
      </c>
      <c r="X38" s="217">
        <v>1896</v>
      </c>
      <c r="Y38" s="217">
        <v>1024</v>
      </c>
      <c r="Z38" s="217">
        <v>2684.1</v>
      </c>
      <c r="AA38" s="217">
        <f t="shared" si="0"/>
        <v>17005.099999999999</v>
      </c>
      <c r="AB38" s="219">
        <f>IF(AA38=0,"",IFERROR(AA38/AA$19,""))</f>
        <v>2.6851715294223907E-2</v>
      </c>
      <c r="AC38" s="140"/>
      <c r="AD38" s="217">
        <v>10677.975</v>
      </c>
      <c r="AE38" s="219">
        <f>IF(AD38=0,"",IFERROR(AD38/AD$19,""))</f>
        <v>1.5726662078853679E-2</v>
      </c>
      <c r="AF38" s="220">
        <f t="shared" si="1"/>
        <v>6327.1249999999982</v>
      </c>
      <c r="AG38" s="217">
        <v>1773</v>
      </c>
      <c r="AH38" s="219">
        <f>IF(AG38=0,"",IFERROR(AG38/AG$19,""))</f>
        <v>8.187534720827231E-3</v>
      </c>
      <c r="AI38" s="220">
        <f t="shared" si="2"/>
        <v>15232.099999999999</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v>8710.93</v>
      </c>
      <c r="P39" s="166">
        <v>12001</v>
      </c>
      <c r="Q39" s="166">
        <v>16650.22</v>
      </c>
      <c r="R39" s="166">
        <v>16001.48</v>
      </c>
      <c r="S39" s="166">
        <v>18734.64</v>
      </c>
      <c r="T39" s="166">
        <v>18200.25</v>
      </c>
      <c r="U39" s="166">
        <v>19564.509999999998</v>
      </c>
      <c r="V39" s="166">
        <v>11854.07</v>
      </c>
      <c r="W39" s="166">
        <v>12754.7</v>
      </c>
      <c r="X39" s="166">
        <v>19221.91</v>
      </c>
      <c r="Y39" s="166">
        <v>18461.5</v>
      </c>
      <c r="Z39" s="166">
        <v>50300.13</v>
      </c>
      <c r="AA39" s="166">
        <f t="shared" si="0"/>
        <v>222455.34000000003</v>
      </c>
      <c r="AB39" s="167">
        <f>IF(AA39=0,"",IFERROR(AA39/AA$19,""))</f>
        <v>0.35126564709174191</v>
      </c>
      <c r="AC39" s="140"/>
      <c r="AD39" s="166">
        <v>213559.5</v>
      </c>
      <c r="AE39" s="167">
        <f>IF(AD39=0,"",IFERROR(AD39/AD$19,""))</f>
        <v>0.31453324157707357</v>
      </c>
      <c r="AF39" s="168">
        <f t="shared" si="1"/>
        <v>8895.8400000000256</v>
      </c>
      <c r="AG39" s="166">
        <v>49969.5</v>
      </c>
      <c r="AH39" s="167">
        <f>IF(AG39=0,"",IFERROR(AG39/AG$19,""))</f>
        <v>0.2307540982698118</v>
      </c>
      <c r="AI39" s="168">
        <f t="shared" si="2"/>
        <v>172485.84000000003</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v>22</v>
      </c>
      <c r="P40" s="210">
        <v>25</v>
      </c>
      <c r="Q40" s="210">
        <v>30</v>
      </c>
      <c r="R40" s="210">
        <v>30</v>
      </c>
      <c r="S40" s="210">
        <v>31</v>
      </c>
      <c r="T40" s="210">
        <v>30</v>
      </c>
      <c r="U40" s="210">
        <v>31</v>
      </c>
      <c r="V40" s="210">
        <v>32</v>
      </c>
      <c r="W40" s="210">
        <v>30</v>
      </c>
      <c r="X40" s="210">
        <v>31</v>
      </c>
      <c r="Y40" s="210">
        <v>30</v>
      </c>
      <c r="Z40" s="210">
        <v>32</v>
      </c>
      <c r="AA40" s="210">
        <f t="shared" si="0"/>
        <v>354</v>
      </c>
      <c r="AB40" s="211"/>
      <c r="AC40" s="140"/>
      <c r="AD40" s="210">
        <v>365</v>
      </c>
      <c r="AE40" s="211"/>
      <c r="AF40" s="253">
        <f t="shared" si="1"/>
        <v>-11</v>
      </c>
      <c r="AG40" s="210">
        <v>90</v>
      </c>
      <c r="AH40" s="211"/>
      <c r="AI40" s="253">
        <f t="shared" si="2"/>
        <v>264</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v>377</v>
      </c>
      <c r="P41" s="210">
        <v>504</v>
      </c>
      <c r="Q41" s="210">
        <v>792</v>
      </c>
      <c r="R41" s="210">
        <v>706</v>
      </c>
      <c r="S41" s="210">
        <v>813</v>
      </c>
      <c r="T41" s="210">
        <v>808</v>
      </c>
      <c r="U41" s="210">
        <v>793</v>
      </c>
      <c r="V41" s="210">
        <v>445</v>
      </c>
      <c r="W41" s="210">
        <v>440</v>
      </c>
      <c r="X41" s="210">
        <v>652</v>
      </c>
      <c r="Y41" s="210">
        <v>707</v>
      </c>
      <c r="Z41" s="210">
        <v>1886</v>
      </c>
      <c r="AA41" s="210">
        <f t="shared" si="0"/>
        <v>8923</v>
      </c>
      <c r="AB41" s="211">
        <f>IF(AA41=0,"",IFERROR(AA41/AA$87,""))</f>
        <v>0.49760205219718939</v>
      </c>
      <c r="AC41" s="140"/>
      <c r="AD41" s="210">
        <v>9030</v>
      </c>
      <c r="AE41" s="211">
        <f>IF(AD41=0,"",IFERROR(AD41/AD$87,""))</f>
        <v>0.43094397251121502</v>
      </c>
      <c r="AF41" s="253">
        <f t="shared" si="1"/>
        <v>-107</v>
      </c>
      <c r="AG41" s="210">
        <v>2691</v>
      </c>
      <c r="AH41" s="211">
        <f>IF(AG41=0,"",IFERROR(AG41/AG$87,""))</f>
        <v>0.38246162592382033</v>
      </c>
      <c r="AI41" s="253">
        <f t="shared" si="2"/>
        <v>6232</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23.105915119363399</v>
      </c>
      <c r="P42" s="495">
        <v>23.811507936507901</v>
      </c>
      <c r="Q42" s="495">
        <v>21.023005050505098</v>
      </c>
      <c r="R42" s="495">
        <v>22.6649858356941</v>
      </c>
      <c r="S42" s="495">
        <v>23.043837638376399</v>
      </c>
      <c r="T42" s="495">
        <v>22.525061881188101</v>
      </c>
      <c r="U42" s="495">
        <v>24.6715132408575</v>
      </c>
      <c r="V42" s="495">
        <v>26.638359550561798</v>
      </c>
      <c r="W42" s="495">
        <v>28.9879545454545</v>
      </c>
      <c r="X42" s="495">
        <v>29.481457055214701</v>
      </c>
      <c r="Y42" s="495">
        <v>26.1124469589816</v>
      </c>
      <c r="Z42" s="495">
        <v>26.6702704135737</v>
      </c>
      <c r="AA42" s="495">
        <f>IFERROR(AA39/AA41,"")</f>
        <v>24.930554746161608</v>
      </c>
      <c r="AB42" s="495"/>
      <c r="AC42" s="140"/>
      <c r="AD42" s="495">
        <v>23.65</v>
      </c>
      <c r="AE42" s="495"/>
      <c r="AF42" s="496">
        <f t="shared" si="1"/>
        <v>1.2805547461616094</v>
      </c>
      <c r="AG42" s="495">
        <v>18.569119286510599</v>
      </c>
      <c r="AH42" s="495"/>
      <c r="AI42" s="496">
        <f t="shared" si="2"/>
        <v>6.361435459651009</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23.11</v>
      </c>
      <c r="P43" s="498">
        <f t="shared" si="3"/>
        <v>23.81</v>
      </c>
      <c r="Q43" s="498">
        <f t="shared" si="3"/>
        <v>21.02</v>
      </c>
      <c r="R43" s="498">
        <f t="shared" si="3"/>
        <v>22.66</v>
      </c>
      <c r="S43" s="498">
        <f t="shared" si="3"/>
        <v>23.04</v>
      </c>
      <c r="T43" s="498">
        <f t="shared" si="3"/>
        <v>22.53</v>
      </c>
      <c r="U43" s="498">
        <f t="shared" si="3"/>
        <v>24.67</v>
      </c>
      <c r="V43" s="498">
        <f t="shared" si="3"/>
        <v>26.64</v>
      </c>
      <c r="W43" s="498">
        <f t="shared" si="3"/>
        <v>28.99</v>
      </c>
      <c r="X43" s="498">
        <f t="shared" si="3"/>
        <v>29.48</v>
      </c>
      <c r="Y43" s="498">
        <f t="shared" si="3"/>
        <v>26.11</v>
      </c>
      <c r="Z43" s="498">
        <f t="shared" si="3"/>
        <v>26.67</v>
      </c>
      <c r="AA43" s="498">
        <f t="shared" si="3"/>
        <v>24.93</v>
      </c>
      <c r="AB43" s="499"/>
      <c r="AC43" s="140"/>
      <c r="AD43" s="497">
        <f>ROUND(IFERROR(AD39/AD41,0),2)</f>
        <v>23.65</v>
      </c>
      <c r="AE43" s="498"/>
      <c r="AF43" s="159"/>
      <c r="AG43" s="497">
        <f>ROUND(IFERROR(AG39/AG41,0),2)</f>
        <v>18.57</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v>482</v>
      </c>
      <c r="P45" s="143"/>
      <c r="Q45" s="143">
        <v>157</v>
      </c>
      <c r="R45" s="143">
        <v>1925</v>
      </c>
      <c r="S45" s="143">
        <v>5112.2700000000004</v>
      </c>
      <c r="T45" s="143">
        <v>4971</v>
      </c>
      <c r="U45" s="143">
        <v>5480</v>
      </c>
      <c r="V45" s="143">
        <v>6789.4</v>
      </c>
      <c r="W45" s="143">
        <v>5304.5</v>
      </c>
      <c r="X45" s="143">
        <v>5542.41</v>
      </c>
      <c r="Y45" s="143">
        <v>12681</v>
      </c>
      <c r="Z45" s="143"/>
      <c r="AA45" s="143">
        <f t="shared" ref="AA45:AA51" si="5">SUM(O45:Z45)</f>
        <v>48444.58</v>
      </c>
      <c r="AB45" s="144">
        <f>IF(AA45=0,"",IFERROR(AA45/AA$19,""))</f>
        <v>7.6495878866237405E-2</v>
      </c>
      <c r="AC45" s="140"/>
      <c r="AD45" s="143">
        <v>48103.964999999997</v>
      </c>
      <c r="AE45" s="144">
        <f>IF(AD45=0,"",IFERROR(AD45/AD$19,""))</f>
        <v>7.0848152595225644E-2</v>
      </c>
      <c r="AF45" s="145">
        <f t="shared" ref="AF45:AF52" si="6">IF(AND($AA45="",AD45=""),"",$AA45-AD45)</f>
        <v>340.61500000000524</v>
      </c>
      <c r="AG45" s="143">
        <v>19457</v>
      </c>
      <c r="AH45" s="144">
        <f>IF(AG45=0,"",IFERROR(AG45/AG$19,""))</f>
        <v>8.9850458580448642E-2</v>
      </c>
      <c r="AI45" s="145">
        <f t="shared" ref="AI45:AI52" si="7">IF(AND($AA45="",AG45=""),"",$AA45-AG45)</f>
        <v>28987.58</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v>269</v>
      </c>
      <c r="S46" s="143">
        <v>503.52</v>
      </c>
      <c r="T46" s="143">
        <v>431</v>
      </c>
      <c r="U46" s="143">
        <v>1409</v>
      </c>
      <c r="V46" s="143">
        <v>624</v>
      </c>
      <c r="W46" s="143">
        <v>563</v>
      </c>
      <c r="X46" s="143">
        <v>388</v>
      </c>
      <c r="Y46" s="143">
        <v>641</v>
      </c>
      <c r="Z46" s="143"/>
      <c r="AA46" s="143">
        <f t="shared" si="5"/>
        <v>4828.5200000000004</v>
      </c>
      <c r="AB46" s="144">
        <f>IF(AA46=0,"",IFERROR(AA46/AA$19,""))</f>
        <v>7.6244211637959223E-3</v>
      </c>
      <c r="AC46" s="140"/>
      <c r="AD46" s="143">
        <v>4201.47</v>
      </c>
      <c r="AE46" s="144">
        <f>IF(AD46=0,"",IFERROR(AD46/AD$19,""))</f>
        <v>6.1879802981783883E-3</v>
      </c>
      <c r="AF46" s="145">
        <f t="shared" si="6"/>
        <v>627.05000000000018</v>
      </c>
      <c r="AG46" s="143">
        <v>2267.31</v>
      </c>
      <c r="AH46" s="144">
        <f>IF(AG46=0,"",IFERROR(AG46/AG$19,""))</f>
        <v>1.0470208318036543E-2</v>
      </c>
      <c r="AI46" s="145">
        <f t="shared" si="7"/>
        <v>2561.2100000000005</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v>15</v>
      </c>
      <c r="S47" s="143">
        <v>352</v>
      </c>
      <c r="T47" s="143">
        <v>16</v>
      </c>
      <c r="U47" s="143">
        <v>77</v>
      </c>
      <c r="V47" s="143">
        <v>124.4</v>
      </c>
      <c r="W47" s="143">
        <v>64</v>
      </c>
      <c r="X47" s="143">
        <v>93.8</v>
      </c>
      <c r="Y47" s="143">
        <v>138</v>
      </c>
      <c r="Z47" s="143"/>
      <c r="AA47" s="143">
        <f t="shared" si="5"/>
        <v>880.19999999999993</v>
      </c>
      <c r="AB47" s="144">
        <f>IF(AA47=0,"",IFERROR(AA47/AA$19,""))</f>
        <v>1.3898700861492072E-3</v>
      </c>
      <c r="AC47" s="140"/>
      <c r="AD47" s="143">
        <v>913.18499999999995</v>
      </c>
      <c r="AE47" s="144">
        <f>IF(AD47=0,"",IFERROR(AD47/AD$19,""))</f>
        <v>1.3449508835222032E-3</v>
      </c>
      <c r="AF47" s="145">
        <f t="shared" si="6"/>
        <v>-32.985000000000014</v>
      </c>
      <c r="AG47" s="143">
        <v>625</v>
      </c>
      <c r="AH47" s="144">
        <f>IF(AG47=0,"",IFERROR(AG47/AG$19,""))</f>
        <v>2.886186802322064E-3</v>
      </c>
      <c r="AI47" s="145">
        <f t="shared" si="7"/>
        <v>255.19999999999993</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v>20</v>
      </c>
      <c r="P48" s="217"/>
      <c r="Q48" s="217"/>
      <c r="R48" s="217">
        <v>754</v>
      </c>
      <c r="S48" s="217">
        <v>1020</v>
      </c>
      <c r="T48" s="217">
        <v>513</v>
      </c>
      <c r="U48" s="217">
        <v>1282</v>
      </c>
      <c r="V48" s="217">
        <v>1527.6</v>
      </c>
      <c r="W48" s="217">
        <v>1265</v>
      </c>
      <c r="X48" s="217">
        <v>955</v>
      </c>
      <c r="Y48" s="217">
        <v>1521</v>
      </c>
      <c r="Z48" s="217"/>
      <c r="AA48" s="217">
        <f t="shared" si="5"/>
        <v>8857.6</v>
      </c>
      <c r="AB48" s="219">
        <f>IF(AA48=0,"",IFERROR(AA48/AA$19,""))</f>
        <v>1.3986495427261098E-2</v>
      </c>
      <c r="AC48" s="140"/>
      <c r="AD48" s="217">
        <v>16805.88</v>
      </c>
      <c r="AE48" s="219">
        <f>IF(AD48=0,"",IFERROR(AD48/AD$19,""))</f>
        <v>2.4751921192713553E-2</v>
      </c>
      <c r="AF48" s="220">
        <f t="shared" si="6"/>
        <v>-7948.2800000000007</v>
      </c>
      <c r="AG48" s="217">
        <v>6740.5</v>
      </c>
      <c r="AH48" s="219">
        <f>IF(AG48=0,"",IFERROR(AG48/AG$19,""))</f>
        <v>3.1126947425682998E-2</v>
      </c>
      <c r="AI48" s="220">
        <f t="shared" si="7"/>
        <v>2117.1000000000004</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v>502</v>
      </c>
      <c r="P49" s="166"/>
      <c r="Q49" s="166">
        <v>157</v>
      </c>
      <c r="R49" s="166">
        <v>2963</v>
      </c>
      <c r="S49" s="166">
        <v>6987.79</v>
      </c>
      <c r="T49" s="166">
        <v>5931</v>
      </c>
      <c r="U49" s="166">
        <v>8248</v>
      </c>
      <c r="V49" s="166">
        <v>9065.4</v>
      </c>
      <c r="W49" s="166">
        <v>7196.5</v>
      </c>
      <c r="X49" s="166">
        <v>6979.21</v>
      </c>
      <c r="Y49" s="166">
        <v>14981</v>
      </c>
      <c r="Z49" s="166"/>
      <c r="AA49" s="166">
        <f t="shared" si="5"/>
        <v>63010.9</v>
      </c>
      <c r="AB49" s="167">
        <f>IF(AA49=0,"",IFERROR(AA49/AA$19,""))</f>
        <v>9.9496665543443635E-2</v>
      </c>
      <c r="AC49" s="140"/>
      <c r="AD49" s="166">
        <v>70024.5</v>
      </c>
      <c r="AE49" s="167">
        <f>IF(AD49=0,"",IFERROR(AD49/AD$19,""))</f>
        <v>0.1031330049696398</v>
      </c>
      <c r="AF49" s="168">
        <f t="shared" si="6"/>
        <v>-7013.5999999999985</v>
      </c>
      <c r="AG49" s="166">
        <v>29089.81</v>
      </c>
      <c r="AH49" s="167">
        <f>IF(AG49=0,"",IFERROR(AG49/AG$19,""))</f>
        <v>0.13433380112649027</v>
      </c>
      <c r="AI49" s="168">
        <f t="shared" si="7"/>
        <v>33921.089999999997</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v>3</v>
      </c>
      <c r="P50" s="210"/>
      <c r="Q50" s="210">
        <v>3</v>
      </c>
      <c r="R50" s="210">
        <v>7</v>
      </c>
      <c r="S50" s="210">
        <v>10</v>
      </c>
      <c r="T50" s="210">
        <v>10</v>
      </c>
      <c r="U50" s="210">
        <v>10</v>
      </c>
      <c r="V50" s="210">
        <v>10</v>
      </c>
      <c r="W50" s="210">
        <v>10</v>
      </c>
      <c r="X50" s="210">
        <v>9</v>
      </c>
      <c r="Y50" s="210">
        <v>21</v>
      </c>
      <c r="Z50" s="210"/>
      <c r="AA50" s="210">
        <f t="shared" si="5"/>
        <v>93</v>
      </c>
      <c r="AB50" s="211"/>
      <c r="AC50" s="140"/>
      <c r="AD50" s="210">
        <v>88</v>
      </c>
      <c r="AE50" s="211"/>
      <c r="AF50" s="253">
        <f t="shared" si="6"/>
        <v>5</v>
      </c>
      <c r="AG50" s="210">
        <v>27</v>
      </c>
      <c r="AH50" s="211"/>
      <c r="AI50" s="253">
        <f t="shared" si="7"/>
        <v>66</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v>25</v>
      </c>
      <c r="P51" s="210"/>
      <c r="Q51" s="210">
        <v>9</v>
      </c>
      <c r="R51" s="210">
        <v>94</v>
      </c>
      <c r="S51" s="210">
        <v>220</v>
      </c>
      <c r="T51" s="210">
        <v>207</v>
      </c>
      <c r="U51" s="210">
        <v>250</v>
      </c>
      <c r="V51" s="210">
        <v>217</v>
      </c>
      <c r="W51" s="210">
        <v>205</v>
      </c>
      <c r="X51" s="210">
        <v>222</v>
      </c>
      <c r="Y51" s="210">
        <v>476</v>
      </c>
      <c r="Z51" s="210"/>
      <c r="AA51" s="210">
        <f t="shared" si="5"/>
        <v>1925</v>
      </c>
      <c r="AB51" s="211">
        <f>IF(AA51=0,"",IFERROR(AA51/AA$87,""))</f>
        <v>0.10734998884675441</v>
      </c>
      <c r="AC51" s="140"/>
      <c r="AD51" s="210">
        <v>2223</v>
      </c>
      <c r="AE51" s="211">
        <f>IF(AD51=0,"",IFERROR(AD51/AD$87,""))</f>
        <v>0.10608952944545194</v>
      </c>
      <c r="AF51" s="253">
        <f t="shared" si="6"/>
        <v>-298</v>
      </c>
      <c r="AG51" s="210">
        <v>943</v>
      </c>
      <c r="AH51" s="211">
        <f>IF(AG51=0,"",IFERROR(AG51/AG$87,""))</f>
        <v>0.13402501421262081</v>
      </c>
      <c r="AI51" s="253">
        <f t="shared" si="7"/>
        <v>982</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20.079999999999998</v>
      </c>
      <c r="P52" s="495"/>
      <c r="Q52" s="495">
        <v>17.4444444444444</v>
      </c>
      <c r="R52" s="495">
        <v>31.521276595744698</v>
      </c>
      <c r="S52" s="495">
        <v>31.7626818181818</v>
      </c>
      <c r="T52" s="495">
        <v>28.652173913043502</v>
      </c>
      <c r="U52" s="495">
        <v>32.991999999999997</v>
      </c>
      <c r="V52" s="495">
        <v>41.776036866359398</v>
      </c>
      <c r="W52" s="495">
        <v>35.104878048780499</v>
      </c>
      <c r="X52" s="495">
        <v>31.437882882882899</v>
      </c>
      <c r="Y52" s="495">
        <v>31.472689075630299</v>
      </c>
      <c r="Z52" s="495"/>
      <c r="AA52" s="495">
        <f>IFERROR(AA49/AA51,"")</f>
        <v>32.732935064935063</v>
      </c>
      <c r="AB52" s="495"/>
      <c r="AC52" s="140"/>
      <c r="AD52" s="495">
        <v>31.5</v>
      </c>
      <c r="AE52" s="495"/>
      <c r="AF52" s="496">
        <f t="shared" si="6"/>
        <v>1.232935064935063</v>
      </c>
      <c r="AG52" s="495">
        <v>30.848154825026501</v>
      </c>
      <c r="AH52" s="495"/>
      <c r="AI52" s="496">
        <f t="shared" si="7"/>
        <v>1.8847802399085616</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20.079999999999998</v>
      </c>
      <c r="P53" s="498">
        <f t="shared" si="8"/>
        <v>0</v>
      </c>
      <c r="Q53" s="498">
        <f t="shared" si="8"/>
        <v>17.440000000000001</v>
      </c>
      <c r="R53" s="498">
        <f t="shared" si="8"/>
        <v>31.52</v>
      </c>
      <c r="S53" s="498">
        <f t="shared" si="8"/>
        <v>31.76</v>
      </c>
      <c r="T53" s="498">
        <f t="shared" si="8"/>
        <v>28.65</v>
      </c>
      <c r="U53" s="498">
        <f t="shared" si="8"/>
        <v>32.99</v>
      </c>
      <c r="V53" s="498">
        <f t="shared" si="8"/>
        <v>41.78</v>
      </c>
      <c r="W53" s="498">
        <f t="shared" si="8"/>
        <v>35.1</v>
      </c>
      <c r="X53" s="498">
        <f t="shared" si="8"/>
        <v>31.44</v>
      </c>
      <c r="Y53" s="498">
        <f t="shared" si="8"/>
        <v>31.47</v>
      </c>
      <c r="Z53" s="498">
        <f t="shared" si="8"/>
        <v>0</v>
      </c>
      <c r="AA53" s="498">
        <f t="shared" si="8"/>
        <v>32.729999999999997</v>
      </c>
      <c r="AB53" s="499"/>
      <c r="AC53" s="140"/>
      <c r="AD53" s="497">
        <f>ROUND(IFERROR(AD49/AD51,0),2)</f>
        <v>31.5</v>
      </c>
      <c r="AE53" s="498"/>
      <c r="AF53" s="159"/>
      <c r="AG53" s="497">
        <f>ROUND(IFERROR(AG49/AG51,0),2)</f>
        <v>30.85</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v>14012.25</v>
      </c>
      <c r="P55" s="143">
        <v>23984.19</v>
      </c>
      <c r="Q55" s="143">
        <v>31969.31</v>
      </c>
      <c r="R55" s="143">
        <v>25963.94</v>
      </c>
      <c r="S55" s="143">
        <v>21664.3</v>
      </c>
      <c r="T55" s="143">
        <v>20685.05</v>
      </c>
      <c r="U55" s="143">
        <v>23805.08</v>
      </c>
      <c r="V55" s="143">
        <v>15218.6</v>
      </c>
      <c r="W55" s="143">
        <v>10429.92</v>
      </c>
      <c r="X55" s="143">
        <v>15216.21</v>
      </c>
      <c r="Y55" s="143">
        <v>17763.310000000001</v>
      </c>
      <c r="Z55" s="143">
        <v>30990.65</v>
      </c>
      <c r="AA55" s="143">
        <f t="shared" ref="AA55:AA61" si="10">SUM(O55:Z55)</f>
        <v>251702.81</v>
      </c>
      <c r="AB55" s="144">
        <f>IF(AA55=0,"",IFERROR(AA55/AA$19,""))</f>
        <v>0.39744854148909059</v>
      </c>
      <c r="AC55" s="140"/>
      <c r="AD55" s="143">
        <v>191491.95</v>
      </c>
      <c r="AE55" s="144">
        <f>IF(AD55=0,"",IFERROR(AD55/AD$19,""))</f>
        <v>0.28203186357626281</v>
      </c>
      <c r="AF55" s="145">
        <f t="shared" ref="AF55:AF62" si="11">IF(AND($AA55="",AD55=""),"",$AA55-AD55)</f>
        <v>60210.859999999986</v>
      </c>
      <c r="AG55" s="143">
        <v>90384.46</v>
      </c>
      <c r="AH55" s="144">
        <f>IF(AG55=0,"",IFERROR(AG55/AG$19,""))</f>
        <v>0.41738629693921042</v>
      </c>
      <c r="AI55" s="145">
        <f t="shared" ref="AI55:AI62" si="12">IF(AND($AA55="",AG55=""),"",$AA55-AG55)</f>
        <v>161318.34999999998</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v>2393.9</v>
      </c>
      <c r="P56" s="143">
        <v>4982</v>
      </c>
      <c r="Q56" s="143">
        <v>7725.13</v>
      </c>
      <c r="R56" s="143">
        <v>5334.39</v>
      </c>
      <c r="S56" s="143">
        <v>4974</v>
      </c>
      <c r="T56" s="143">
        <v>4220.26</v>
      </c>
      <c r="U56" s="143">
        <v>5680</v>
      </c>
      <c r="V56" s="143">
        <v>3569.4</v>
      </c>
      <c r="W56" s="143">
        <v>2277</v>
      </c>
      <c r="X56" s="143">
        <v>4041.28</v>
      </c>
      <c r="Y56" s="143">
        <v>3824.6</v>
      </c>
      <c r="Z56" s="143">
        <v>6530.29</v>
      </c>
      <c r="AA56" s="143">
        <f t="shared" si="10"/>
        <v>55552.25</v>
      </c>
      <c r="AB56" s="144">
        <f>IF(AA56=0,"",IFERROR(AA56/AA$19,""))</f>
        <v>8.7719166659034647E-2</v>
      </c>
      <c r="AC56" s="140"/>
      <c r="AD56" s="143">
        <v>81015.824999999997</v>
      </c>
      <c r="AE56" s="144">
        <f>IF(AD56=0,"",IFERROR(AD56/AD$19,""))</f>
        <v>0.1193211730514958</v>
      </c>
      <c r="AF56" s="145">
        <f t="shared" si="11"/>
        <v>-25463.574999999997</v>
      </c>
      <c r="AG56" s="143">
        <v>17366.37</v>
      </c>
      <c r="AH56" s="144">
        <f>IF(AG56=0,"",IFERROR(AG56/AG$19,""))</f>
        <v>8.0196140637186913E-2</v>
      </c>
      <c r="AI56" s="145">
        <f t="shared" si="12"/>
        <v>38185.880000000005</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v>744.8</v>
      </c>
      <c r="P57" s="143">
        <v>973</v>
      </c>
      <c r="Q57" s="143">
        <v>950.54</v>
      </c>
      <c r="R57" s="143">
        <v>651.37</v>
      </c>
      <c r="S57" s="143">
        <v>623</v>
      </c>
      <c r="T57" s="143">
        <v>313</v>
      </c>
      <c r="U57" s="143">
        <v>441</v>
      </c>
      <c r="V57" s="143">
        <v>218</v>
      </c>
      <c r="W57" s="143">
        <v>223</v>
      </c>
      <c r="X57" s="143">
        <v>412.01</v>
      </c>
      <c r="Y57" s="143">
        <v>513</v>
      </c>
      <c r="Z57" s="143">
        <v>767</v>
      </c>
      <c r="AA57" s="143">
        <f t="shared" si="10"/>
        <v>6829.72</v>
      </c>
      <c r="AB57" s="144">
        <f>IF(AA57=0,"",IFERROR(AA57/AA$19,""))</f>
        <v>1.0784393915899755E-2</v>
      </c>
      <c r="AC57" s="140"/>
      <c r="AD57" s="143">
        <v>14730.15</v>
      </c>
      <c r="AE57" s="144">
        <f>IF(AD57=0,"",IFERROR(AD57/AD$19,""))</f>
        <v>2.1694758736635601E-2</v>
      </c>
      <c r="AF57" s="145">
        <f t="shared" si="11"/>
        <v>-7900.4299999999994</v>
      </c>
      <c r="AG57" s="143">
        <v>2612.96</v>
      </c>
      <c r="AH57" s="144">
        <f>IF(AG57=0,"",IFERROR(AG57/AG$19,""))</f>
        <v>1.2066385067192736E-2</v>
      </c>
      <c r="AI57" s="145">
        <f t="shared" si="12"/>
        <v>4216.76</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v>3140</v>
      </c>
      <c r="P58" s="217">
        <v>4539</v>
      </c>
      <c r="Q58" s="217">
        <v>3719.45</v>
      </c>
      <c r="R58" s="217">
        <v>3580.95</v>
      </c>
      <c r="S58" s="217">
        <v>2550.8000000000002</v>
      </c>
      <c r="T58" s="217">
        <v>1790.06</v>
      </c>
      <c r="U58" s="217">
        <v>1828</v>
      </c>
      <c r="V58" s="217">
        <v>1402</v>
      </c>
      <c r="W58" s="217">
        <v>1880.08</v>
      </c>
      <c r="X58" s="217">
        <v>1540</v>
      </c>
      <c r="Y58" s="217">
        <v>3032.2</v>
      </c>
      <c r="Z58" s="217">
        <v>5855.78</v>
      </c>
      <c r="AA58" s="217">
        <f t="shared" si="10"/>
        <v>34858.320000000007</v>
      </c>
      <c r="AB58" s="219">
        <f>IF(AA58=0,"",IFERROR(AA58/AA$19,""))</f>
        <v>5.5042645104995049E-2</v>
      </c>
      <c r="AC58" s="140"/>
      <c r="AD58" s="217">
        <v>81015.824999999997</v>
      </c>
      <c r="AE58" s="219">
        <f>IF(AD58=0,"",IFERROR(AD58/AD$19,""))</f>
        <v>0.1193211730514958</v>
      </c>
      <c r="AF58" s="220">
        <f t="shared" si="11"/>
        <v>-46157.50499999999</v>
      </c>
      <c r="AG58" s="217">
        <v>17966.060000000001</v>
      </c>
      <c r="AH58" s="219">
        <f>IF(AG58=0,"",IFERROR(AG58/AG$19,""))</f>
        <v>8.2965448418762161E-2</v>
      </c>
      <c r="AI58" s="220">
        <f t="shared" si="12"/>
        <v>16892.260000000006</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v>20290.95</v>
      </c>
      <c r="P59" s="166">
        <v>34478.19</v>
      </c>
      <c r="Q59" s="166">
        <v>44364.43</v>
      </c>
      <c r="R59" s="166">
        <v>35530.65</v>
      </c>
      <c r="S59" s="166">
        <v>29812.1</v>
      </c>
      <c r="T59" s="166">
        <v>27008.37</v>
      </c>
      <c r="U59" s="166">
        <v>31754.080000000002</v>
      </c>
      <c r="V59" s="166">
        <v>20408</v>
      </c>
      <c r="W59" s="166">
        <v>14810</v>
      </c>
      <c r="X59" s="166">
        <v>21209.5</v>
      </c>
      <c r="Y59" s="166">
        <v>25133.11</v>
      </c>
      <c r="Z59" s="166">
        <v>44143.72</v>
      </c>
      <c r="AA59" s="166">
        <f t="shared" si="10"/>
        <v>348943.1</v>
      </c>
      <c r="AB59" s="167">
        <f>IF(AA59=0,"",IFERROR(AA59/AA$19,""))</f>
        <v>0.55099474716901997</v>
      </c>
      <c r="AC59" s="140"/>
      <c r="AD59" s="166">
        <v>368253.75</v>
      </c>
      <c r="AE59" s="167">
        <f>IF(AD59=0,"",IFERROR(AD59/AD$19,""))</f>
        <v>0.54236896841589</v>
      </c>
      <c r="AF59" s="168">
        <f t="shared" si="11"/>
        <v>-19310.650000000023</v>
      </c>
      <c r="AG59" s="166">
        <v>128329.85</v>
      </c>
      <c r="AH59" s="167">
        <f>IF(AG59=0,"",IFERROR(AG59/AG$19,""))</f>
        <v>0.5926142710623522</v>
      </c>
      <c r="AI59" s="168">
        <f t="shared" si="12"/>
        <v>220613.24999999997</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v>16</v>
      </c>
      <c r="P60" s="210">
        <v>19</v>
      </c>
      <c r="Q60" s="210">
        <v>21</v>
      </c>
      <c r="R60" s="210">
        <v>20</v>
      </c>
      <c r="S60" s="210">
        <v>22</v>
      </c>
      <c r="T60" s="210">
        <v>22</v>
      </c>
      <c r="U60" s="210">
        <v>23</v>
      </c>
      <c r="V60" s="210">
        <v>21</v>
      </c>
      <c r="W60" s="210">
        <v>19</v>
      </c>
      <c r="X60" s="210">
        <v>21</v>
      </c>
      <c r="Y60" s="210">
        <v>21</v>
      </c>
      <c r="Z60" s="210">
        <v>20</v>
      </c>
      <c r="AA60" s="210">
        <f t="shared" si="10"/>
        <v>245</v>
      </c>
      <c r="AB60" s="211"/>
      <c r="AC60" s="140"/>
      <c r="AD60" s="210">
        <v>253</v>
      </c>
      <c r="AE60" s="211"/>
      <c r="AF60" s="253">
        <f t="shared" si="11"/>
        <v>-8</v>
      </c>
      <c r="AG60" s="210">
        <v>88</v>
      </c>
      <c r="AH60" s="211"/>
      <c r="AI60" s="253">
        <f t="shared" si="12"/>
        <v>157</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v>452</v>
      </c>
      <c r="P61" s="210">
        <v>702</v>
      </c>
      <c r="Q61" s="210">
        <v>835</v>
      </c>
      <c r="R61" s="210">
        <v>674</v>
      </c>
      <c r="S61" s="210">
        <v>660</v>
      </c>
      <c r="T61" s="210">
        <v>581</v>
      </c>
      <c r="U61" s="210">
        <v>600</v>
      </c>
      <c r="V61" s="210">
        <v>383</v>
      </c>
      <c r="W61" s="210">
        <v>320</v>
      </c>
      <c r="X61" s="210">
        <v>444</v>
      </c>
      <c r="Y61" s="210">
        <v>590</v>
      </c>
      <c r="Z61" s="210">
        <v>838</v>
      </c>
      <c r="AA61" s="210">
        <f t="shared" si="10"/>
        <v>7079</v>
      </c>
      <c r="AB61" s="211">
        <f>IF(AA61=0,"",IFERROR(AA61/AA$87,""))</f>
        <v>0.3947691278161945</v>
      </c>
      <c r="AC61" s="140"/>
      <c r="AD61" s="210">
        <v>8495</v>
      </c>
      <c r="AE61" s="211">
        <f>IF(AD61=0,"",IFERROR(AD61/AD$87,""))</f>
        <v>0.40541185453851292</v>
      </c>
      <c r="AF61" s="253">
        <f t="shared" si="11"/>
        <v>-1416</v>
      </c>
      <c r="AG61" s="210">
        <v>2981</v>
      </c>
      <c r="AH61" s="211">
        <f>IF(AG61=0,"",IFERROR(AG61/AG$87,""))</f>
        <v>0.42367822626492324</v>
      </c>
      <c r="AI61" s="253">
        <f t="shared" si="12"/>
        <v>4098</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v>44.891482300885002</v>
      </c>
      <c r="P62" s="495">
        <v>49.114230769230801</v>
      </c>
      <c r="Q62" s="495">
        <v>53.131053892215597</v>
      </c>
      <c r="R62" s="495">
        <v>52.716097922848697</v>
      </c>
      <c r="S62" s="495">
        <v>45.169848484848501</v>
      </c>
      <c r="T62" s="495">
        <v>46.486006884681601</v>
      </c>
      <c r="U62" s="495">
        <v>52.923466666666698</v>
      </c>
      <c r="V62" s="495">
        <v>53.284595300261103</v>
      </c>
      <c r="W62" s="495">
        <v>46.28125</v>
      </c>
      <c r="X62" s="495">
        <v>47.7691441441441</v>
      </c>
      <c r="Y62" s="495">
        <v>42.598491525423697</v>
      </c>
      <c r="Z62" s="495">
        <v>52.677470167064399</v>
      </c>
      <c r="AA62" s="495">
        <f>IFERROR(AA59/AA61,"")</f>
        <v>49.292710834863676</v>
      </c>
      <c r="AB62" s="495"/>
      <c r="AC62" s="140"/>
      <c r="AD62" s="495">
        <v>43.349470276633298</v>
      </c>
      <c r="AE62" s="495"/>
      <c r="AF62" s="496">
        <f t="shared" si="11"/>
        <v>5.9432405582303787</v>
      </c>
      <c r="AG62" s="495">
        <v>43.049261992619897</v>
      </c>
      <c r="AH62" s="495"/>
      <c r="AI62" s="496">
        <f t="shared" si="12"/>
        <v>6.2434488422437795</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44.89</v>
      </c>
      <c r="P63" s="498">
        <f t="shared" si="13"/>
        <v>49.11</v>
      </c>
      <c r="Q63" s="498">
        <f t="shared" si="13"/>
        <v>53.13</v>
      </c>
      <c r="R63" s="498">
        <f t="shared" si="13"/>
        <v>52.72</v>
      </c>
      <c r="S63" s="498">
        <f t="shared" si="13"/>
        <v>45.17</v>
      </c>
      <c r="T63" s="498">
        <f t="shared" si="13"/>
        <v>46.49</v>
      </c>
      <c r="U63" s="498">
        <f t="shared" si="13"/>
        <v>52.92</v>
      </c>
      <c r="V63" s="498">
        <f t="shared" si="13"/>
        <v>53.28</v>
      </c>
      <c r="W63" s="498">
        <f t="shared" si="13"/>
        <v>46.28</v>
      </c>
      <c r="X63" s="498">
        <f t="shared" si="13"/>
        <v>47.77</v>
      </c>
      <c r="Y63" s="498">
        <f t="shared" si="13"/>
        <v>42.6</v>
      </c>
      <c r="Z63" s="498">
        <f t="shared" si="13"/>
        <v>52.68</v>
      </c>
      <c r="AA63" s="498">
        <f t="shared" si="13"/>
        <v>49.29</v>
      </c>
      <c r="AB63" s="499"/>
      <c r="AC63" s="140"/>
      <c r="AD63" s="497">
        <f>ROUND(IFERROR(AD59/AD61,0),2)</f>
        <v>43.35</v>
      </c>
      <c r="AE63" s="498"/>
      <c r="AF63" s="159"/>
      <c r="AG63" s="497">
        <f>ROUND(IFERROR(AG59/AG61,0),2)</f>
        <v>43.05</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v>77</v>
      </c>
      <c r="R65" s="143"/>
      <c r="S65" s="143"/>
      <c r="T65" s="143"/>
      <c r="U65" s="143"/>
      <c r="V65" s="143"/>
      <c r="W65" s="143"/>
      <c r="X65" s="143"/>
      <c r="Y65" s="143"/>
      <c r="Z65" s="143"/>
      <c r="AA65" s="143">
        <f t="shared" ref="AA65:AA71" si="15">SUM(O65:Z65)</f>
        <v>77</v>
      </c>
      <c r="AB65" s="144">
        <f>IF(AA65=0,"",IFERROR(AA65/AA$19,""))</f>
        <v>1.2158599935638373E-4</v>
      </c>
      <c r="AC65" s="140"/>
      <c r="AD65" s="143">
        <v>9062.7749999999996</v>
      </c>
      <c r="AE65" s="144">
        <f>IF(AD65=0,"",IFERROR(AD65/AD$19,""))</f>
        <v>1.334777426634574E-2</v>
      </c>
      <c r="AF65" s="145">
        <f t="shared" ref="AF65:AF72" si="16">IF(AND($AA65="",AD65=""),"",$AA65-AD65)</f>
        <v>-8985.7749999999996</v>
      </c>
      <c r="AG65" s="143">
        <v>4606.87</v>
      </c>
      <c r="AH65" s="144">
        <f>IF(AG65=0,"",IFERROR(AG65/AG$19,""))</f>
        <v>2.1274059830421514E-2</v>
      </c>
      <c r="AI65" s="145">
        <f t="shared" ref="AI65:AI72" si="17">IF(AND($AA65="",AG65=""),"",$AA65-AG65)</f>
        <v>-4529.87</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v>6849</v>
      </c>
      <c r="AE66" s="144">
        <f>IF(AD66=0,"",IFERROR(AD66/AD$19,""))</f>
        <v>1.0087297317896779E-2</v>
      </c>
      <c r="AF66" s="145">
        <f t="shared" si="16"/>
        <v>-6849</v>
      </c>
      <c r="AG66" s="143">
        <v>2914.2</v>
      </c>
      <c r="AH66" s="144">
        <f>IF(AG66=0,"",IFERROR(AG66/AG$19,""))</f>
        <v>1.3457480926923135E-2</v>
      </c>
      <c r="AI66" s="145">
        <f t="shared" si="17"/>
        <v>-2914.2</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v>4374.2250000000004</v>
      </c>
      <c r="AE67" s="144">
        <f>IF(AD67=0,"",IFERROR(AD67/AD$19,""))</f>
        <v>6.4424161352572701E-3</v>
      </c>
      <c r="AF67" s="145">
        <f t="shared" si="16"/>
        <v>-4374.2250000000004</v>
      </c>
      <c r="AG67" s="143">
        <v>306</v>
      </c>
      <c r="AH67" s="144">
        <f>IF(AG67=0,"",IFERROR(AG67/AG$19,""))</f>
        <v>1.4130770584168827E-3</v>
      </c>
      <c r="AI67" s="145">
        <f t="shared" si="17"/>
        <v>-306</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v>11</v>
      </c>
      <c r="R68" s="217"/>
      <c r="S68" s="217"/>
      <c r="T68" s="217"/>
      <c r="U68" s="217"/>
      <c r="V68" s="217"/>
      <c r="W68" s="217"/>
      <c r="X68" s="217"/>
      <c r="Y68" s="217"/>
      <c r="Z68" s="217"/>
      <c r="AA68" s="217">
        <f t="shared" si="15"/>
        <v>11</v>
      </c>
      <c r="AB68" s="219">
        <f>IF(AA68=0,"",IFERROR(AA68/AA$19,""))</f>
        <v>1.736942847948339E-5</v>
      </c>
      <c r="AC68" s="140"/>
      <c r="AD68" s="217">
        <v>6849</v>
      </c>
      <c r="AE68" s="219">
        <f>IF(AD68=0,"",IFERROR(AD68/AD$19,""))</f>
        <v>1.0087297317896779E-2</v>
      </c>
      <c r="AF68" s="220">
        <f t="shared" si="16"/>
        <v>-6838</v>
      </c>
      <c r="AG68" s="217">
        <v>1737</v>
      </c>
      <c r="AH68" s="219">
        <f>IF(AG68=0,"",IFERROR(AG68/AG$19,""))</f>
        <v>8.0212903610134799E-3</v>
      </c>
      <c r="AI68" s="220">
        <f t="shared" si="17"/>
        <v>-1726</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v>88</v>
      </c>
      <c r="R69" s="166"/>
      <c r="S69" s="166"/>
      <c r="T69" s="166"/>
      <c r="U69" s="166"/>
      <c r="V69" s="166"/>
      <c r="W69" s="166"/>
      <c r="X69" s="166"/>
      <c r="Y69" s="166"/>
      <c r="Z69" s="166"/>
      <c r="AA69" s="166">
        <f t="shared" si="15"/>
        <v>88</v>
      </c>
      <c r="AB69" s="167">
        <f>IF(AA69=0,"",IFERROR(AA69/AA$19,""))</f>
        <v>1.3895542783586712E-4</v>
      </c>
      <c r="AC69" s="140"/>
      <c r="AD69" s="166">
        <v>27135</v>
      </c>
      <c r="AE69" s="167">
        <f>IF(AD69=0,"",IFERROR(AD69/AD$19,""))</f>
        <v>3.9964785037396568E-2</v>
      </c>
      <c r="AF69" s="168">
        <f t="shared" si="16"/>
        <v>-27047</v>
      </c>
      <c r="AG69" s="166">
        <v>9564.07</v>
      </c>
      <c r="AH69" s="167">
        <f>IF(AG69=0,"",IFERROR(AG69/AG$19,""))</f>
        <v>4.4165908176775015E-2</v>
      </c>
      <c r="AI69" s="168">
        <f t="shared" si="17"/>
        <v>-9476.07</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v>1</v>
      </c>
      <c r="R70" s="210"/>
      <c r="S70" s="210"/>
      <c r="T70" s="210"/>
      <c r="U70" s="210"/>
      <c r="V70" s="210"/>
      <c r="W70" s="210"/>
      <c r="X70" s="210"/>
      <c r="Y70" s="210"/>
      <c r="Z70" s="210"/>
      <c r="AA70" s="210">
        <f t="shared" si="15"/>
        <v>1</v>
      </c>
      <c r="AB70" s="211"/>
      <c r="AC70" s="140"/>
      <c r="AD70" s="210">
        <v>156</v>
      </c>
      <c r="AE70" s="211"/>
      <c r="AF70" s="253">
        <f t="shared" si="16"/>
        <v>-155</v>
      </c>
      <c r="AG70" s="210">
        <v>63</v>
      </c>
      <c r="AH70" s="211"/>
      <c r="AI70" s="253">
        <f t="shared" si="17"/>
        <v>-62</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v>5</v>
      </c>
      <c r="R71" s="210"/>
      <c r="S71" s="210"/>
      <c r="T71" s="210"/>
      <c r="U71" s="210"/>
      <c r="V71" s="210"/>
      <c r="W71" s="210"/>
      <c r="X71" s="210"/>
      <c r="Y71" s="210"/>
      <c r="Z71" s="210"/>
      <c r="AA71" s="210">
        <f t="shared" si="15"/>
        <v>5</v>
      </c>
      <c r="AB71" s="211">
        <f>IF(AA71=0,"",IFERROR(AA71/AA$87,""))</f>
        <v>2.7883113986169975E-4</v>
      </c>
      <c r="AC71" s="140"/>
      <c r="AD71" s="210">
        <v>1206</v>
      </c>
      <c r="AE71" s="211">
        <f>IF(AD71=0,"",IFERROR(AD71/AD$87,""))</f>
        <v>5.7554643504820084E-2</v>
      </c>
      <c r="AF71" s="253">
        <f t="shared" si="16"/>
        <v>-1201</v>
      </c>
      <c r="AG71" s="210">
        <v>421</v>
      </c>
      <c r="AH71" s="211">
        <f>IF(AG71=0,"",IFERROR(AG71/AG$87,""))</f>
        <v>5.9835133598635591E-2</v>
      </c>
      <c r="AI71" s="253">
        <f t="shared" si="17"/>
        <v>-416</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v>17.600000000000001</v>
      </c>
      <c r="R72" s="495"/>
      <c r="S72" s="495"/>
      <c r="T72" s="495"/>
      <c r="U72" s="495"/>
      <c r="V72" s="495"/>
      <c r="W72" s="495"/>
      <c r="X72" s="495"/>
      <c r="Y72" s="495"/>
      <c r="Z72" s="495"/>
      <c r="AA72" s="495">
        <f>IFERROR(AA69/AA71,"")</f>
        <v>17.600000000000001</v>
      </c>
      <c r="AB72" s="495"/>
      <c r="AC72" s="140"/>
      <c r="AD72" s="495">
        <v>22.5</v>
      </c>
      <c r="AE72" s="495"/>
      <c r="AF72" s="496">
        <f t="shared" si="16"/>
        <v>-4.8999999999999986</v>
      </c>
      <c r="AG72" s="495">
        <v>22.717505938242301</v>
      </c>
      <c r="AH72" s="495"/>
      <c r="AI72" s="496">
        <f t="shared" si="17"/>
        <v>-5.1175059382422994</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17.600000000000001</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17.600000000000001</v>
      </c>
      <c r="AB73" s="499"/>
      <c r="AC73" s="140"/>
      <c r="AD73" s="497">
        <f>ROUND(IFERROR(AD69/AD71,0),2)</f>
        <v>22.5</v>
      </c>
      <c r="AE73" s="498"/>
      <c r="AF73" s="159"/>
      <c r="AG73" s="497">
        <f>ROUND(IFERROR(AG69/AG71,0),2)</f>
        <v>22.72</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b">
        <f t="shared" si="19"/>
        <v>1</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v>-58.8</v>
      </c>
      <c r="S83" s="143">
        <v>-175.18</v>
      </c>
      <c r="T83" s="143">
        <v>-224.66</v>
      </c>
      <c r="U83" s="143">
        <v>-102.26</v>
      </c>
      <c r="V83" s="143"/>
      <c r="W83" s="143">
        <v>-408.84</v>
      </c>
      <c r="X83" s="143"/>
      <c r="Y83" s="143"/>
      <c r="Z83" s="143">
        <v>-231</v>
      </c>
      <c r="AA83" s="143">
        <f>SUM(O83:Z83)</f>
        <v>-1200.74</v>
      </c>
      <c r="AB83" s="144">
        <f>IF(AA83=0,"",IFERROR(AA83/AA$19,""))</f>
        <v>-1.8960152320413532E-3</v>
      </c>
      <c r="AC83" s="140"/>
      <c r="AD83" s="143"/>
      <c r="AE83" s="144" t="str">
        <f>IF(AD83=0,"",IFERROR(AD83/AD$19,""))</f>
        <v/>
      </c>
      <c r="AF83" s="145">
        <f>IF(AND($AA83="",AD83=""),"",$AA83-AD83)</f>
        <v>-1200.74</v>
      </c>
      <c r="AG83" s="143">
        <v>-404.53</v>
      </c>
      <c r="AH83" s="144">
        <f>IF(AG83=0,"",IFERROR(AG83/AG$19,""))</f>
        <v>-1.8680786354293513E-3</v>
      </c>
      <c r="AI83" s="145">
        <f>IF(AND($AA83="",AG83=""),"",$AA83-AG83)</f>
        <v>-796.21</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29503.88</v>
      </c>
      <c r="P85" s="507">
        <v>46479.19</v>
      </c>
      <c r="Q85" s="507">
        <v>61259.65</v>
      </c>
      <c r="R85" s="507">
        <v>54436.33</v>
      </c>
      <c r="S85" s="507">
        <v>55359.35</v>
      </c>
      <c r="T85" s="507">
        <v>50914.96</v>
      </c>
      <c r="U85" s="507">
        <v>59464.33</v>
      </c>
      <c r="V85" s="507">
        <v>41327.47</v>
      </c>
      <c r="W85" s="507">
        <v>34352.36</v>
      </c>
      <c r="X85" s="507">
        <v>47410.62</v>
      </c>
      <c r="Y85" s="507">
        <v>58575.61</v>
      </c>
      <c r="Z85" s="507">
        <v>94212.85</v>
      </c>
      <c r="AA85" s="507">
        <f>SUM(O85:Z85)</f>
        <v>633296.6</v>
      </c>
      <c r="AB85" s="508">
        <f>IF(AA85=0,"",IFERROR(AA85/AA$19,""))</f>
        <v>1</v>
      </c>
      <c r="AC85" s="140"/>
      <c r="AD85" s="507">
        <v>678972.75</v>
      </c>
      <c r="AE85" s="508">
        <f>IF(AD85=0,"",IFERROR(AD85/AD$19,""))</f>
        <v>1</v>
      </c>
      <c r="AF85" s="509">
        <f>IF(AND($AA85="",AD85=""),"",$AA85-AD85)</f>
        <v>-45676.150000000023</v>
      </c>
      <c r="AG85" s="507">
        <v>216548.7</v>
      </c>
      <c r="AH85" s="508">
        <f>IF(AG85=0,"",IFERROR(AG85/AG$19,""))</f>
        <v>1</v>
      </c>
      <c r="AI85" s="509">
        <f>IF(AND($AA85="",AG85=""),"",$AA85-AG85)</f>
        <v>416747.89999999997</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v>60</v>
      </c>
      <c r="P86" s="507">
        <v>60</v>
      </c>
      <c r="Q86" s="507">
        <v>60</v>
      </c>
      <c r="R86" s="507">
        <v>60</v>
      </c>
      <c r="S86" s="507">
        <v>60</v>
      </c>
      <c r="T86" s="507">
        <v>60</v>
      </c>
      <c r="U86" s="507">
        <v>60</v>
      </c>
      <c r="V86" s="507">
        <v>60</v>
      </c>
      <c r="W86" s="507">
        <v>60</v>
      </c>
      <c r="X86" s="507">
        <v>60</v>
      </c>
      <c r="Y86" s="507">
        <v>60</v>
      </c>
      <c r="Z86" s="507">
        <v>60</v>
      </c>
      <c r="AA86" s="507">
        <f>SUM(O86:Z86)</f>
        <v>720</v>
      </c>
      <c r="AB86" s="508"/>
      <c r="AC86" s="140"/>
      <c r="AD86" s="507"/>
      <c r="AE86" s="508"/>
      <c r="AF86" s="509">
        <f>IF(AND($AA86="",AD86=""),"",$AA86-AD86)</f>
        <v>720</v>
      </c>
      <c r="AG86" s="507">
        <v>588</v>
      </c>
      <c r="AH86" s="508"/>
      <c r="AI86" s="509">
        <f>IF(AND($AA86="",AG86=""),"",$AA86-AG86)</f>
        <v>132</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854</v>
      </c>
      <c r="P87" s="507">
        <v>1206</v>
      </c>
      <c r="Q87" s="507">
        <v>1641</v>
      </c>
      <c r="R87" s="507">
        <v>1474</v>
      </c>
      <c r="S87" s="507">
        <v>1693</v>
      </c>
      <c r="T87" s="507">
        <v>1596</v>
      </c>
      <c r="U87" s="507">
        <v>1643</v>
      </c>
      <c r="V87" s="507">
        <v>1045</v>
      </c>
      <c r="W87" s="507">
        <v>965</v>
      </c>
      <c r="X87" s="507">
        <v>1318</v>
      </c>
      <c r="Y87" s="507">
        <v>1773</v>
      </c>
      <c r="Z87" s="507">
        <v>2724</v>
      </c>
      <c r="AA87" s="507">
        <f>SUM(O87:Z87)</f>
        <v>17932</v>
      </c>
      <c r="AB87" s="508">
        <f>IF(AA87=0,"",IFERROR(AA87/AA$20,""))</f>
        <v>1</v>
      </c>
      <c r="AC87" s="140"/>
      <c r="AD87" s="507">
        <v>20954</v>
      </c>
      <c r="AE87" s="508">
        <f>IF(AD87=0,"",IFERROR(AD87/AD$20,""))</f>
        <v>1</v>
      </c>
      <c r="AF87" s="509">
        <f>IF(AND($AA87="",AD87=""),"",$AA87-AD87)</f>
        <v>-3022</v>
      </c>
      <c r="AG87" s="507">
        <v>7036</v>
      </c>
      <c r="AH87" s="508">
        <f>IF(AG87=0,"",IFERROR(AG87/AG$20,""))</f>
        <v>1</v>
      </c>
      <c r="AI87" s="509">
        <f>IF(AND($AA87="",AG87=""),"",$AA87-AG87)</f>
        <v>10896</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34.547868852458997</v>
      </c>
      <c r="P88" s="495">
        <v>38.539958540630202</v>
      </c>
      <c r="Q88" s="495">
        <v>37.330682510664197</v>
      </c>
      <c r="R88" s="495">
        <v>36.931024423337902</v>
      </c>
      <c r="S88" s="495">
        <v>32.698966331955098</v>
      </c>
      <c r="T88" s="495">
        <v>31.9016040100251</v>
      </c>
      <c r="U88" s="495">
        <v>36.192531953743099</v>
      </c>
      <c r="V88" s="495">
        <v>39.547818181818201</v>
      </c>
      <c r="W88" s="495">
        <v>35.5983005181347</v>
      </c>
      <c r="X88" s="495">
        <v>35.971638846737498</v>
      </c>
      <c r="Y88" s="495">
        <v>33.0375690919346</v>
      </c>
      <c r="Z88" s="495">
        <v>34.586215124816398</v>
      </c>
      <c r="AA88" s="495">
        <f>IFERROR(AA85/AA87,"")</f>
        <v>35.316562569707784</v>
      </c>
      <c r="AB88" s="495"/>
      <c r="AC88" s="140"/>
      <c r="AD88" s="495">
        <v>32.403013744392503</v>
      </c>
      <c r="AE88" s="495"/>
      <c r="AF88" s="496">
        <f>IF(AND($AA88="",AD88=""),"",$AA88-AD88)</f>
        <v>2.9135488253152815</v>
      </c>
      <c r="AG88" s="495">
        <v>30.777245594087599</v>
      </c>
      <c r="AH88" s="495"/>
      <c r="AI88" s="496">
        <f>IF(AND($AA88="",AG88=""),"",$AA88-AG88)</f>
        <v>4.539316975620185</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v>610.5</v>
      </c>
      <c r="P91" s="143">
        <v>446.5</v>
      </c>
      <c r="Q91" s="143">
        <v>486.5</v>
      </c>
      <c r="R91" s="143">
        <v>308.25</v>
      </c>
      <c r="S91" s="143">
        <v>393.5</v>
      </c>
      <c r="T91" s="143">
        <v>408</v>
      </c>
      <c r="U91" s="143">
        <v>394</v>
      </c>
      <c r="V91" s="143">
        <v>319.75</v>
      </c>
      <c r="W91" s="143">
        <v>184.5</v>
      </c>
      <c r="X91" s="143">
        <v>283</v>
      </c>
      <c r="Y91" s="143">
        <v>432.75</v>
      </c>
      <c r="Z91" s="143">
        <v>394.5</v>
      </c>
      <c r="AA91" s="143">
        <f>SUM(O91:Z91)</f>
        <v>4661.75</v>
      </c>
      <c r="AB91" s="144"/>
      <c r="AC91" s="140"/>
      <c r="AD91" s="143">
        <v>6403.8285714293997</v>
      </c>
      <c r="AE91" s="144"/>
      <c r="AF91" s="145">
        <f>IF(AND($AA91="",AD91=""),"",$AA91-AD91)</f>
        <v>-1742.0785714293997</v>
      </c>
      <c r="AG91" s="143">
        <v>3380.75</v>
      </c>
      <c r="AH91" s="144"/>
      <c r="AI91" s="145">
        <f>IF(AND($AA91="",AG91=""),"",$AA91-AG91)</f>
        <v>1281</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v>666.22</v>
      </c>
      <c r="P92" s="143">
        <v>642.25</v>
      </c>
      <c r="Q92" s="143">
        <v>989.25</v>
      </c>
      <c r="R92" s="143">
        <v>1067.5</v>
      </c>
      <c r="S92" s="143">
        <v>1117.5</v>
      </c>
      <c r="T92" s="143">
        <v>1118.25</v>
      </c>
      <c r="U92" s="143">
        <v>1438.25</v>
      </c>
      <c r="V92" s="143">
        <v>1133.5</v>
      </c>
      <c r="W92" s="143">
        <v>914.75</v>
      </c>
      <c r="X92" s="143">
        <v>1197</v>
      </c>
      <c r="Y92" s="143">
        <v>1095</v>
      </c>
      <c r="Z92" s="143">
        <v>937.75</v>
      </c>
      <c r="AA92" s="143">
        <f>SUM(O92:Z92)</f>
        <v>12317.220000000001</v>
      </c>
      <c r="AB92" s="144"/>
      <c r="AC92" s="140"/>
      <c r="AD92" s="143">
        <v>10952.8571428577</v>
      </c>
      <c r="AE92" s="144"/>
      <c r="AF92" s="145">
        <f>IF(AND($AA92="",AD92=""),"",$AA92-AD92)</f>
        <v>1364.3628571423014</v>
      </c>
      <c r="AG92" s="143">
        <v>7086.98</v>
      </c>
      <c r="AH92" s="144"/>
      <c r="AI92" s="145">
        <f>IF(AND($AA92="",AG92=""),"",$AA92-AG92)</f>
        <v>5230.2400000000016</v>
      </c>
    </row>
    <row r="93" spans="1:35" collapsed="1" x14ac:dyDescent="0.35">
      <c r="A93" s="11"/>
      <c r="B93" s="11"/>
      <c r="C93" s="208"/>
      <c r="D93" s="11"/>
      <c r="E93" s="11"/>
      <c r="F93" s="11"/>
      <c r="G93" s="11"/>
      <c r="H93" s="185"/>
      <c r="I93" s="122"/>
      <c r="J93" s="122"/>
      <c r="K93" s="11"/>
      <c r="L93" s="90"/>
      <c r="M93" s="90"/>
      <c r="N93" s="104" t="s">
        <v>335</v>
      </c>
      <c r="O93" s="510">
        <f t="shared" ref="O93:AA93" si="25">IFERROR(O$87/O91,"")</f>
        <v>1.3988533988533989</v>
      </c>
      <c r="P93" s="510">
        <f t="shared" si="25"/>
        <v>2.7010078387458005</v>
      </c>
      <c r="Q93" s="510">
        <f t="shared" si="25"/>
        <v>3.3730729701952722</v>
      </c>
      <c r="R93" s="510">
        <f t="shared" si="25"/>
        <v>4.7818329278183294</v>
      </c>
      <c r="S93" s="510">
        <f t="shared" si="25"/>
        <v>4.3024142312579414</v>
      </c>
      <c r="T93" s="510">
        <f t="shared" si="25"/>
        <v>3.9117647058823528</v>
      </c>
      <c r="U93" s="510">
        <f t="shared" si="25"/>
        <v>4.1700507614213196</v>
      </c>
      <c r="V93" s="510">
        <f t="shared" si="25"/>
        <v>3.2681782642689603</v>
      </c>
      <c r="W93" s="510">
        <f t="shared" si="25"/>
        <v>5.230352303523035</v>
      </c>
      <c r="X93" s="510">
        <f t="shared" si="25"/>
        <v>4.6572438162544172</v>
      </c>
      <c r="Y93" s="510">
        <f t="shared" si="25"/>
        <v>4.0970537261698441</v>
      </c>
      <c r="Z93" s="510">
        <f t="shared" si="25"/>
        <v>6.9049429657794681</v>
      </c>
      <c r="AA93" s="510">
        <f t="shared" si="25"/>
        <v>3.8466241218426558</v>
      </c>
      <c r="AB93" s="511"/>
      <c r="AC93" s="140"/>
      <c r="AD93" s="510">
        <f>IFERROR(AD$87/AD91,"")</f>
        <v>3.2721050799963645</v>
      </c>
      <c r="AE93" s="511"/>
      <c r="AF93" s="214">
        <f>IF(AND($AA93="",AD93=""),"",$AA93-AD93)</f>
        <v>0.57451904184629132</v>
      </c>
      <c r="AG93" s="510">
        <f>IFERROR(AG$87/AG91,"")</f>
        <v>2.0811950011092213</v>
      </c>
      <c r="AH93" s="511"/>
      <c r="AI93" s="214">
        <f>IF(AND($AA93="",AG93=""),"",$AA93-AG93)</f>
        <v>1.7654291207334345</v>
      </c>
    </row>
    <row r="94" spans="1:35" x14ac:dyDescent="0.35">
      <c r="A94" s="11"/>
      <c r="B94" s="11"/>
      <c r="C94" s="208"/>
      <c r="D94" s="11"/>
      <c r="E94" s="11"/>
      <c r="F94" s="11"/>
      <c r="G94" s="11"/>
      <c r="H94" s="185"/>
      <c r="I94" s="122"/>
      <c r="J94" s="122"/>
      <c r="K94" s="11"/>
      <c r="L94" s="90"/>
      <c r="M94" s="90"/>
      <c r="N94" s="104" t="s">
        <v>336</v>
      </c>
      <c r="O94" s="510">
        <f t="shared" ref="O94:AA94" si="26">IFERROR(O$87/O92,"")</f>
        <v>1.2818588454264357</v>
      </c>
      <c r="P94" s="510">
        <f t="shared" si="26"/>
        <v>1.8777734527053329</v>
      </c>
      <c r="Q94" s="510">
        <f t="shared" si="26"/>
        <v>1.6588324488248674</v>
      </c>
      <c r="R94" s="510">
        <f t="shared" si="26"/>
        <v>1.3807962529274005</v>
      </c>
      <c r="S94" s="510">
        <f t="shared" si="26"/>
        <v>1.5149888143176733</v>
      </c>
      <c r="T94" s="510">
        <f t="shared" si="26"/>
        <v>1.4272300469483568</v>
      </c>
      <c r="U94" s="510">
        <f t="shared" si="26"/>
        <v>1.1423605075612724</v>
      </c>
      <c r="V94" s="510">
        <f t="shared" si="26"/>
        <v>0.92192324658138514</v>
      </c>
      <c r="W94" s="510">
        <f t="shared" si="26"/>
        <v>1.0549330418147034</v>
      </c>
      <c r="X94" s="510">
        <f t="shared" si="26"/>
        <v>1.1010860484544696</v>
      </c>
      <c r="Y94" s="510">
        <f t="shared" si="26"/>
        <v>1.6191780821917807</v>
      </c>
      <c r="Z94" s="510">
        <f t="shared" si="26"/>
        <v>2.9048253798986936</v>
      </c>
      <c r="AA94" s="510">
        <f t="shared" si="26"/>
        <v>1.4558479916734457</v>
      </c>
      <c r="AB94" s="511"/>
      <c r="AC94" s="140"/>
      <c r="AD94" s="510">
        <f>IFERROR(AD$87/AD92,"")</f>
        <v>1.9131081257335665</v>
      </c>
      <c r="AE94" s="511"/>
      <c r="AF94" s="214">
        <f>IF(AND($AA94="",AD94=""),"",$AA94-AD94)</f>
        <v>-0.45726013406012078</v>
      </c>
      <c r="AG94" s="510">
        <f>IFERROR(AG$87/AG92,"")</f>
        <v>0.99280652689862259</v>
      </c>
      <c r="AH94" s="511"/>
      <c r="AI94" s="214">
        <f>IF(AND($AA94="",AG94=""),"",$AA94-AG94)</f>
        <v>0.46304146477482311</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v>103</v>
      </c>
      <c r="P98" s="143">
        <v>154</v>
      </c>
      <c r="Q98" s="143">
        <v>255</v>
      </c>
      <c r="R98" s="143">
        <v>204</v>
      </c>
      <c r="S98" s="143">
        <v>592.79999999999995</v>
      </c>
      <c r="T98" s="143">
        <v>413</v>
      </c>
      <c r="U98" s="143">
        <v>656</v>
      </c>
      <c r="V98" s="143">
        <v>680.07</v>
      </c>
      <c r="W98" s="143">
        <v>222</v>
      </c>
      <c r="X98" s="143">
        <v>787</v>
      </c>
      <c r="Y98" s="143">
        <v>574</v>
      </c>
      <c r="Z98" s="143">
        <v>2052.1999999999998</v>
      </c>
      <c r="AA98" s="143">
        <f t="shared" ref="AA98:AA103" si="27">SUM(O98:Z98)</f>
        <v>6693.0700000000006</v>
      </c>
      <c r="AB98" s="144">
        <f t="shared" ref="AB98:AB103" si="28">IF(AA98=0,"",IFERROR(AA98/AA$19,""))</f>
        <v>1.0568618243015991E-2</v>
      </c>
      <c r="AC98" s="140"/>
      <c r="AD98" s="143">
        <v>10677.975</v>
      </c>
      <c r="AE98" s="144">
        <f t="shared" ref="AE98:AE103" si="29">IF(AD98=0,"",IFERROR(AD98/AD$19,""))</f>
        <v>1.5726662078853679E-2</v>
      </c>
      <c r="AF98" s="145">
        <f t="shared" ref="AF98:AF103" si="30">IF(AND($AA98="",AD98=""),"",$AA98-AD98)</f>
        <v>-3984.9049999999997</v>
      </c>
      <c r="AG98" s="143">
        <v>746</v>
      </c>
      <c r="AH98" s="144">
        <f t="shared" ref="AH98:AH103" si="31">IF(AG98=0,"",IFERROR(AG98/AG$19,""))</f>
        <v>3.4449525672516157E-3</v>
      </c>
      <c r="AI98" s="145">
        <f t="shared" ref="AI98:AI103" si="32">IF(AND($AA98="",AG98=""),"",$AA98-AG98)</f>
        <v>5947.0700000000006</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v>269</v>
      </c>
      <c r="S99" s="143">
        <v>503.52</v>
      </c>
      <c r="T99" s="143">
        <v>431</v>
      </c>
      <c r="U99" s="143">
        <v>1409</v>
      </c>
      <c r="V99" s="143">
        <v>624</v>
      </c>
      <c r="W99" s="143">
        <v>563</v>
      </c>
      <c r="X99" s="143">
        <v>388</v>
      </c>
      <c r="Y99" s="143">
        <v>641</v>
      </c>
      <c r="Z99" s="143"/>
      <c r="AA99" s="143">
        <f t="shared" si="27"/>
        <v>4828.5200000000004</v>
      </c>
      <c r="AB99" s="144">
        <f t="shared" si="28"/>
        <v>7.6244211637959223E-3</v>
      </c>
      <c r="AC99" s="140"/>
      <c r="AD99" s="143">
        <v>4201.47</v>
      </c>
      <c r="AE99" s="144">
        <f t="shared" si="29"/>
        <v>6.1879802981783883E-3</v>
      </c>
      <c r="AF99" s="145">
        <f t="shared" si="30"/>
        <v>627.05000000000018</v>
      </c>
      <c r="AG99" s="143">
        <v>2267.31</v>
      </c>
      <c r="AH99" s="144">
        <f t="shared" si="31"/>
        <v>1.0470208318036543E-2</v>
      </c>
      <c r="AI99" s="145">
        <f t="shared" si="32"/>
        <v>2561.2100000000005</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v>2393.9</v>
      </c>
      <c r="P100" s="143">
        <v>4982</v>
      </c>
      <c r="Q100" s="143">
        <v>7725.13</v>
      </c>
      <c r="R100" s="143">
        <v>5334.39</v>
      </c>
      <c r="S100" s="143">
        <v>4974</v>
      </c>
      <c r="T100" s="143">
        <v>4220.26</v>
      </c>
      <c r="U100" s="143">
        <v>5680</v>
      </c>
      <c r="V100" s="143">
        <v>3569.4</v>
      </c>
      <c r="W100" s="143">
        <v>2277</v>
      </c>
      <c r="X100" s="143">
        <v>4041.28</v>
      </c>
      <c r="Y100" s="143">
        <v>3824.6</v>
      </c>
      <c r="Z100" s="143">
        <v>6530.29</v>
      </c>
      <c r="AA100" s="143">
        <f t="shared" si="27"/>
        <v>55552.25</v>
      </c>
      <c r="AB100" s="144">
        <f t="shared" si="28"/>
        <v>8.7719166659034647E-2</v>
      </c>
      <c r="AC100" s="140"/>
      <c r="AD100" s="143">
        <v>81015.824999999997</v>
      </c>
      <c r="AE100" s="144">
        <f t="shared" si="29"/>
        <v>0.1193211730514958</v>
      </c>
      <c r="AF100" s="145">
        <f t="shared" si="30"/>
        <v>-25463.574999999997</v>
      </c>
      <c r="AG100" s="143">
        <v>17366.37</v>
      </c>
      <c r="AH100" s="144">
        <f t="shared" si="31"/>
        <v>8.0196140637186913E-2</v>
      </c>
      <c r="AI100" s="145">
        <f t="shared" si="32"/>
        <v>38185.880000000005</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v>6849</v>
      </c>
      <c r="AE101" s="144">
        <f t="shared" si="29"/>
        <v>1.0087297317896779E-2</v>
      </c>
      <c r="AF101" s="145">
        <f t="shared" si="30"/>
        <v>-6849</v>
      </c>
      <c r="AG101" s="143">
        <v>2914.2</v>
      </c>
      <c r="AH101" s="144">
        <f t="shared" si="31"/>
        <v>1.3457480926923135E-2</v>
      </c>
      <c r="AI101" s="145">
        <f t="shared" si="32"/>
        <v>-2914.2</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v>2496.9</v>
      </c>
      <c r="P103" s="166">
        <v>5136</v>
      </c>
      <c r="Q103" s="166">
        <v>7980.13</v>
      </c>
      <c r="R103" s="166">
        <v>5807.39</v>
      </c>
      <c r="S103" s="166">
        <v>6070.32</v>
      </c>
      <c r="T103" s="166">
        <v>5064.26</v>
      </c>
      <c r="U103" s="166">
        <v>7745</v>
      </c>
      <c r="V103" s="166">
        <v>4873.47</v>
      </c>
      <c r="W103" s="166">
        <v>3062</v>
      </c>
      <c r="X103" s="166">
        <v>5216.28</v>
      </c>
      <c r="Y103" s="166">
        <v>5039.6000000000004</v>
      </c>
      <c r="Z103" s="166">
        <v>8582.49</v>
      </c>
      <c r="AA103" s="166">
        <f t="shared" si="27"/>
        <v>67073.84</v>
      </c>
      <c r="AB103" s="167">
        <f t="shared" si="28"/>
        <v>0.10591220606584656</v>
      </c>
      <c r="AC103" s="140"/>
      <c r="AD103" s="166">
        <v>102744.27</v>
      </c>
      <c r="AE103" s="167">
        <f t="shared" si="29"/>
        <v>0.15132311274642465</v>
      </c>
      <c r="AF103" s="168">
        <f t="shared" si="30"/>
        <v>-35670.430000000008</v>
      </c>
      <c r="AG103" s="166">
        <v>23293.88</v>
      </c>
      <c r="AH103" s="167">
        <f t="shared" si="31"/>
        <v>0.10756878244939821</v>
      </c>
      <c r="AI103" s="168">
        <f t="shared" si="32"/>
        <v>43779.959999999992</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v>24</v>
      </c>
      <c r="Q106" s="143">
        <v>42</v>
      </c>
      <c r="R106" s="143">
        <v>28</v>
      </c>
      <c r="S106" s="143">
        <v>129</v>
      </c>
      <c r="T106" s="143"/>
      <c r="U106" s="143">
        <v>22</v>
      </c>
      <c r="V106" s="143">
        <v>40</v>
      </c>
      <c r="W106" s="143">
        <v>16</v>
      </c>
      <c r="X106" s="143">
        <v>23</v>
      </c>
      <c r="Y106" s="143">
        <v>32</v>
      </c>
      <c r="Z106" s="143">
        <v>384</v>
      </c>
      <c r="AA106" s="143">
        <f t="shared" ref="AA106:AA111" si="33">SUM(O106:Z106)</f>
        <v>740</v>
      </c>
      <c r="AB106" s="144">
        <f t="shared" ref="AB106:AB111" si="34">IF(AA106=0,"",IFERROR(AA106/AA$19,""))</f>
        <v>1.168488824983428E-3</v>
      </c>
      <c r="AC106" s="140"/>
      <c r="AD106" s="143"/>
      <c r="AE106" s="144" t="str">
        <f t="shared" ref="AE106:AE111" si="35">IF(AD106=0,"",IFERROR(AD106/AD$19,""))</f>
        <v/>
      </c>
      <c r="AF106" s="145">
        <f t="shared" ref="AF106:AF111" si="36">IF(AND($AA106="",AD106=""),"",$AA106-AD106)</f>
        <v>740</v>
      </c>
      <c r="AG106" s="143">
        <v>56</v>
      </c>
      <c r="AH106" s="144">
        <f t="shared" ref="AH106:AH111" si="37">IF(AG106=0,"",IFERROR(AG106/AG$19,""))</f>
        <v>2.5860233748805695E-4</v>
      </c>
      <c r="AI106" s="145">
        <f t="shared" ref="AI106:AI111" si="38">IF(AND($AA106="",AG106=""),"",$AA106-AG106)</f>
        <v>684</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v>15</v>
      </c>
      <c r="S107" s="143">
        <v>352</v>
      </c>
      <c r="T107" s="143">
        <v>16</v>
      </c>
      <c r="U107" s="143">
        <v>77</v>
      </c>
      <c r="V107" s="143">
        <v>124.4</v>
      </c>
      <c r="W107" s="143">
        <v>64</v>
      </c>
      <c r="X107" s="143">
        <v>93.8</v>
      </c>
      <c r="Y107" s="143">
        <v>138</v>
      </c>
      <c r="Z107" s="143"/>
      <c r="AA107" s="143">
        <f t="shared" si="33"/>
        <v>880.19999999999993</v>
      </c>
      <c r="AB107" s="144">
        <f t="shared" si="34"/>
        <v>1.3898700861492072E-3</v>
      </c>
      <c r="AC107" s="140"/>
      <c r="AD107" s="143">
        <v>913.18499999999995</v>
      </c>
      <c r="AE107" s="144">
        <f t="shared" si="35"/>
        <v>1.3449508835222032E-3</v>
      </c>
      <c r="AF107" s="145">
        <f t="shared" si="36"/>
        <v>-32.985000000000014</v>
      </c>
      <c r="AG107" s="143">
        <v>625</v>
      </c>
      <c r="AH107" s="144">
        <f t="shared" si="37"/>
        <v>2.886186802322064E-3</v>
      </c>
      <c r="AI107" s="145">
        <f t="shared" si="38"/>
        <v>255.19999999999993</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v>744.8</v>
      </c>
      <c r="P108" s="143">
        <v>973</v>
      </c>
      <c r="Q108" s="143">
        <v>950.54</v>
      </c>
      <c r="R108" s="143">
        <v>651.37</v>
      </c>
      <c r="S108" s="143">
        <v>623</v>
      </c>
      <c r="T108" s="143">
        <v>313</v>
      </c>
      <c r="U108" s="143">
        <v>441</v>
      </c>
      <c r="V108" s="143">
        <v>218</v>
      </c>
      <c r="W108" s="143">
        <v>223</v>
      </c>
      <c r="X108" s="143">
        <v>412.01</v>
      </c>
      <c r="Y108" s="143">
        <v>513</v>
      </c>
      <c r="Z108" s="143">
        <v>767</v>
      </c>
      <c r="AA108" s="143">
        <f t="shared" si="33"/>
        <v>6829.72</v>
      </c>
      <c r="AB108" s="144">
        <f t="shared" si="34"/>
        <v>1.0784393915899755E-2</v>
      </c>
      <c r="AC108" s="140"/>
      <c r="AD108" s="143">
        <v>14730.15</v>
      </c>
      <c r="AE108" s="144">
        <f t="shared" si="35"/>
        <v>2.1694758736635601E-2</v>
      </c>
      <c r="AF108" s="145">
        <f t="shared" si="36"/>
        <v>-7900.4299999999994</v>
      </c>
      <c r="AG108" s="143">
        <v>2612.96</v>
      </c>
      <c r="AH108" s="144">
        <f t="shared" si="37"/>
        <v>1.2066385067192736E-2</v>
      </c>
      <c r="AI108" s="145">
        <f t="shared" si="38"/>
        <v>4216.76</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v>4374.2250000000004</v>
      </c>
      <c r="AE109" s="144">
        <f t="shared" si="35"/>
        <v>6.4424161352572701E-3</v>
      </c>
      <c r="AF109" s="145">
        <f t="shared" si="36"/>
        <v>-4374.2250000000004</v>
      </c>
      <c r="AG109" s="143">
        <v>306</v>
      </c>
      <c r="AH109" s="144">
        <f t="shared" si="37"/>
        <v>1.4130770584168827E-3</v>
      </c>
      <c r="AI109" s="145">
        <f t="shared" si="38"/>
        <v>-306</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v>744.8</v>
      </c>
      <c r="P111" s="166">
        <v>997</v>
      </c>
      <c r="Q111" s="166">
        <v>992.54</v>
      </c>
      <c r="R111" s="166">
        <v>694.37</v>
      </c>
      <c r="S111" s="166">
        <v>1104</v>
      </c>
      <c r="T111" s="166">
        <v>329</v>
      </c>
      <c r="U111" s="166">
        <v>540</v>
      </c>
      <c r="V111" s="166">
        <v>382.4</v>
      </c>
      <c r="W111" s="166">
        <v>303</v>
      </c>
      <c r="X111" s="166">
        <v>528.80999999999995</v>
      </c>
      <c r="Y111" s="166">
        <v>683</v>
      </c>
      <c r="Z111" s="166">
        <v>1151</v>
      </c>
      <c r="AA111" s="166">
        <f t="shared" si="33"/>
        <v>8449.92</v>
      </c>
      <c r="AB111" s="167">
        <f t="shared" si="34"/>
        <v>1.334275282703239E-2</v>
      </c>
      <c r="AC111" s="140"/>
      <c r="AD111" s="166">
        <v>20017.560000000001</v>
      </c>
      <c r="AE111" s="167">
        <f t="shared" si="35"/>
        <v>2.9482125755415076E-2</v>
      </c>
      <c r="AF111" s="168">
        <f t="shared" si="36"/>
        <v>-11567.640000000001</v>
      </c>
      <c r="AG111" s="166">
        <v>3599.96</v>
      </c>
      <c r="AH111" s="167">
        <f t="shared" si="37"/>
        <v>1.6624251265419741E-2</v>
      </c>
      <c r="AI111" s="168">
        <f t="shared" si="38"/>
        <v>4849.96</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v>755</v>
      </c>
      <c r="P114" s="143">
        <v>1134</v>
      </c>
      <c r="Q114" s="143">
        <v>1574</v>
      </c>
      <c r="R114" s="143">
        <v>1548</v>
      </c>
      <c r="S114" s="143">
        <v>1739</v>
      </c>
      <c r="T114" s="143">
        <v>1592</v>
      </c>
      <c r="U114" s="143">
        <v>1678</v>
      </c>
      <c r="V114" s="143">
        <v>558</v>
      </c>
      <c r="W114" s="143">
        <v>823</v>
      </c>
      <c r="X114" s="143">
        <v>1896</v>
      </c>
      <c r="Y114" s="143">
        <v>1024</v>
      </c>
      <c r="Z114" s="143">
        <v>2684.1</v>
      </c>
      <c r="AA114" s="143">
        <f t="shared" ref="AA114:AA119" si="39">SUM(O114:Z114)</f>
        <v>17005.099999999999</v>
      </c>
      <c r="AB114" s="144">
        <f t="shared" ref="AB114:AB119" si="40">IF(AA114=0,"",IFERROR(AA114/AA$19,""))</f>
        <v>2.6851715294223907E-2</v>
      </c>
      <c r="AC114" s="140"/>
      <c r="AD114" s="143">
        <v>10677.975</v>
      </c>
      <c r="AE114" s="144">
        <f t="shared" ref="AE114:AE119" si="41">IF(AD114=0,"",IFERROR(AD114/AD$19,""))</f>
        <v>1.5726662078853679E-2</v>
      </c>
      <c r="AF114" s="145">
        <f t="shared" ref="AF114:AF119" si="42">IF(AND($AA114="",AD114=""),"",$AA114-AD114)</f>
        <v>6327.1249999999982</v>
      </c>
      <c r="AG114" s="143">
        <v>1773</v>
      </c>
      <c r="AH114" s="144">
        <f t="shared" ref="AH114:AH119" si="43">IF(AG114=0,"",IFERROR(AG114/AG$19,""))</f>
        <v>8.187534720827231E-3</v>
      </c>
      <c r="AI114" s="145">
        <f t="shared" ref="AI114:AI119" si="44">IF(AND($AA114="",AG114=""),"",$AA114-AG114)</f>
        <v>15232.099999999999</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v>20</v>
      </c>
      <c r="P115" s="143"/>
      <c r="Q115" s="143"/>
      <c r="R115" s="143">
        <v>754</v>
      </c>
      <c r="S115" s="143">
        <v>1020</v>
      </c>
      <c r="T115" s="143">
        <v>513</v>
      </c>
      <c r="U115" s="143">
        <v>1282</v>
      </c>
      <c r="V115" s="143">
        <v>1527.6</v>
      </c>
      <c r="W115" s="143">
        <v>1265</v>
      </c>
      <c r="X115" s="143">
        <v>955</v>
      </c>
      <c r="Y115" s="143">
        <v>1521</v>
      </c>
      <c r="Z115" s="143"/>
      <c r="AA115" s="143">
        <f t="shared" si="39"/>
        <v>8857.6</v>
      </c>
      <c r="AB115" s="144">
        <f t="shared" si="40"/>
        <v>1.3986495427261098E-2</v>
      </c>
      <c r="AC115" s="140"/>
      <c r="AD115" s="143">
        <v>16805.88</v>
      </c>
      <c r="AE115" s="144">
        <f t="shared" si="41"/>
        <v>2.4751921192713553E-2</v>
      </c>
      <c r="AF115" s="145">
        <f t="shared" si="42"/>
        <v>-7948.2800000000007</v>
      </c>
      <c r="AG115" s="143">
        <v>6740.5</v>
      </c>
      <c r="AH115" s="144">
        <f t="shared" si="43"/>
        <v>3.1126947425682998E-2</v>
      </c>
      <c r="AI115" s="145">
        <f t="shared" si="44"/>
        <v>2117.1000000000004</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v>3140</v>
      </c>
      <c r="P116" s="143">
        <v>4539</v>
      </c>
      <c r="Q116" s="143">
        <v>3719.45</v>
      </c>
      <c r="R116" s="143">
        <v>3580.95</v>
      </c>
      <c r="S116" s="143">
        <v>2550.8000000000002</v>
      </c>
      <c r="T116" s="143">
        <v>1790.06</v>
      </c>
      <c r="U116" s="143">
        <v>1828</v>
      </c>
      <c r="V116" s="143">
        <v>1402</v>
      </c>
      <c r="W116" s="143">
        <v>1880.08</v>
      </c>
      <c r="X116" s="143">
        <v>1540</v>
      </c>
      <c r="Y116" s="143">
        <v>3032.2</v>
      </c>
      <c r="Z116" s="143">
        <v>5855.78</v>
      </c>
      <c r="AA116" s="143">
        <f t="shared" si="39"/>
        <v>34858.320000000007</v>
      </c>
      <c r="AB116" s="144">
        <f t="shared" si="40"/>
        <v>5.5042645104995049E-2</v>
      </c>
      <c r="AC116" s="140"/>
      <c r="AD116" s="143">
        <v>81015.824999999997</v>
      </c>
      <c r="AE116" s="144">
        <f t="shared" si="41"/>
        <v>0.1193211730514958</v>
      </c>
      <c r="AF116" s="145">
        <f t="shared" si="42"/>
        <v>-46157.50499999999</v>
      </c>
      <c r="AG116" s="143">
        <v>17966.060000000001</v>
      </c>
      <c r="AH116" s="144">
        <f t="shared" si="43"/>
        <v>8.2965448418762161E-2</v>
      </c>
      <c r="AI116" s="145">
        <f t="shared" si="44"/>
        <v>16892.260000000006</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v>11</v>
      </c>
      <c r="R117" s="143"/>
      <c r="S117" s="143"/>
      <c r="T117" s="143"/>
      <c r="U117" s="143"/>
      <c r="V117" s="143"/>
      <c r="W117" s="143"/>
      <c r="X117" s="143"/>
      <c r="Y117" s="143"/>
      <c r="Z117" s="143"/>
      <c r="AA117" s="143">
        <f t="shared" si="39"/>
        <v>11</v>
      </c>
      <c r="AB117" s="144">
        <f t="shared" si="40"/>
        <v>1.736942847948339E-5</v>
      </c>
      <c r="AC117" s="140"/>
      <c r="AD117" s="143">
        <v>6849</v>
      </c>
      <c r="AE117" s="144">
        <f t="shared" si="41"/>
        <v>1.0087297317896779E-2</v>
      </c>
      <c r="AF117" s="145">
        <f t="shared" si="42"/>
        <v>-6838</v>
      </c>
      <c r="AG117" s="143">
        <v>1737</v>
      </c>
      <c r="AH117" s="144">
        <f t="shared" si="43"/>
        <v>8.0212903610134799E-3</v>
      </c>
      <c r="AI117" s="145">
        <f t="shared" si="44"/>
        <v>-1726</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v>3915</v>
      </c>
      <c r="P119" s="166">
        <v>5673</v>
      </c>
      <c r="Q119" s="166">
        <v>5304.45</v>
      </c>
      <c r="R119" s="166">
        <v>5882.95</v>
      </c>
      <c r="S119" s="166">
        <v>5309.8</v>
      </c>
      <c r="T119" s="166">
        <v>3895.06</v>
      </c>
      <c r="U119" s="166">
        <v>4788</v>
      </c>
      <c r="V119" s="166">
        <v>3487.6</v>
      </c>
      <c r="W119" s="166">
        <v>3968.08</v>
      </c>
      <c r="X119" s="166">
        <v>4391</v>
      </c>
      <c r="Y119" s="166">
        <v>5577.2</v>
      </c>
      <c r="Z119" s="166">
        <v>8539.8799999999992</v>
      </c>
      <c r="AA119" s="166">
        <f t="shared" si="39"/>
        <v>60732.02</v>
      </c>
      <c r="AB119" s="167">
        <f t="shared" si="40"/>
        <v>9.5898225254959529E-2</v>
      </c>
      <c r="AC119" s="140"/>
      <c r="AD119" s="166">
        <v>115348.68</v>
      </c>
      <c r="AE119" s="167">
        <f t="shared" si="41"/>
        <v>0.1698870536409598</v>
      </c>
      <c r="AF119" s="168">
        <f t="shared" si="42"/>
        <v>-54616.659999999996</v>
      </c>
      <c r="AG119" s="166">
        <v>28216.560000000001</v>
      </c>
      <c r="AH119" s="167">
        <f t="shared" si="43"/>
        <v>0.13030122092628588</v>
      </c>
      <c r="AI119" s="168">
        <f t="shared" si="44"/>
        <v>32515.459999999995</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858</v>
      </c>
      <c r="P121" s="143">
        <f t="shared" si="45"/>
        <v>1312</v>
      </c>
      <c r="Q121" s="143">
        <f t="shared" si="45"/>
        <v>1871</v>
      </c>
      <c r="R121" s="143">
        <f t="shared" si="45"/>
        <v>1780</v>
      </c>
      <c r="S121" s="143">
        <f t="shared" si="45"/>
        <v>2460.8000000000002</v>
      </c>
      <c r="T121" s="143">
        <f t="shared" si="45"/>
        <v>2005</v>
      </c>
      <c r="U121" s="143">
        <f t="shared" si="45"/>
        <v>2356</v>
      </c>
      <c r="V121" s="143">
        <f t="shared" si="45"/>
        <v>1278.0700000000002</v>
      </c>
      <c r="W121" s="143">
        <f t="shared" si="45"/>
        <v>1061</v>
      </c>
      <c r="X121" s="143">
        <f t="shared" si="45"/>
        <v>2706</v>
      </c>
      <c r="Y121" s="143">
        <f t="shared" si="45"/>
        <v>1630</v>
      </c>
      <c r="Z121" s="143">
        <f t="shared" si="45"/>
        <v>5120.2999999999993</v>
      </c>
      <c r="AA121" s="143">
        <f t="shared" ref="AA121:AA126" si="46">SUM(O121:Z121)</f>
        <v>24438.17</v>
      </c>
      <c r="AB121" s="144">
        <f t="shared" ref="AB121:AB126" si="47">IF(AA121=0,"",IFERROR(AA121/AA$19,""))</f>
        <v>3.8588822362223323E-2</v>
      </c>
      <c r="AC121" s="140"/>
      <c r="AD121" s="143">
        <f>AD98+AD106+AD114</f>
        <v>21355.95</v>
      </c>
      <c r="AE121" s="144">
        <f t="shared" ref="AE121:AE126" si="48">IF(AD121=0,"",IFERROR(AD121/AD$19,""))</f>
        <v>3.1453324157707359E-2</v>
      </c>
      <c r="AF121" s="145">
        <f t="shared" ref="AF121:AF126" si="49">IF(AND($AA121="",AD121=""),"",$AA121-AD121)</f>
        <v>3082.2199999999975</v>
      </c>
      <c r="AG121" s="143">
        <f>AG98+AG106+AG114</f>
        <v>2575</v>
      </c>
      <c r="AH121" s="144">
        <f t="shared" ref="AH121:AH126" si="50">IF(AG121=0,"",IFERROR(AG121/AG$19,""))</f>
        <v>1.1891089625566904E-2</v>
      </c>
      <c r="AI121" s="145">
        <f t="shared" ref="AI121:AI126" si="51">IF(AND($AA121="",AG121=""),"",$AA121-AG121)</f>
        <v>21863.17</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20</v>
      </c>
      <c r="P122" s="143">
        <f t="shared" si="52"/>
        <v>0</v>
      </c>
      <c r="Q122" s="143">
        <f t="shared" si="52"/>
        <v>0</v>
      </c>
      <c r="R122" s="143">
        <f t="shared" si="52"/>
        <v>1038</v>
      </c>
      <c r="S122" s="143">
        <f t="shared" si="52"/>
        <v>1875.52</v>
      </c>
      <c r="T122" s="143">
        <f t="shared" si="52"/>
        <v>960</v>
      </c>
      <c r="U122" s="143">
        <f t="shared" si="52"/>
        <v>2768</v>
      </c>
      <c r="V122" s="143">
        <f t="shared" si="52"/>
        <v>2276</v>
      </c>
      <c r="W122" s="143">
        <f t="shared" si="52"/>
        <v>1892</v>
      </c>
      <c r="X122" s="143">
        <f t="shared" si="52"/>
        <v>1436.8</v>
      </c>
      <c r="Y122" s="143">
        <f t="shared" si="52"/>
        <v>2300</v>
      </c>
      <c r="Z122" s="143">
        <f t="shared" si="52"/>
        <v>0</v>
      </c>
      <c r="AA122" s="143">
        <f t="shared" si="46"/>
        <v>14566.32</v>
      </c>
      <c r="AB122" s="144">
        <f t="shared" si="47"/>
        <v>2.3000786677206227E-2</v>
      </c>
      <c r="AC122" s="140"/>
      <c r="AD122" s="143">
        <f>AD99+AD107+AD115</f>
        <v>21920.535000000003</v>
      </c>
      <c r="AE122" s="144">
        <f t="shared" si="48"/>
        <v>3.2284852374414148E-2</v>
      </c>
      <c r="AF122" s="145">
        <f t="shared" si="49"/>
        <v>-7354.2150000000038</v>
      </c>
      <c r="AG122" s="143">
        <f>AG99+AG107+AG115</f>
        <v>9632.81</v>
      </c>
      <c r="AH122" s="144">
        <f t="shared" si="50"/>
        <v>4.4483342546041603E-2</v>
      </c>
      <c r="AI122" s="145">
        <f t="shared" si="51"/>
        <v>4933.51</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6278.7</v>
      </c>
      <c r="P123" s="143">
        <f t="shared" si="53"/>
        <v>10494</v>
      </c>
      <c r="Q123" s="143">
        <f t="shared" si="53"/>
        <v>12395.119999999999</v>
      </c>
      <c r="R123" s="143">
        <f t="shared" si="53"/>
        <v>9566.7099999999991</v>
      </c>
      <c r="S123" s="143">
        <f t="shared" si="53"/>
        <v>8147.8</v>
      </c>
      <c r="T123" s="143">
        <f t="shared" si="53"/>
        <v>6323.32</v>
      </c>
      <c r="U123" s="143">
        <f t="shared" si="53"/>
        <v>7949</v>
      </c>
      <c r="V123" s="143">
        <f t="shared" si="53"/>
        <v>5189.3999999999996</v>
      </c>
      <c r="W123" s="143">
        <f t="shared" si="53"/>
        <v>4380.08</v>
      </c>
      <c r="X123" s="143">
        <f t="shared" si="53"/>
        <v>5993.29</v>
      </c>
      <c r="Y123" s="143">
        <f t="shared" si="53"/>
        <v>7369.8</v>
      </c>
      <c r="Z123" s="143">
        <f t="shared" si="53"/>
        <v>13153.07</v>
      </c>
      <c r="AA123" s="143">
        <f t="shared" si="46"/>
        <v>97240.290000000008</v>
      </c>
      <c r="AB123" s="144">
        <f t="shared" si="47"/>
        <v>0.15354620567992947</v>
      </c>
      <c r="AC123" s="140"/>
      <c r="AD123" s="143">
        <f>AD100+AD108+AD116</f>
        <v>176761.8</v>
      </c>
      <c r="AE123" s="144">
        <f t="shared" si="48"/>
        <v>0.26033710483962719</v>
      </c>
      <c r="AF123" s="145">
        <f t="shared" si="49"/>
        <v>-79521.50999999998</v>
      </c>
      <c r="AG123" s="143">
        <f>AG100+AG108+AG116</f>
        <v>37945.39</v>
      </c>
      <c r="AH123" s="144">
        <f t="shared" si="50"/>
        <v>0.17522797412314181</v>
      </c>
      <c r="AI123" s="145">
        <f t="shared" si="51"/>
        <v>59294.900000000009</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11</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11</v>
      </c>
      <c r="AB124" s="144">
        <f t="shared" si="47"/>
        <v>1.736942847948339E-5</v>
      </c>
      <c r="AC124" s="140"/>
      <c r="AD124" s="143">
        <f>AD101+AD109+AD117</f>
        <v>18072.224999999999</v>
      </c>
      <c r="AE124" s="144">
        <f t="shared" si="48"/>
        <v>2.6617010771050824E-2</v>
      </c>
      <c r="AF124" s="145">
        <f t="shared" si="49"/>
        <v>-18061.224999999999</v>
      </c>
      <c r="AG124" s="143">
        <f>AG101+AG109+AG117</f>
        <v>4957.2</v>
      </c>
      <c r="AH124" s="144">
        <f t="shared" si="50"/>
        <v>2.2891848346353497E-2</v>
      </c>
      <c r="AI124" s="145">
        <f t="shared" si="51"/>
        <v>-4946.2</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7156.7</v>
      </c>
      <c r="P126" s="166">
        <f t="shared" si="56"/>
        <v>11806</v>
      </c>
      <c r="Q126" s="166">
        <f t="shared" si="56"/>
        <v>14277.119999999999</v>
      </c>
      <c r="R126" s="166">
        <f t="shared" si="56"/>
        <v>12384.71</v>
      </c>
      <c r="S126" s="166">
        <f t="shared" si="56"/>
        <v>12484.119999999999</v>
      </c>
      <c r="T126" s="166">
        <f t="shared" si="56"/>
        <v>9288.32</v>
      </c>
      <c r="U126" s="166">
        <f t="shared" si="56"/>
        <v>13073</v>
      </c>
      <c r="V126" s="166">
        <f t="shared" si="56"/>
        <v>8743.4699999999993</v>
      </c>
      <c r="W126" s="166">
        <f t="shared" si="56"/>
        <v>7333.08</v>
      </c>
      <c r="X126" s="166">
        <f t="shared" si="56"/>
        <v>10136.09</v>
      </c>
      <c r="Y126" s="166">
        <f t="shared" si="56"/>
        <v>11299.8</v>
      </c>
      <c r="Z126" s="166">
        <f t="shared" si="56"/>
        <v>18273.37</v>
      </c>
      <c r="AA126" s="166">
        <f t="shared" si="46"/>
        <v>136255.78</v>
      </c>
      <c r="AB126" s="167">
        <f t="shared" si="47"/>
        <v>0.21515318414783849</v>
      </c>
      <c r="AC126" s="140"/>
      <c r="AD126" s="166">
        <f>SUM(AD121:AD125)</f>
        <v>238110.50999999998</v>
      </c>
      <c r="AE126" s="167">
        <f t="shared" si="48"/>
        <v>0.35069229214279951</v>
      </c>
      <c r="AF126" s="168">
        <f t="shared" si="49"/>
        <v>-101854.72999999998</v>
      </c>
      <c r="AG126" s="166">
        <f>SUM(AG121:AG125)</f>
        <v>55110.399999999994</v>
      </c>
      <c r="AH126" s="167">
        <f t="shared" si="50"/>
        <v>0.25449425464110381</v>
      </c>
      <c r="AI126" s="168">
        <f t="shared" si="51"/>
        <v>81145.38</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v>6657.76</v>
      </c>
      <c r="P130" s="143">
        <v>11151.28</v>
      </c>
      <c r="Q130" s="143">
        <v>17292.060000000001</v>
      </c>
      <c r="R130" s="143">
        <v>20304.21</v>
      </c>
      <c r="S130" s="143">
        <v>23205.69</v>
      </c>
      <c r="T130" s="143">
        <v>14333.3</v>
      </c>
      <c r="U130" s="143">
        <v>15307.51</v>
      </c>
      <c r="V130" s="143">
        <v>11836.32</v>
      </c>
      <c r="W130" s="143">
        <v>9779.84</v>
      </c>
      <c r="X130" s="143">
        <v>11159.21</v>
      </c>
      <c r="Y130" s="143">
        <v>14595.65</v>
      </c>
      <c r="Z130" s="143">
        <v>24582.23</v>
      </c>
      <c r="AA130" s="143">
        <f>SUM(O130:Z130)</f>
        <v>180205.06</v>
      </c>
      <c r="AB130" s="436">
        <f>IF(_epmOfflineCondition_,0.361682112588119,IF(AA130=0,"",IFERROR(AA130/_xll.EVGTS($B$1,1,_xll.EVPRO($B$1,$H130,"COSBASIS"),$B$3,$B$5,$B$6,$B$7,$B$9,AA$16,AA$17,AA$11),"")))</f>
        <v>0.361682112588119</v>
      </c>
      <c r="AC130" s="140"/>
      <c r="AD130" s="143">
        <v>136667.29999999999</v>
      </c>
      <c r="AE130" s="436">
        <f>IF(_epmOfflineCondition_,0.310000012702381,IF(AD130=0,"",IFERROR(AD130/_xll.EVGTS($B$1,1,_xll.EVPRO($B$1,$H130,"COSBASIS"),$B$3,$B$5,$B$6,$B$7,$B$9,AD$16,AD$17,AD$18),"")))</f>
        <v>0.31000001270238098</v>
      </c>
      <c r="AF130" s="145">
        <f t="shared" ref="AF130:AF141" si="58">IF(AND($AA130="",AD130=""),"",$AA130-AD130)</f>
        <v>43537.760000000009</v>
      </c>
      <c r="AG130" s="143">
        <v>92294.79</v>
      </c>
      <c r="AH130" s="436">
        <f>IF(_epmOfflineCondition_,0.570274197503838,IF(AG130=0,"",IFERROR(AG130/_xll.EVGTS($B$1,1,_xll.EVPRO($B$1,$H130,"COSBASIS"),$B$3,$B$5,$B$6,$B$7,$B$9,AG$16,AG$17,AG$18),"")))</f>
        <v>0.57027419750383801</v>
      </c>
      <c r="AI130" s="145">
        <f t="shared" ref="AI130:AI141" si="59">IF(AND($AA130="",AG130=""),"",$AA130-AG130)</f>
        <v>87910.27</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0.29792394387121801</v>
      </c>
      <c r="P131" s="508">
        <v>0.321611019926347</v>
      </c>
      <c r="Q131" s="508">
        <v>0.36805297628714301</v>
      </c>
      <c r="R131" s="508">
        <v>0.482165934227205</v>
      </c>
      <c r="S131" s="508">
        <v>0.53903528444909099</v>
      </c>
      <c r="T131" s="508">
        <v>0.34248159555378199</v>
      </c>
      <c r="U131" s="508">
        <v>0.32923914888052302</v>
      </c>
      <c r="V131" s="508">
        <v>0.36325558556346699</v>
      </c>
      <c r="W131" s="508">
        <v>0.35656253509172298</v>
      </c>
      <c r="X131" s="508">
        <v>0.29937895930545599</v>
      </c>
      <c r="Y131" s="508">
        <v>0.30873400159616499</v>
      </c>
      <c r="Z131" s="508">
        <v>0.32272646831160801</v>
      </c>
      <c r="AA131" s="508">
        <v>0.361682112588119</v>
      </c>
      <c r="AB131" s="436"/>
      <c r="AC131" s="140"/>
      <c r="AD131" s="508">
        <v>0.31000001270238098</v>
      </c>
      <c r="AE131" s="436"/>
      <c r="AF131" s="521">
        <f t="shared" si="58"/>
        <v>5.168209988573802E-2</v>
      </c>
      <c r="AG131" s="508">
        <v>0.57027419750383801</v>
      </c>
      <c r="AH131" s="436"/>
      <c r="AI131" s="521">
        <f t="shared" si="59"/>
        <v>-0.20859208491571901</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v>1936.26</v>
      </c>
      <c r="P132" s="143">
        <v>-1215.8499999999999</v>
      </c>
      <c r="Q132" s="143">
        <v>3862.01</v>
      </c>
      <c r="R132" s="143">
        <v>2856.79</v>
      </c>
      <c r="S132" s="143">
        <v>-426.96</v>
      </c>
      <c r="T132" s="143">
        <v>398.38</v>
      </c>
      <c r="U132" s="143">
        <v>1708.69</v>
      </c>
      <c r="V132" s="143">
        <v>1837.77</v>
      </c>
      <c r="W132" s="143">
        <v>1071.28</v>
      </c>
      <c r="X132" s="143">
        <v>3342.2</v>
      </c>
      <c r="Y132" s="143">
        <v>1802.17</v>
      </c>
      <c r="Z132" s="143">
        <v>2985.83</v>
      </c>
      <c r="AA132" s="143">
        <f>SUM(O132:Z132)</f>
        <v>20158.57</v>
      </c>
      <c r="AB132" s="436">
        <f>IF(_epmOfflineCondition_,0.147946531148991,IF(AA132=0,"",IFERROR(AA132/_xll.EVGTS($B$1,1,_xll.EVPRO($B$1,$H132,"COSBASIS"),$B$3,$B$5,$B$6,$B$7,$B$9,AA$16,AA$17,AA$11),"")))</f>
        <v>0.14794653114899101</v>
      </c>
      <c r="AC132" s="140"/>
      <c r="AD132" s="143">
        <v>56672.03</v>
      </c>
      <c r="AE132" s="436">
        <f>IF(_epmOfflineCondition_,0.238007259738346,IF(AD132=0,"",IFERROR(AD132/_xll.EVGTS($B$1,1,_xll.EVPRO($B$1,$H132,"COSBASIS"),$B$3,$B$5,$B$6,$B$7,$B$9,AD$16,AD$17,AD$18),"")))</f>
        <v>0.23800725973834599</v>
      </c>
      <c r="AF132" s="145">
        <f t="shared" si="58"/>
        <v>-36513.46</v>
      </c>
      <c r="AG132" s="143">
        <v>17625.849999999999</v>
      </c>
      <c r="AH132" s="436">
        <f>IF(_epmOfflineCondition_,0.319828017942167,IF(AG132=0,"",IFERROR(AG132/_xll.EVGTS($B$1,1,_xll.EVPRO($B$1,$H132,"COSBASIS"),$B$3,$B$5,$B$6,$B$7,$B$9,AG$16,AG$17,AG$18),"")))</f>
        <v>0.31982801794216698</v>
      </c>
      <c r="AI132" s="145">
        <f t="shared" si="59"/>
        <v>2532.7200000000012</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0.27055207008816901</v>
      </c>
      <c r="P133" s="508">
        <v>-0.102985769947484</v>
      </c>
      <c r="Q133" s="508">
        <v>0.27050343486641598</v>
      </c>
      <c r="R133" s="508">
        <v>0.23067072220504201</v>
      </c>
      <c r="S133" s="508">
        <v>-3.4200247995052897E-2</v>
      </c>
      <c r="T133" s="508">
        <v>4.28904258251223E-2</v>
      </c>
      <c r="U133" s="508">
        <v>0.130703740533925</v>
      </c>
      <c r="V133" s="508">
        <v>0.21018771723354701</v>
      </c>
      <c r="W133" s="508">
        <v>0.14608868306359701</v>
      </c>
      <c r="X133" s="508">
        <v>0.32973266811956098</v>
      </c>
      <c r="Y133" s="508">
        <v>0.15948689357333801</v>
      </c>
      <c r="Z133" s="508">
        <v>0.163397884462472</v>
      </c>
      <c r="AA133" s="508">
        <v>0.14794653114899101</v>
      </c>
      <c r="AB133" s="436"/>
      <c r="AC133" s="140"/>
      <c r="AD133" s="508">
        <v>0.23800725973834599</v>
      </c>
      <c r="AE133" s="436"/>
      <c r="AF133" s="521">
        <f t="shared" si="58"/>
        <v>-9.0060728589354988E-2</v>
      </c>
      <c r="AG133" s="508">
        <v>0.31982801794216698</v>
      </c>
      <c r="AH133" s="436"/>
      <c r="AI133" s="521">
        <f t="shared" si="59"/>
        <v>-0.17188148679317597</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v>-105.29</v>
      </c>
      <c r="P134" s="143">
        <v>-2439.52</v>
      </c>
      <c r="Q134" s="143">
        <v>1908.78</v>
      </c>
      <c r="R134" s="143">
        <v>1713.46</v>
      </c>
      <c r="S134" s="143">
        <v>-2502.56</v>
      </c>
      <c r="T134" s="143">
        <v>-384.99</v>
      </c>
      <c r="U134" s="143">
        <v>-466.54</v>
      </c>
      <c r="V134" s="143">
        <v>720.99</v>
      </c>
      <c r="W134" s="143">
        <v>309.67</v>
      </c>
      <c r="X134" s="143">
        <v>2369.36</v>
      </c>
      <c r="Y134" s="143">
        <v>-1565.44</v>
      </c>
      <c r="Z134" s="143">
        <v>942.77</v>
      </c>
      <c r="AA134" s="143">
        <f>SUM(O134:Z134)</f>
        <v>500.69000000000028</v>
      </c>
      <c r="AB134" s="436">
        <f>IF(_epmOfflineCondition_,0.00746475824255776,IF(AA134=0,"",IFERROR(AA134/_xll.EVGTS($B$1,1,_xll.EVPRO($B$1,$H134,"COSBASIS"),$B$3,$B$5,$B$6,$B$7,$B$9,AA$16,AA$17,AA$11),"")))</f>
        <v>7.4647582425577596E-3</v>
      </c>
      <c r="AC134" s="140"/>
      <c r="AD134" s="143">
        <v>23631.17</v>
      </c>
      <c r="AE134" s="436">
        <f>IF(_epmOfflineCondition_,0.229999882231875,IF(AD134=0,"",IFERROR(AD134/_xll.EVGTS($B$1,1,_xll.EVPRO($B$1,$H134,"COSBASIS"),$B$3,$B$5,$B$6,$B$7,$B$9,AD$16,AD$17,AD$18),"")))</f>
        <v>0.22999988223187501</v>
      </c>
      <c r="AF134" s="145">
        <f t="shared" si="58"/>
        <v>-23130.48</v>
      </c>
      <c r="AG134" s="143">
        <v>9611.39</v>
      </c>
      <c r="AH134" s="436">
        <f>IF(_epmOfflineCondition_,0.412614386267981,IF(AG134=0,"",IFERROR(AG134/_xll.EVGTS($B$1,1,_xll.EVPRO($B$1,$H134,"COSBASIS"),$B$3,$B$5,$B$6,$B$7,$B$9,AG$16,AG$17,AG$18),"")))</f>
        <v>0.41261438626798103</v>
      </c>
      <c r="AI134" s="145">
        <f t="shared" si="59"/>
        <v>-9110.6999999999989</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-4.21682886779607E-2</v>
      </c>
      <c r="P135" s="508">
        <v>-0.47498442367601201</v>
      </c>
      <c r="Q135" s="508">
        <v>0.23919159211692001</v>
      </c>
      <c r="R135" s="508">
        <v>0.295048205820515</v>
      </c>
      <c r="S135" s="508">
        <v>-0.41226162706414199</v>
      </c>
      <c r="T135" s="508">
        <v>-7.6020978385785906E-2</v>
      </c>
      <c r="U135" s="508">
        <v>-6.0237572627501602E-2</v>
      </c>
      <c r="V135" s="508">
        <v>0.147941815585199</v>
      </c>
      <c r="W135" s="508">
        <v>0.101133246244285</v>
      </c>
      <c r="X135" s="508">
        <v>0.45422408306302597</v>
      </c>
      <c r="Y135" s="508">
        <v>-0.310627827605366</v>
      </c>
      <c r="Z135" s="508">
        <v>0.109848074393329</v>
      </c>
      <c r="AA135" s="508">
        <v>7.4647582425577596E-3</v>
      </c>
      <c r="AB135" s="436"/>
      <c r="AC135" s="140"/>
      <c r="AD135" s="508">
        <v>0.22999988223187501</v>
      </c>
      <c r="AE135" s="436"/>
      <c r="AF135" s="521">
        <f t="shared" si="58"/>
        <v>-0.22253512398931724</v>
      </c>
      <c r="AG135" s="508">
        <v>0.41261438626798103</v>
      </c>
      <c r="AH135" s="436"/>
      <c r="AI135" s="521">
        <f t="shared" si="59"/>
        <v>-0.40514962802542326</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v>418.17</v>
      </c>
      <c r="P136" s="143">
        <v>367.79</v>
      </c>
      <c r="Q136" s="143">
        <v>-894.14</v>
      </c>
      <c r="R136" s="143">
        <v>170.01</v>
      </c>
      <c r="S136" s="143">
        <v>-343.59</v>
      </c>
      <c r="T136" s="143">
        <v>27.37</v>
      </c>
      <c r="U136" s="143">
        <v>240.09</v>
      </c>
      <c r="V136" s="143">
        <v>64.73</v>
      </c>
      <c r="W136" s="143">
        <v>48.92</v>
      </c>
      <c r="X136" s="143">
        <v>163.12</v>
      </c>
      <c r="Y136" s="143">
        <v>343.12</v>
      </c>
      <c r="Z136" s="143">
        <v>77.760000000000005</v>
      </c>
      <c r="AA136" s="143">
        <f>SUM(O136:Z136)</f>
        <v>683.35000000000014</v>
      </c>
      <c r="AB136" s="436">
        <f>IF(_epmOfflineCondition_,0.0808705881239113,IF(AA136=0,"",IFERROR(AA136/_xll.EVGTS($B$1,1,_xll.EVPRO($B$1,$H136,"COSBASIS"),$B$3,$B$5,$B$6,$B$7,$B$9,AA$16,AA$17,AA$11),"")))</f>
        <v>8.0870588123911305E-2</v>
      </c>
      <c r="AC136" s="140"/>
      <c r="AD136" s="143">
        <v>4203.6899999999996</v>
      </c>
      <c r="AE136" s="436">
        <f>IF(_epmOfflineCondition_,0.210000119894732,IF(AD136=0,"",IFERROR(AD136/_xll.EVGTS($B$1,1,_xll.EVPRO($B$1,$H136,"COSBASIS"),$B$3,$B$5,$B$6,$B$7,$B$9,AD$16,AD$17,AD$18),"")))</f>
        <v>0.210000119894732</v>
      </c>
      <c r="AF136" s="145">
        <f t="shared" si="58"/>
        <v>-3520.3399999999992</v>
      </c>
      <c r="AG136" s="143">
        <v>1010.06</v>
      </c>
      <c r="AH136" s="436">
        <f>IF(_epmOfflineCondition_,0.280575339725997,IF(AG136=0,"",IFERROR(AG136/_xll.EVGTS($B$1,1,_xll.EVPRO($B$1,$H136,"COSBASIS"),$B$3,$B$5,$B$6,$B$7,$B$9,AG$16,AG$17,AG$18),"")))</f>
        <v>0.28057533972599702</v>
      </c>
      <c r="AI136" s="145">
        <f t="shared" si="59"/>
        <v>-326.70999999999981</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0.56145273899033299</v>
      </c>
      <c r="P137" s="508">
        <v>0.36889669007021098</v>
      </c>
      <c r="Q137" s="508">
        <v>-0.90086041872367895</v>
      </c>
      <c r="R137" s="508">
        <v>0.24484064691735</v>
      </c>
      <c r="S137" s="508">
        <v>-0.31122282608695701</v>
      </c>
      <c r="T137" s="508">
        <v>8.3191489361702106E-2</v>
      </c>
      <c r="U137" s="508">
        <v>0.44461111111111101</v>
      </c>
      <c r="V137" s="508">
        <v>0.16927301255230101</v>
      </c>
      <c r="W137" s="508">
        <v>0.161452145214521</v>
      </c>
      <c r="X137" s="508">
        <v>0.30846617877876698</v>
      </c>
      <c r="Y137" s="508">
        <v>0.50237188872620797</v>
      </c>
      <c r="Z137" s="508">
        <v>6.7558644656820196E-2</v>
      </c>
      <c r="AA137" s="508">
        <v>8.0870588123911305E-2</v>
      </c>
      <c r="AB137" s="436"/>
      <c r="AC137" s="140"/>
      <c r="AD137" s="508">
        <v>0.210000119894732</v>
      </c>
      <c r="AE137" s="436"/>
      <c r="AF137" s="521">
        <f t="shared" si="58"/>
        <v>-0.1291295317708207</v>
      </c>
      <c r="AG137" s="508">
        <v>0.28057533972599702</v>
      </c>
      <c r="AH137" s="436"/>
      <c r="AI137" s="521">
        <f t="shared" si="59"/>
        <v>-0.19970475160208573</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v>1623.38</v>
      </c>
      <c r="P138" s="143">
        <v>855.88</v>
      </c>
      <c r="Q138" s="143">
        <v>2847.37</v>
      </c>
      <c r="R138" s="143">
        <v>973.32</v>
      </c>
      <c r="S138" s="143">
        <v>2419.19</v>
      </c>
      <c r="T138" s="143">
        <v>756</v>
      </c>
      <c r="U138" s="143">
        <v>1935.14</v>
      </c>
      <c r="V138" s="143">
        <v>1052.05</v>
      </c>
      <c r="W138" s="143">
        <v>712.69</v>
      </c>
      <c r="X138" s="143">
        <v>809.72</v>
      </c>
      <c r="Y138" s="143">
        <v>3024.49</v>
      </c>
      <c r="Z138" s="143">
        <v>1965.3</v>
      </c>
      <c r="AA138" s="143">
        <f>SUM(O138:Z138)</f>
        <v>18974.529999999995</v>
      </c>
      <c r="AB138" s="436">
        <f>IF(_epmOfflineCondition_,0.312430411502861,IF(AA138=0,"",IFERROR(AA138/_xll.EVGTS($B$1,1,_xll.EVPRO($B$1,$H138,"COSBASIS"),$B$3,$B$5,$B$6,$B$7,$B$9,AA$16,AA$17,AA$11),"")))</f>
        <v>0.31243041150286099</v>
      </c>
      <c r="AC138" s="140"/>
      <c r="AD138" s="143">
        <v>28837.17</v>
      </c>
      <c r="AE138" s="436">
        <f>IF(_epmOfflineCondition_,0.25,IF(AD138=0,"",IFERROR(AD138/_xll.EVGTS($B$1,1,_xll.EVPRO($B$1,$H138,"COSBASIS"),$B$3,$B$5,$B$6,$B$7,$B$9,AD$16,AD$17,AD$18),"")))</f>
        <v>0.25</v>
      </c>
      <c r="AF138" s="145">
        <f t="shared" si="58"/>
        <v>-9862.6400000000031</v>
      </c>
      <c r="AG138" s="143">
        <v>7004.4</v>
      </c>
      <c r="AH138" s="436">
        <f>IF(_epmOfflineCondition_,0.248237205385773,IF(AG138=0,"",IFERROR(AG138/_xll.EVGTS($B$1,1,_xll.EVPRO($B$1,$H138,"COSBASIS"),$B$3,$B$5,$B$6,$B$7,$B$9,AG$16,AG$17,AG$18),"")))</f>
        <v>0.24823720538577301</v>
      </c>
      <c r="AI138" s="145">
        <f t="shared" si="59"/>
        <v>11970.129999999996</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0.41465644955300102</v>
      </c>
      <c r="P139" s="508">
        <v>0.150869028732593</v>
      </c>
      <c r="Q139" s="508">
        <v>0.53678892250846</v>
      </c>
      <c r="R139" s="508">
        <v>0.165447607067883</v>
      </c>
      <c r="S139" s="508">
        <v>0.45560849749519799</v>
      </c>
      <c r="T139" s="508">
        <v>0.19409200371752899</v>
      </c>
      <c r="U139" s="508">
        <v>0.404164578111947</v>
      </c>
      <c r="V139" s="508">
        <v>0.30165443284780402</v>
      </c>
      <c r="W139" s="508">
        <v>0.179605753916252</v>
      </c>
      <c r="X139" s="508">
        <v>0.18440446367569999</v>
      </c>
      <c r="Y139" s="508">
        <v>0.54229541705515305</v>
      </c>
      <c r="Z139" s="508">
        <v>0.23013203932608001</v>
      </c>
      <c r="AA139" s="508">
        <v>0.31243041150286099</v>
      </c>
      <c r="AB139" s="436"/>
      <c r="AC139" s="140"/>
      <c r="AD139" s="508">
        <v>0.25</v>
      </c>
      <c r="AE139" s="436"/>
      <c r="AF139" s="521">
        <f t="shared" si="58"/>
        <v>6.2430411502860994E-2</v>
      </c>
      <c r="AG139" s="508">
        <v>0.24823720538577301</v>
      </c>
      <c r="AH139" s="436"/>
      <c r="AI139" s="521">
        <f t="shared" si="59"/>
        <v>6.4193206117087981E-2</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v>8594.02</v>
      </c>
      <c r="P140" s="143">
        <v>9935.43</v>
      </c>
      <c r="Q140" s="143">
        <v>21154.07</v>
      </c>
      <c r="R140" s="143">
        <v>23161</v>
      </c>
      <c r="S140" s="143">
        <v>22778.73</v>
      </c>
      <c r="T140" s="143">
        <v>14731.68</v>
      </c>
      <c r="U140" s="143">
        <v>17016.2</v>
      </c>
      <c r="V140" s="143">
        <v>13674.09</v>
      </c>
      <c r="W140" s="143">
        <v>10851.12</v>
      </c>
      <c r="X140" s="143">
        <v>14501.41</v>
      </c>
      <c r="Y140" s="143">
        <v>16397.82</v>
      </c>
      <c r="Z140" s="143">
        <v>27568.06</v>
      </c>
      <c r="AA140" s="143">
        <f>SUM(O140:Z140)</f>
        <v>200363.63</v>
      </c>
      <c r="AB140" s="436">
        <f>IF(_epmOfflineCondition_,0.316381976470425,IF(AA140=0,"",IFERROR(AA140/_xll.EVGTS($B$1,1,_xll.EVPRO($B$1,$H140,"COSBASIS"),$B$3,$B$5,$B$6,$B$7,$B$9,AA$16,AA$17,AA$11),"")))</f>
        <v>0.31638197647042499</v>
      </c>
      <c r="AC140" s="140"/>
      <c r="AD140" s="143">
        <v>193339.33</v>
      </c>
      <c r="AE140" s="436">
        <f>IF(_epmOfflineCondition_,0.284752709147753,IF(AD140=0,"",IFERROR(AD140/_xll.EVGTS($B$1,1,_xll.EVPRO($B$1,$H140,"COSBASIS"),$B$3,$B$5,$B$6,$B$7,$B$9,AD$16,AD$17,AD$18),"")))</f>
        <v>0.28475270914775302</v>
      </c>
      <c r="AF140" s="145">
        <f t="shared" si="58"/>
        <v>7024.3000000000175</v>
      </c>
      <c r="AG140" s="143">
        <v>109920.64</v>
      </c>
      <c r="AH140" s="436">
        <f>IF(_epmOfflineCondition_,0.507602400753272,IF(AG140=0,"",IFERROR(AG140/_xll.EVGTS($B$1,1,_xll.EVPRO($B$1,$H140,"COSBASIS"),$B$3,$B$5,$B$6,$B$7,$B$9,AG$16,AG$17,AG$18),"")))</f>
        <v>0.50760240075327201</v>
      </c>
      <c r="AI140" s="145">
        <f t="shared" si="59"/>
        <v>90442.99</v>
      </c>
    </row>
    <row r="141" spans="1:35" x14ac:dyDescent="0.35">
      <c r="A141" s="11"/>
      <c r="B141" s="11"/>
      <c r="C141" s="208"/>
      <c r="D141" s="11"/>
      <c r="E141" s="11"/>
      <c r="F141" s="11"/>
      <c r="G141" s="11"/>
      <c r="H141" s="185"/>
      <c r="I141" s="122"/>
      <c r="J141" s="122"/>
      <c r="K141" s="11"/>
      <c r="L141" s="90"/>
      <c r="M141" s="90"/>
      <c r="N141" s="493" t="s">
        <v>762</v>
      </c>
      <c r="O141" s="508">
        <f t="shared" ref="O141:AA141" si="60">IFERROR(O140/O85,"")</f>
        <v>0.2912844005601975</v>
      </c>
      <c r="P141" s="508">
        <f t="shared" si="60"/>
        <v>0.2137608250057714</v>
      </c>
      <c r="Q141" s="508">
        <f t="shared" si="60"/>
        <v>0.34531816619912126</v>
      </c>
      <c r="R141" s="508">
        <f t="shared" si="60"/>
        <v>0.4254695347757646</v>
      </c>
      <c r="S141" s="508">
        <f t="shared" si="60"/>
        <v>0.41147032976362619</v>
      </c>
      <c r="T141" s="508">
        <f t="shared" si="60"/>
        <v>0.2893389290691773</v>
      </c>
      <c r="U141" s="508">
        <f t="shared" si="60"/>
        <v>0.28615810520357332</v>
      </c>
      <c r="V141" s="508">
        <f t="shared" si="60"/>
        <v>0.33087169381527587</v>
      </c>
      <c r="W141" s="508">
        <f t="shared" si="60"/>
        <v>0.31587698778191658</v>
      </c>
      <c r="X141" s="508">
        <f t="shared" si="60"/>
        <v>0.30586838982489573</v>
      </c>
      <c r="Y141" s="508">
        <f t="shared" si="60"/>
        <v>0.27994279530336941</v>
      </c>
      <c r="Z141" s="508">
        <f t="shared" si="60"/>
        <v>0.29261464863869419</v>
      </c>
      <c r="AA141" s="508">
        <f t="shared" si="60"/>
        <v>0.31638197647042476</v>
      </c>
      <c r="AB141" s="436"/>
      <c r="AC141" s="140"/>
      <c r="AD141" s="508">
        <f>IFERROR(AD140/AD85,"")</f>
        <v>0.28475270914775297</v>
      </c>
      <c r="AE141" s="436"/>
      <c r="AF141" s="521">
        <f t="shared" si="58"/>
        <v>3.1629267322671795E-2</v>
      </c>
      <c r="AG141" s="508">
        <f>IFERROR(AG140/AG85,"")</f>
        <v>0.50760240075327168</v>
      </c>
      <c r="AH141" s="436"/>
      <c r="AI141" s="521">
        <f t="shared" si="59"/>
        <v>-0.19122042428284691</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0</v>
      </c>
      <c r="P145" s="510">
        <f t="shared" si="63"/>
        <v>0</v>
      </c>
      <c r="Q145" s="510">
        <f t="shared" si="63"/>
        <v>0</v>
      </c>
      <c r="R145" s="510">
        <f t="shared" si="63"/>
        <v>0</v>
      </c>
      <c r="S145" s="510">
        <f t="shared" si="63"/>
        <v>0</v>
      </c>
      <c r="T145" s="510">
        <f t="shared" si="63"/>
        <v>-3.907985046680551E-14</v>
      </c>
      <c r="U145" s="510">
        <f t="shared" si="63"/>
        <v>5.6843418860808015E-14</v>
      </c>
      <c r="V145" s="510">
        <f t="shared" si="63"/>
        <v>0</v>
      </c>
      <c r="W145" s="510">
        <f t="shared" si="63"/>
        <v>0</v>
      </c>
      <c r="X145" s="510">
        <f t="shared" si="63"/>
        <v>0</v>
      </c>
      <c r="Y145" s="510">
        <f t="shared" si="63"/>
        <v>0</v>
      </c>
      <c r="Z145" s="510">
        <f t="shared" si="63"/>
        <v>0</v>
      </c>
      <c r="AA145" s="510">
        <f t="shared" si="63"/>
        <v>0</v>
      </c>
      <c r="AB145" s="144"/>
      <c r="AC145" s="140"/>
      <c r="AD145" s="510">
        <f>IFERROR(AD$85/AD87,"")-AD88</f>
        <v>0</v>
      </c>
      <c r="AE145" s="144"/>
      <c r="AF145" s="143"/>
      <c r="AG145" s="510">
        <f>IFERROR(AG$85/AG87,"")-AG88</f>
        <v>-4.6185277824406512E-14</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vHTJoAre7kktrI1iws2rX7Qzh4xCU2s8vfW7uZpwKCZpCG5gT2zqmgo/aSp7LPbw9VH4EkIt9bhK2okVoC3l3Q==" saltValue="WWzD22z/8BTDF+XXEuSyGQ==" spinCount="100000" sheet="1" scenarios="1"/>
  <mergeCells count="2">
    <mergeCell ref="AD31:AE31"/>
    <mergeCell ref="AG31:AH31"/>
  </mergeCells>
  <conditionalFormatting sqref="AD43 AF43:AG43 O43:AA43">
    <cfRule type="expression" dxfId="155" priority="15">
      <formula>ROUND(O42,2)&lt;&gt;ROUND(O43,2)</formula>
    </cfRule>
  </conditionalFormatting>
  <conditionalFormatting sqref="N43">
    <cfRule type="expression" dxfId="154" priority="14">
      <formula>$G43&lt;&gt;0</formula>
    </cfRule>
  </conditionalFormatting>
  <conditionalFormatting sqref="O53:AA53 AD53 AF53:AG53">
    <cfRule type="expression" dxfId="153" priority="13">
      <formula>ROUND(O52,2)&lt;&gt;ROUND(O53,2)</formula>
    </cfRule>
  </conditionalFormatting>
  <conditionalFormatting sqref="N53">
    <cfRule type="expression" dxfId="152" priority="12">
      <formula>$G53&lt;&gt;0</formula>
    </cfRule>
  </conditionalFormatting>
  <conditionalFormatting sqref="O63:AA63 AD63 AF63:AG63">
    <cfRule type="expression" dxfId="151" priority="11">
      <formula>ROUND(O62,2)&lt;&gt;ROUND(O63,2)</formula>
    </cfRule>
  </conditionalFormatting>
  <conditionalFormatting sqref="N63">
    <cfRule type="expression" dxfId="150" priority="10">
      <formula>$G63&lt;&gt;0</formula>
    </cfRule>
  </conditionalFormatting>
  <conditionalFormatting sqref="O73:AA73 AD73 AF73:AG73">
    <cfRule type="expression" dxfId="149" priority="9">
      <formula>ROUND(O72,2)&lt;&gt;ROUND(O73,2)</formula>
    </cfRule>
  </conditionalFormatting>
  <conditionalFormatting sqref="N73">
    <cfRule type="expression" dxfId="148" priority="8">
      <formula>$G73&lt;&gt;0</formula>
    </cfRule>
  </conditionalFormatting>
  <conditionalFormatting sqref="N82">
    <cfRule type="expression" dxfId="147" priority="7">
      <formula>$G82&lt;&gt;0</formula>
    </cfRule>
  </conditionalFormatting>
  <conditionalFormatting sqref="AD82 AF82:AG82 O82:AA82">
    <cfRule type="expression" dxfId="146" priority="6">
      <formula>ROUND(O81,2)&lt;&gt;ROUND(O82,2)</formula>
    </cfRule>
  </conditionalFormatting>
  <conditionalFormatting sqref="AI43">
    <cfRule type="expression" dxfId="145" priority="5">
      <formula>ROUND(AI42,2)&lt;&gt;ROUND(AI43,2)</formula>
    </cfRule>
  </conditionalFormatting>
  <conditionalFormatting sqref="AI53">
    <cfRule type="expression" dxfId="144" priority="4">
      <formula>ROUND(AI52,2)&lt;&gt;ROUND(AI53,2)</formula>
    </cfRule>
  </conditionalFormatting>
  <conditionalFormatting sqref="AI63">
    <cfRule type="expression" dxfId="143" priority="3">
      <formula>ROUND(AI62,2)&lt;&gt;ROUND(AI63,2)</formula>
    </cfRule>
  </conditionalFormatting>
  <conditionalFormatting sqref="AI73">
    <cfRule type="expression" dxfId="142" priority="2">
      <formula>ROUND(AI72,2)&lt;&gt;ROUND(AI73,2)</formula>
    </cfRule>
  </conditionalFormatting>
  <conditionalFormatting sqref="AI82">
    <cfRule type="expression" dxfId="141" priority="1">
      <formula>ROUND(AI81,2)&lt;&gt;ROUND(AI82,2)</formula>
    </cfRule>
  </conditionalFormatting>
  <dataValidations disablePrompts="1" count="2">
    <dataValidation type="list" allowBlank="1" sqref="B29" xr:uid="{00000000-0002-0000-0800-000000000000}">
      <formula1>"SELF,ALL,BAS,DEP,BASMEMBERS,MEMBERS,NOEXPAND,GDEP"</formula1>
    </dataValidation>
    <dataValidation type="list" allowBlank="1" sqref="B28" xr:uid="{00000000-0002-0000-0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IF(_epmOfflineCondition_,"Pool Bar",IF(OR(_xll.EVCGT($B$1,$B$6,$H$1,$H$2,$H$3,$H$4,$H$5,$H$6,$H$7,$H$8)="#RFR",_xll.EVCGT($B$1,$B$6,$H$1,$H$2,$H$3,$H$4,$H$5,$H$6,$H$7,$H$8)="#NODATA"),"",_xll.EVCGT($B$1,$B$6,$H$1,$H$2,$H$3,$H$4,$H$5,$H$6,$H$7,$H$8)))</f>
        <v>Pool Bar</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726</v>
      </c>
      <c r="C6" s="11" t="str">
        <f>IF(_epmOfflineCondition_,"Venue 2",_xll.EVDES(B6,$B$1))</f>
        <v>Venue 2</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IF(_epmOfflineCondition_,"'Venue2'!$B$2:$B$10",_xll.EVRNG($B$2:$B$10))</f>
        <v>'Venue2'!$B$2:$B$10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IF(_epmOfflineCondition_,"'Venue2'!$O$16:$AN$18",_xll.EVRNG($O$16:$AN$18))</f>
        <v>'Venue2'!$O$16:$AN$18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IF(_epmOfflineCondition_,"'Venue2'!$H$35:$H$58",_xll.EVRNG(H35:H58))</f>
        <v>'Venue2'!$H$35:$H$58</v>
      </c>
      <c r="C19" s="11"/>
      <c r="D19" s="11"/>
      <c r="E19" s="11"/>
      <c r="F19" s="11"/>
      <c r="G19" s="67" t="str">
        <f>$B$6</f>
        <v>D2141</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IF(_epmOfflineCondition_,30855.6,_xll.EVGTS($B$1,1,$B$3,$B$5,$B$7,$B$9,Z$16,Z$17,Z$18,$G$19,$H$19))</f>
        <v>30855.599999999999</v>
      </c>
      <c r="AA19" s="69">
        <f>SUM(O19:Z19)</f>
        <v>30855.599999999999</v>
      </c>
      <c r="AB19" s="67"/>
      <c r="AC19" s="67"/>
      <c r="AD19" s="69">
        <f>IF(_epmOfflineCondition_,0,_xll.EVGTS($B$1,1,$B$3,$B$5,$B$7,$B$9,AD$16,AD$17,AD$18,$G$19,$H$19))</f>
        <v>0</v>
      </c>
      <c r="AE19" s="67"/>
      <c r="AF19" s="67"/>
      <c r="AG19" s="69">
        <f>IF(_epmOfflineCondition_,19924.9,_xll.EVGTS($B$1,1,$B$3,$B$5,$B$7,$B$9,AG$16,AG$17,AG$18,$G$19,$H$19))</f>
        <v>19924.900000000001</v>
      </c>
      <c r="AH19" s="67"/>
      <c r="AI19" s="67"/>
      <c r="AJ19" s="11"/>
      <c r="AK19" s="11"/>
      <c r="AL19" s="11"/>
      <c r="AM19" s="11"/>
      <c r="AN19" s="11"/>
      <c r="AO19" s="11"/>
    </row>
    <row r="20" spans="1:41" hidden="1" outlineLevel="1" x14ac:dyDescent="0.35">
      <c r="A20" s="65" t="s">
        <v>5</v>
      </c>
      <c r="B20" s="66"/>
      <c r="C20" s="11"/>
      <c r="D20" s="11"/>
      <c r="E20" s="11"/>
      <c r="F20" s="11"/>
      <c r="G20" s="67" t="str">
        <f>$B$6</f>
        <v>D2141</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IF(_epmOfflineCondition_,804,_xll.EVGTS($B$1,1,$B$3,$B$5,$B$7,$B$9,Z$16,Z$17,Z$18,$G$20,$H$20))</f>
        <v>804</v>
      </c>
      <c r="AA20" s="69">
        <f>SUM(O20:Z20)</f>
        <v>804</v>
      </c>
      <c r="AB20" s="67"/>
      <c r="AC20" s="67"/>
      <c r="AD20" s="69">
        <f>IF(_epmOfflineCondition_,0,_xll.EVGTS($B$1,1,$B$3,$B$5,$B$7,$B$9,AD$16,AD$17,AD$18,$G$20,$H$20))</f>
        <v>0</v>
      </c>
      <c r="AE20" s="67"/>
      <c r="AF20" s="67"/>
      <c r="AG20" s="69">
        <f>IF(_epmOfflineCondition_,906,_xll.EVGTS($B$1,1,$B$3,$B$5,$B$7,$B$9,AG$16,AG$17,AG$18,$G$20,$H$20))</f>
        <v>906</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IF(_epmOfflineCondition_,"'Venue2'!$A$36:$F$44",_xll.EVRNG(A36:F44))</f>
        <v>'Venue2'!$A$36:$F$44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IF(_epmOfflineCondition_,"'Venue2'!$A$125:$B$146",_xll.EVRNG($A$125:$B$146))</f>
        <v>'Venue2'!$A$125:$B$146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IF(_epmOfflineCondition_,"Pool Bar",IF($N$1="",IF(_xll.EVDES(B6,$B$1)="#NODATA","",_xll.EVDES(B6,$B$1)&amp;" Department"),$N$1))</f>
        <v>Pool Bar</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28"/>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185"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v>9362.5</v>
      </c>
      <c r="AA36" s="250">
        <f t="shared" si="1"/>
        <v>9362.5</v>
      </c>
      <c r="AB36" s="436">
        <f t="shared" si="2"/>
        <v>0.30342952332801826</v>
      </c>
      <c r="AC36" s="528"/>
      <c r="AD36" s="250"/>
      <c r="AE36" s="436" t="str">
        <f t="shared" si="3"/>
        <v/>
      </c>
      <c r="AF36" s="438">
        <f t="shared" si="4"/>
        <v>9362.5</v>
      </c>
      <c r="AG36" s="250">
        <v>6371.7</v>
      </c>
      <c r="AH36" s="436">
        <f t="shared" si="5"/>
        <v>0.31978579566271348</v>
      </c>
      <c r="AI36" s="439">
        <f t="shared" si="6"/>
        <v>2990.8</v>
      </c>
      <c r="AJ36" s="440">
        <f t="shared" si="7"/>
        <v>11.644900497512438</v>
      </c>
      <c r="AK36" s="441">
        <f t="shared" si="8"/>
        <v>0</v>
      </c>
      <c r="AL36" s="442">
        <f t="shared" si="9"/>
        <v>7.032781456953642</v>
      </c>
      <c r="AM36" s="443">
        <f t="shared" si="10"/>
        <v>0</v>
      </c>
      <c r="AN36" s="444" t="str">
        <f t="shared" si="11"/>
        <v>-1.64 pts.</v>
      </c>
      <c r="AO36" s="11"/>
    </row>
    <row r="37" spans="1:41" x14ac:dyDescent="0.35">
      <c r="A37" s="11" t="s">
        <v>209</v>
      </c>
      <c r="B37" s="11" t="s">
        <v>21</v>
      </c>
      <c r="C37" s="395"/>
      <c r="D37" s="11" t="s">
        <v>590</v>
      </c>
      <c r="E37" s="11"/>
      <c r="F37" s="11" t="s">
        <v>99</v>
      </c>
      <c r="G37" s="11"/>
      <c r="H37" s="185"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28"/>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28"/>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v>9362.5</v>
      </c>
      <c r="AA40" s="225">
        <f t="shared" si="1"/>
        <v>9362.5</v>
      </c>
      <c r="AB40" s="226">
        <f t="shared" si="2"/>
        <v>0.30342952332801826</v>
      </c>
      <c r="AC40" s="227"/>
      <c r="AD40" s="225"/>
      <c r="AE40" s="226" t="str">
        <f t="shared" si="3"/>
        <v/>
      </c>
      <c r="AF40" s="228">
        <f t="shared" si="4"/>
        <v>9362.5</v>
      </c>
      <c r="AG40" s="225">
        <v>6371.7</v>
      </c>
      <c r="AH40" s="226">
        <f t="shared" si="5"/>
        <v>0.31978579566271348</v>
      </c>
      <c r="AI40" s="455">
        <f t="shared" si="6"/>
        <v>2990.8</v>
      </c>
      <c r="AJ40" s="229">
        <f t="shared" si="7"/>
        <v>11.644900497512438</v>
      </c>
      <c r="AK40" s="230">
        <f t="shared" si="8"/>
        <v>0</v>
      </c>
      <c r="AL40" s="232">
        <f t="shared" si="9"/>
        <v>7.032781456953642</v>
      </c>
      <c r="AM40" s="427">
        <f t="shared" si="10"/>
        <v>0</v>
      </c>
      <c r="AN40" s="456" t="str">
        <f t="shared" si="11"/>
        <v>-1.64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29"/>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28"/>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v>16734</v>
      </c>
      <c r="AA43" s="250">
        <f t="shared" si="1"/>
        <v>16734</v>
      </c>
      <c r="AB43" s="436">
        <f t="shared" si="2"/>
        <v>0.54233267218916503</v>
      </c>
      <c r="AC43" s="528"/>
      <c r="AD43" s="250"/>
      <c r="AE43" s="436" t="str">
        <f t="shared" si="3"/>
        <v/>
      </c>
      <c r="AF43" s="438">
        <f t="shared" si="4"/>
        <v>16734</v>
      </c>
      <c r="AG43" s="250">
        <v>10601.4</v>
      </c>
      <c r="AH43" s="436">
        <f t="shared" si="5"/>
        <v>0.53206791502090345</v>
      </c>
      <c r="AI43" s="439">
        <f t="shared" si="6"/>
        <v>6132.6</v>
      </c>
      <c r="AJ43" s="440">
        <f t="shared" si="7"/>
        <v>20.813432835820894</v>
      </c>
      <c r="AK43" s="441">
        <f t="shared" si="8"/>
        <v>0</v>
      </c>
      <c r="AL43" s="442">
        <f t="shared" si="9"/>
        <v>11.701324503311257</v>
      </c>
      <c r="AM43" s="443">
        <f t="shared" si="10"/>
        <v>0</v>
      </c>
      <c r="AN43" s="444" t="str">
        <f t="shared" si="11"/>
        <v>1.03 pts.</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28"/>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28"/>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v>16734</v>
      </c>
      <c r="AA47" s="225">
        <f t="shared" si="1"/>
        <v>16734</v>
      </c>
      <c r="AB47" s="226">
        <f t="shared" si="2"/>
        <v>0.54233267218916503</v>
      </c>
      <c r="AC47" s="227"/>
      <c r="AD47" s="225"/>
      <c r="AE47" s="226" t="str">
        <f t="shared" si="3"/>
        <v/>
      </c>
      <c r="AF47" s="228">
        <f t="shared" si="4"/>
        <v>16734</v>
      </c>
      <c r="AG47" s="225">
        <v>10601.4</v>
      </c>
      <c r="AH47" s="226">
        <f t="shared" si="5"/>
        <v>0.53206791502090345</v>
      </c>
      <c r="AI47" s="455">
        <f t="shared" si="6"/>
        <v>6132.6</v>
      </c>
      <c r="AJ47" s="229">
        <f t="shared" si="7"/>
        <v>20.813432835820894</v>
      </c>
      <c r="AK47" s="230">
        <f t="shared" si="8"/>
        <v>0</v>
      </c>
      <c r="AL47" s="232">
        <f t="shared" si="9"/>
        <v>11.701324503311257</v>
      </c>
      <c r="AM47" s="427">
        <f t="shared" si="10"/>
        <v>0</v>
      </c>
      <c r="AN47" s="456" t="str">
        <f t="shared" si="11"/>
        <v>1.03 pts.</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v>-111.35</v>
      </c>
      <c r="AH48" s="218">
        <f t="shared" si="5"/>
        <v>-5.5884847602748313E-3</v>
      </c>
      <c r="AI48" s="531">
        <f t="shared" si="6"/>
        <v>111.35</v>
      </c>
      <c r="AJ48" s="532">
        <f t="shared" si="7"/>
        <v>0</v>
      </c>
      <c r="AK48" s="533">
        <f t="shared" si="8"/>
        <v>0</v>
      </c>
      <c r="AL48" s="534">
        <f t="shared" si="9"/>
        <v>-0.12290286975717439</v>
      </c>
      <c r="AM48" s="535">
        <f t="shared" si="10"/>
        <v>0</v>
      </c>
      <c r="AN48" s="536">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v>26096.5</v>
      </c>
      <c r="AA49" s="225">
        <f t="shared" si="1"/>
        <v>26096.5</v>
      </c>
      <c r="AB49" s="226">
        <f t="shared" si="2"/>
        <v>0.84576219551718335</v>
      </c>
      <c r="AC49" s="227"/>
      <c r="AD49" s="225"/>
      <c r="AE49" s="226" t="str">
        <f t="shared" si="3"/>
        <v/>
      </c>
      <c r="AF49" s="228">
        <f t="shared" si="4"/>
        <v>26096.5</v>
      </c>
      <c r="AG49" s="225">
        <v>16861.75</v>
      </c>
      <c r="AH49" s="226">
        <f t="shared" si="5"/>
        <v>0.84626522592334208</v>
      </c>
      <c r="AI49" s="455">
        <f t="shared" si="6"/>
        <v>9234.75</v>
      </c>
      <c r="AJ49" s="229">
        <f t="shared" si="7"/>
        <v>32.458333333333336</v>
      </c>
      <c r="AK49" s="230">
        <f t="shared" si="8"/>
        <v>0</v>
      </c>
      <c r="AL49" s="232">
        <f t="shared" si="9"/>
        <v>18.611203090507725</v>
      </c>
      <c r="AM49" s="427">
        <f t="shared" si="10"/>
        <v>0</v>
      </c>
      <c r="AN49" s="456" t="str">
        <f t="shared" si="11"/>
        <v>-0.05 pts.</v>
      </c>
      <c r="AO49" s="11"/>
    </row>
    <row r="50" spans="1:41" x14ac:dyDescent="0.35">
      <c r="A50" s="65" t="s">
        <v>2</v>
      </c>
      <c r="B50" s="66" t="str">
        <f>IF(_epmOfflineCondition_,"'Venue2'!$B$2:$B$10",_xll.EVRNG($B$2:$B$10))</f>
        <v>'Venue2'!$B$2:$B$10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29"/>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IF(_epmOfflineCondition_,"'Venue2'!$O$16:$AN$18",_xll.EVRNG($O$16:$AN$18))</f>
        <v>'Venue2'!$O$16:$AN$18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28"/>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IF(_epmOfflineCondition_,"'Venue2'!$H$62:$H$70",_xll.EVRNG(H62:H70))</f>
        <v>'Venue2'!$H$62:$H$70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28"/>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28"/>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v>4742.1000000000004</v>
      </c>
      <c r="AA54" s="250">
        <f t="shared" si="1"/>
        <v>4742.1000000000004</v>
      </c>
      <c r="AB54" s="436">
        <f t="shared" si="2"/>
        <v>0.15368685100921714</v>
      </c>
      <c r="AC54" s="528"/>
      <c r="AD54" s="250"/>
      <c r="AE54" s="436" t="str">
        <f t="shared" si="3"/>
        <v/>
      </c>
      <c r="AF54" s="438">
        <f t="shared" si="4"/>
        <v>4742.1000000000004</v>
      </c>
      <c r="AG54" s="250">
        <v>3063.15</v>
      </c>
      <c r="AH54" s="436">
        <f t="shared" si="5"/>
        <v>0.15373477407665784</v>
      </c>
      <c r="AI54" s="439">
        <f t="shared" si="6"/>
        <v>1678.9500000000003</v>
      </c>
      <c r="AJ54" s="440">
        <f t="shared" si="7"/>
        <v>5.8981343283582097</v>
      </c>
      <c r="AK54" s="441">
        <f t="shared" si="8"/>
        <v>0</v>
      </c>
      <c r="AL54" s="442">
        <f t="shared" si="9"/>
        <v>3.3809602649006623</v>
      </c>
      <c r="AM54" s="443">
        <f t="shared" si="10"/>
        <v>0</v>
      </c>
      <c r="AN54" s="444" t="str">
        <f t="shared" si="11"/>
        <v>0 pts.</v>
      </c>
      <c r="AO54" s="11"/>
    </row>
    <row r="55" spans="1:41" x14ac:dyDescent="0.35">
      <c r="A55" s="65" t="s">
        <v>7</v>
      </c>
      <c r="B55" s="66" t="str">
        <f>IF(_epmOfflineCondition_,"'Venue2'!$A$69:$F$77",_xll.EVRNG(A69:F77))</f>
        <v>'Venue2'!$A$69:$F$77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v>17</v>
      </c>
      <c r="AA55" s="250">
        <f t="shared" si="1"/>
        <v>17</v>
      </c>
      <c r="AB55" s="436">
        <f t="shared" si="2"/>
        <v>5.509534735996059E-4</v>
      </c>
      <c r="AC55" s="528"/>
      <c r="AD55" s="250"/>
      <c r="AE55" s="436" t="str">
        <f t="shared" si="3"/>
        <v/>
      </c>
      <c r="AF55" s="438">
        <f t="shared" si="4"/>
        <v>17</v>
      </c>
      <c r="AG55" s="250"/>
      <c r="AH55" s="436" t="str">
        <f t="shared" si="5"/>
        <v/>
      </c>
      <c r="AI55" s="439">
        <f t="shared" si="6"/>
        <v>17</v>
      </c>
      <c r="AJ55" s="440">
        <f t="shared" si="7"/>
        <v>2.1144278606965175E-2</v>
      </c>
      <c r="AK55" s="441">
        <f t="shared" si="8"/>
        <v>0</v>
      </c>
      <c r="AL55" s="442">
        <f t="shared" si="9"/>
        <v>0</v>
      </c>
      <c r="AM55" s="443">
        <f t="shared" si="10"/>
        <v>0</v>
      </c>
      <c r="AN55" s="444">
        <f t="shared" si="11"/>
        <v>0</v>
      </c>
      <c r="AO55" s="11"/>
    </row>
    <row r="56" spans="1:41" x14ac:dyDescent="0.35">
      <c r="A56" s="65" t="s">
        <v>47</v>
      </c>
      <c r="B56" s="66" t="str">
        <f>IF(_epmOfflineCondition_,"'Venue2'!$A$125:$B$146",_xll.EVRNG($A$125:$B$146))</f>
        <v>'Venue2'!$A$125:$B$146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v>4759.1000000000004</v>
      </c>
      <c r="AA57" s="238">
        <f t="shared" si="1"/>
        <v>4759.1000000000004</v>
      </c>
      <c r="AB57" s="239">
        <f t="shared" si="2"/>
        <v>0.15423780448281676</v>
      </c>
      <c r="AC57" s="240"/>
      <c r="AD57" s="238"/>
      <c r="AE57" s="239" t="str">
        <f t="shared" si="3"/>
        <v/>
      </c>
      <c r="AF57" s="241">
        <f t="shared" si="4"/>
        <v>4759.1000000000004</v>
      </c>
      <c r="AG57" s="238">
        <v>3063.15</v>
      </c>
      <c r="AH57" s="239">
        <f t="shared" si="5"/>
        <v>0.15373477407665784</v>
      </c>
      <c r="AI57" s="464">
        <f t="shared" si="6"/>
        <v>1695.9500000000003</v>
      </c>
      <c r="AJ57" s="242">
        <f t="shared" si="7"/>
        <v>5.9192786069651744</v>
      </c>
      <c r="AK57" s="243">
        <f t="shared" si="8"/>
        <v>0</v>
      </c>
      <c r="AL57" s="245">
        <f t="shared" si="9"/>
        <v>3.3809602649006623</v>
      </c>
      <c r="AM57" s="431">
        <f t="shared" si="10"/>
        <v>0</v>
      </c>
      <c r="AN57" s="465" t="str">
        <f t="shared" si="11"/>
        <v>0.05 pts.</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v>30855.599999999999</v>
      </c>
      <c r="AA58" s="225">
        <f t="shared" si="1"/>
        <v>30855.599999999999</v>
      </c>
      <c r="AB58" s="226">
        <f t="shared" si="2"/>
        <v>1</v>
      </c>
      <c r="AC58" s="227"/>
      <c r="AD58" s="225"/>
      <c r="AE58" s="226" t="str">
        <f t="shared" si="3"/>
        <v/>
      </c>
      <c r="AF58" s="228">
        <f t="shared" si="4"/>
        <v>30855.599999999999</v>
      </c>
      <c r="AG58" s="225">
        <v>19924.900000000001</v>
      </c>
      <c r="AH58" s="226">
        <f t="shared" si="5"/>
        <v>1</v>
      </c>
      <c r="AI58" s="455">
        <f t="shared" si="6"/>
        <v>10930.699999999997</v>
      </c>
      <c r="AJ58" s="229">
        <f t="shared" si="7"/>
        <v>38.377611940298507</v>
      </c>
      <c r="AK58" s="230">
        <f t="shared" si="8"/>
        <v>0</v>
      </c>
      <c r="AL58" s="232">
        <f t="shared" si="9"/>
        <v>21.99216335540839</v>
      </c>
      <c r="AM58" s="427">
        <f t="shared" si="10"/>
        <v>0</v>
      </c>
      <c r="AN58" s="456" t="str">
        <f t="shared" si="11"/>
        <v>0 pts.</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v>8</v>
      </c>
      <c r="Q62" s="250"/>
      <c r="R62" s="250"/>
      <c r="S62" s="250"/>
      <c r="T62" s="250"/>
      <c r="U62" s="250">
        <v>-8</v>
      </c>
      <c r="V62" s="250"/>
      <c r="W62" s="250"/>
      <c r="X62" s="250"/>
      <c r="Y62" s="250"/>
      <c r="Z62" s="250">
        <v>2602.91</v>
      </c>
      <c r="AA62" s="250">
        <f t="shared" ref="AA62:AA70" si="13">IF($I62="B1","",SUM(O62:Z62))</f>
        <v>2602.91</v>
      </c>
      <c r="AB62" s="436">
        <f>IF(_epmOfflineCondition_,0.278014419225634,IF(AA62=0,"",IFERROR(AA62/_xll.EVGTS($B$1,1,_xll.EVPRO($B$1,$H62,"COSBASIS"),$B$3,$B$5,$B$6,$B$7,$B$9,AA$16,AA$17,AA$11),"")))</f>
        <v>0.27801441922563402</v>
      </c>
      <c r="AC62" s="528"/>
      <c r="AD62" s="250"/>
      <c r="AE62" s="436" t="str">
        <f>IF(_epmOfflineCondition_,"",IF(AD62=0,"",IFERROR(AD62/_xll.EVGTS($B$1,1,_xll.EVPRO($B$1,$H62,"COSBASIS"),$B$3,$B$5,$B$6,$B$7,$B$9,AD$16,AD$17,AD$18),"")))</f>
        <v/>
      </c>
      <c r="AF62" s="438">
        <f t="shared" ref="AF62:AF72" si="14">IF(AND($AA62="",AD62=""),"",$AA62-AD62)</f>
        <v>2602.91</v>
      </c>
      <c r="AG62" s="250">
        <v>1745.56</v>
      </c>
      <c r="AH62" s="436">
        <f>IF(_epmOfflineCondition_,0.273955145408604,IF(AG62=0,"",IFERROR(AG62/_xll.EVGTS($B$1,1,_xll.EVPRO($B$1,$H62,"COSBASIS"),$B$3,$B$5,$B$6,$B$7,$B$9,AG$16,AG$17,AG$18),"")))</f>
        <v>0.27395514540860399</v>
      </c>
      <c r="AI62" s="439">
        <f t="shared" ref="AI62:AI72" si="15">IF(AND($AA62="",AG62=""),"",$AA62-AG62)</f>
        <v>857.34999999999991</v>
      </c>
      <c r="AJ62" s="440">
        <f t="shared" ref="AJ62:AJ70" si="16">IFERROR(AA62/AA$20,0)</f>
        <v>3.2374502487562187</v>
      </c>
      <c r="AK62" s="441">
        <f t="shared" ref="AK62:AK70" si="17">IFERROR(AD62/AD$20,0)</f>
        <v>0</v>
      </c>
      <c r="AL62" s="442">
        <f t="shared" ref="AL62:AL70" si="18">IFERROR(AG62/AG$20,0)</f>
        <v>1.9266666666666665</v>
      </c>
      <c r="AM62" s="443">
        <f t="shared" ref="AM62:AM70" si="19">+IFERROR(ROUND(($AB62-AE62)*100,2)&amp;" pts.",0)</f>
        <v>0</v>
      </c>
      <c r="AN62" s="444" t="str">
        <f t="shared" ref="AN62:AN70" si="20">+IFERROR(ROUND(($AB62-AH62)*100,2)&amp;" pts.",0)</f>
        <v>0.41 pts.</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v>3290.69</v>
      </c>
      <c r="AA63" s="251">
        <f t="shared" si="13"/>
        <v>3290.69</v>
      </c>
      <c r="AB63" s="446">
        <f>IF(_epmOfflineCondition_,0.196646946336799,IF(AA63=0,"",IFERROR(AA63/_xll.EVGTS($B$1,1,_xll.EVPRO($B$1,$H63,"COSBASIS"),$B$3,$B$5,$B$6,$B$7,$B$9,AA$16,AA$17,AA$11),"")))</f>
        <v>0.19664694633679899</v>
      </c>
      <c r="AC63" s="437"/>
      <c r="AD63" s="251"/>
      <c r="AE63" s="446" t="str">
        <f>IF(_epmOfflineCondition_,"",IF(AD63=0,"",IFERROR(AD63/_xll.EVGTS($B$1,1,_xll.EVPRO($B$1,$H63,"COSBASIS"),$B$3,$B$5,$B$6,$B$7,$B$9,AD$16,AD$17,AD$18),"")))</f>
        <v/>
      </c>
      <c r="AF63" s="447">
        <f t="shared" si="14"/>
        <v>3290.69</v>
      </c>
      <c r="AG63" s="251">
        <v>2089.94</v>
      </c>
      <c r="AH63" s="446">
        <f>IF(_epmOfflineCondition_,0.197138113834022,IF(AG63=0,"",IFERROR(AG63/_xll.EVGTS($B$1,1,_xll.EVPRO($B$1,$H63,"COSBASIS"),$B$3,$B$5,$B$6,$B$7,$B$9,AG$16,AG$17,AG$18),"")))</f>
        <v>0.19713811383402199</v>
      </c>
      <c r="AI63" s="448">
        <f t="shared" si="15"/>
        <v>1200.75</v>
      </c>
      <c r="AJ63" s="449">
        <f t="shared" si="16"/>
        <v>4.0928980099502486</v>
      </c>
      <c r="AK63" s="450">
        <f t="shared" si="17"/>
        <v>0</v>
      </c>
      <c r="AL63" s="451">
        <f t="shared" si="18"/>
        <v>2.3067770419426048</v>
      </c>
      <c r="AM63" s="452">
        <f t="shared" si="19"/>
        <v>0</v>
      </c>
      <c r="AN63" s="453" t="str">
        <f t="shared" si="20"/>
        <v>-0.05 pts.</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v>8</v>
      </c>
      <c r="Q64" s="225"/>
      <c r="R64" s="225"/>
      <c r="S64" s="225"/>
      <c r="T64" s="225"/>
      <c r="U64" s="225">
        <v>-8</v>
      </c>
      <c r="V64" s="225"/>
      <c r="W64" s="225"/>
      <c r="X64" s="225"/>
      <c r="Y64" s="225"/>
      <c r="Z64" s="225">
        <v>5893.6</v>
      </c>
      <c r="AA64" s="225">
        <f t="shared" si="13"/>
        <v>5893.6</v>
      </c>
      <c r="AB64" s="226">
        <f>IF(_epmOfflineCondition_,0.225838714003794,IF(AA64=0,"",IFERROR(AA64/_xll.EVGTS($B$1,1,_xll.EVPRO($B$1,$H64,"COSBASIS"),$B$3,$B$5,$B$6,$B$7,$B$9,AA$16,AA$17,AA$11),"")))</f>
        <v>0.22583871400379399</v>
      </c>
      <c r="AC64" s="227"/>
      <c r="AD64" s="225"/>
      <c r="AE64" s="226" t="str">
        <f>IF(_epmOfflineCondition_,"",IF(AD64=0,"",IFERROR(AD64/_xll.EVGTS($B$1,1,_xll.EVPRO($B$1,$H64,"COSBASIS"),$B$3,$B$5,$B$6,$B$7,$B$9,AD$16,AD$17,AD$18),"")))</f>
        <v/>
      </c>
      <c r="AF64" s="228">
        <f t="shared" si="14"/>
        <v>5893.6</v>
      </c>
      <c r="AG64" s="225">
        <v>3835.5</v>
      </c>
      <c r="AH64" s="226">
        <f>IF(_epmOfflineCondition_,0.227467492994499,IF(AG64=0,"",IFERROR(AG64/_xll.EVGTS($B$1,1,_xll.EVPRO($B$1,$H64,"COSBASIS"),$B$3,$B$5,$B$6,$B$7,$B$9,AG$16,AG$17,AG$18),"")))</f>
        <v>0.227467492994499</v>
      </c>
      <c r="AI64" s="455">
        <f t="shared" si="15"/>
        <v>2058.1000000000004</v>
      </c>
      <c r="AJ64" s="229">
        <f t="shared" si="16"/>
        <v>7.3303482587064686</v>
      </c>
      <c r="AK64" s="230">
        <f t="shared" si="17"/>
        <v>0</v>
      </c>
      <c r="AL64" s="232">
        <f t="shared" si="18"/>
        <v>4.2334437086092711</v>
      </c>
      <c r="AM64" s="427">
        <f t="shared" si="19"/>
        <v>0</v>
      </c>
      <c r="AN64" s="456" t="str">
        <f t="shared" si="20"/>
        <v>-0.16 pts.</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29"/>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28"/>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28"/>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v>8</v>
      </c>
      <c r="Q70" s="225"/>
      <c r="R70" s="225"/>
      <c r="S70" s="225"/>
      <c r="T70" s="225"/>
      <c r="U70" s="225">
        <v>-8</v>
      </c>
      <c r="V70" s="225"/>
      <c r="W70" s="225"/>
      <c r="X70" s="225"/>
      <c r="Y70" s="225"/>
      <c r="Z70" s="225">
        <v>5893.6</v>
      </c>
      <c r="AA70" s="225">
        <f t="shared" si="13"/>
        <v>5893.6</v>
      </c>
      <c r="AB70" s="226">
        <f>IF(_epmOfflineCondition_,0.191005846588626,IF(AA70=0,"",IFERROR(AA70/_xll.EVGTS($B$1,1,_xll.EVPRO($B$1,$H70,"COSBASIS"),$B$3,$B$5,$B$6,$B$7,$B$9,AA$16,AA$17,AA$11),"")))</f>
        <v>0.19100584658862599</v>
      </c>
      <c r="AC70" s="227"/>
      <c r="AD70" s="225"/>
      <c r="AE70" s="226" t="str">
        <f>IF(_epmOfflineCondition_,"",IF(AD70=0,"",IFERROR(AD70/_xll.EVGTS($B$1,1,_xll.EVPRO($B$1,$H70,"COSBASIS"),$B$3,$B$5,$B$6,$B$7,$B$9,AD$16,AD$17,AD$18),"")))</f>
        <v/>
      </c>
      <c r="AF70" s="228">
        <f t="shared" si="14"/>
        <v>5893.6</v>
      </c>
      <c r="AG70" s="225">
        <v>3835.5</v>
      </c>
      <c r="AH70" s="226">
        <f>IF(_epmOfflineCondition_,0.192497829349206,IF(AG70=0,"",IFERROR(AG70/_xll.EVGTS($B$1,1,_xll.EVPRO($B$1,$H70,"COSBASIS"),$B$3,$B$5,$B$6,$B$7,$B$9,AG$16,AG$17,AG$18),"")))</f>
        <v>0.19249782934920601</v>
      </c>
      <c r="AI70" s="455">
        <f t="shared" si="15"/>
        <v>2058.1000000000004</v>
      </c>
      <c r="AJ70" s="229">
        <f t="shared" si="16"/>
        <v>7.3303482587064686</v>
      </c>
      <c r="AK70" s="230">
        <f t="shared" si="17"/>
        <v>0</v>
      </c>
      <c r="AL70" s="232">
        <f t="shared" si="18"/>
        <v>4.2334437086092711</v>
      </c>
      <c r="AM70" s="427">
        <f t="shared" si="19"/>
        <v>0</v>
      </c>
      <c r="AN70" s="456" t="str">
        <f t="shared" si="20"/>
        <v>-0.15 pts.</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-8</v>
      </c>
      <c r="Q72" s="123">
        <f t="shared" si="21"/>
        <v>0</v>
      </c>
      <c r="R72" s="123">
        <f t="shared" si="21"/>
        <v>0</v>
      </c>
      <c r="S72" s="123">
        <f t="shared" si="21"/>
        <v>0</v>
      </c>
      <c r="T72" s="123">
        <f t="shared" si="21"/>
        <v>0</v>
      </c>
      <c r="U72" s="123">
        <f t="shared" si="21"/>
        <v>8</v>
      </c>
      <c r="V72" s="123">
        <f t="shared" si="21"/>
        <v>0</v>
      </c>
      <c r="W72" s="123">
        <f t="shared" si="21"/>
        <v>0</v>
      </c>
      <c r="X72" s="123">
        <f t="shared" si="21"/>
        <v>0</v>
      </c>
      <c r="Y72" s="123">
        <f t="shared" si="21"/>
        <v>0</v>
      </c>
      <c r="Z72" s="123">
        <f t="shared" si="21"/>
        <v>24962</v>
      </c>
      <c r="AA72" s="191">
        <f>IF($I72="B1","",SUM(O72:Z72))</f>
        <v>24962</v>
      </c>
      <c r="AB72" s="192">
        <f>IF(AA72=0,"",IFERROR(AA72/AA$19,""))</f>
        <v>0.80899415341137426</v>
      </c>
      <c r="AC72" s="11"/>
      <c r="AD72" s="123">
        <f>SUMIF($H$35:$H$70,"400000",AD35:AD70)-SUMIF($H$35:$H$70,"500001",AD35:AD70)</f>
        <v>0</v>
      </c>
      <c r="AE72" s="192" t="str">
        <f>IF(AD72=0,"",IFERROR(AD72/AD$19,""))</f>
        <v/>
      </c>
      <c r="AF72" s="125">
        <f t="shared" si="14"/>
        <v>24962</v>
      </c>
      <c r="AG72" s="123">
        <f>SUMIF($H$35:$H$70,"400000",AG35:AG70)-SUMIF($H$35:$H$70,"500001",AG35:AG70)</f>
        <v>16089.400000000001</v>
      </c>
      <c r="AH72" s="192">
        <f>IF(AG72=0,"",IFERROR(AG72/AG$19,""))</f>
        <v>0.80750217065079377</v>
      </c>
      <c r="AI72" s="125">
        <f t="shared" si="15"/>
        <v>8872.5999999999985</v>
      </c>
      <c r="AJ72" s="193">
        <f>IFERROR(AA72/AA$20,0)</f>
        <v>31.047263681592039</v>
      </c>
      <c r="AK72" s="194">
        <f>IFERROR(AD72/AD$20,0)</f>
        <v>0</v>
      </c>
      <c r="AL72" s="195">
        <f>IFERROR(AG72/AG$20,0)</f>
        <v>17.758719646799118</v>
      </c>
      <c r="AM72" s="407">
        <f>+IFERROR(ROUND(($AB72-AE72)*100,2)&amp;" pts.",0)</f>
        <v>0</v>
      </c>
      <c r="AN72" s="408" t="str">
        <f>+IFERROR(ROUND(($AB72-AH72)*100,2)&amp;" pts.",0)</f>
        <v>0.15 pts.</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90"/>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90"/>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 t="shared" ref="K76:K88" si="22">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 t="shared" ref="AA76:AA88" si="23">IF($I76="B1","",SUM(O76:Z76))</f>
        <v>0</v>
      </c>
      <c r="AB76" s="211" t="str">
        <f t="shared" ref="AB76:AB88" si="24">IF(AA76=0,"",IFERROR(AA76/AA$19,""))</f>
        <v/>
      </c>
      <c r="AC76" s="140"/>
      <c r="AD76" s="210"/>
      <c r="AE76" s="211" t="str">
        <f t="shared" ref="AE76:AE88" si="25">IF(AD76=0,"",IFERROR(AD76/AD$19,""))</f>
        <v/>
      </c>
      <c r="AF76" s="253">
        <f t="shared" ref="AF76:AF88" si="26">IF(AND($AA76="",AD76=""),"",$AA76-AD76)</f>
        <v>0</v>
      </c>
      <c r="AG76" s="210"/>
      <c r="AH76" s="211" t="str">
        <f t="shared" ref="AH76:AH88" si="27">IF(AG76=0,"",IFERROR(AG76/AG$19,""))</f>
        <v/>
      </c>
      <c r="AI76" s="253">
        <f t="shared" ref="AI76:AI88" si="28">IF(AND($AA76="",AG76=""),"",$AA76-AG76)</f>
        <v>0</v>
      </c>
      <c r="AJ76" s="440">
        <f t="shared" ref="AJ76:AJ88" si="29">IFERROR(AA76/AA$20,0)</f>
        <v>0</v>
      </c>
      <c r="AK76" s="441">
        <f t="shared" ref="AK76:AK88" si="30">IFERROR(AD76/AD$20,0)</f>
        <v>0</v>
      </c>
      <c r="AL76" s="442">
        <f t="shared" ref="AL76:AL88" si="31">IFERROR(AG76/AG$20,0)</f>
        <v>0</v>
      </c>
      <c r="AM76" s="443">
        <f t="shared" ref="AM76:AM88" si="32">+IFERROR(ROUND(($AB76-AE76)*100,2)&amp;" pts.",0)</f>
        <v>0</v>
      </c>
      <c r="AN76" s="444">
        <f t="shared" ref="AN76:AN88" si="33">+IFERROR(ROUND(($AB76-AH76)*100,2)&amp;"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 t="shared" si="22"/>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 t="shared" si="23"/>
        <v>0</v>
      </c>
      <c r="AB77" s="211" t="str">
        <f t="shared" si="24"/>
        <v/>
      </c>
      <c r="AC77" s="140"/>
      <c r="AD77" s="210"/>
      <c r="AE77" s="211" t="str">
        <f t="shared" si="25"/>
        <v/>
      </c>
      <c r="AF77" s="253">
        <f t="shared" si="26"/>
        <v>0</v>
      </c>
      <c r="AG77" s="210"/>
      <c r="AH77" s="211" t="str">
        <f t="shared" si="27"/>
        <v/>
      </c>
      <c r="AI77" s="253">
        <f t="shared" si="28"/>
        <v>0</v>
      </c>
      <c r="AJ77" s="440">
        <f t="shared" si="29"/>
        <v>0</v>
      </c>
      <c r="AK77" s="441">
        <f t="shared" si="30"/>
        <v>0</v>
      </c>
      <c r="AL77" s="442">
        <f t="shared" si="31"/>
        <v>0</v>
      </c>
      <c r="AM77" s="443">
        <f t="shared" si="32"/>
        <v>0</v>
      </c>
      <c r="AN77" s="444">
        <f t="shared" si="33"/>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205"/>
      <c r="P78" s="205"/>
      <c r="Q78" s="205"/>
      <c r="R78" s="205"/>
      <c r="S78" s="205"/>
      <c r="T78" s="205"/>
      <c r="U78" s="205"/>
      <c r="V78" s="205"/>
      <c r="W78" s="205"/>
      <c r="X78" s="205"/>
      <c r="Y78" s="205"/>
      <c r="Z78" s="205"/>
      <c r="AA78" s="186" t="str">
        <f t="shared" si="23"/>
        <v/>
      </c>
      <c r="AB78" s="206" t="str">
        <f t="shared" si="24"/>
        <v/>
      </c>
      <c r="AC78" s="11"/>
      <c r="AD78" s="205"/>
      <c r="AE78" s="206" t="str">
        <f t="shared" si="25"/>
        <v/>
      </c>
      <c r="AF78" s="207" t="str">
        <f t="shared" si="26"/>
        <v/>
      </c>
      <c r="AG78" s="205"/>
      <c r="AH78" s="206" t="str">
        <f t="shared" si="27"/>
        <v/>
      </c>
      <c r="AI78" s="207" t="str">
        <f t="shared" si="28"/>
        <v/>
      </c>
      <c r="AJ78" s="402">
        <f t="shared" si="29"/>
        <v>0</v>
      </c>
      <c r="AK78" s="403">
        <f t="shared" si="30"/>
        <v>0</v>
      </c>
      <c r="AL78" s="404">
        <f t="shared" si="31"/>
        <v>0</v>
      </c>
      <c r="AM78" s="405">
        <f t="shared" si="32"/>
        <v>0</v>
      </c>
      <c r="AN78" s="406">
        <f t="shared" si="33"/>
        <v>0</v>
      </c>
      <c r="AO78" s="11"/>
    </row>
    <row r="79" spans="1:41" x14ac:dyDescent="0.35">
      <c r="A79" s="11"/>
      <c r="B79" s="11"/>
      <c r="C79" s="208"/>
      <c r="D79" s="11"/>
      <c r="E79" s="11"/>
      <c r="F79" s="11"/>
      <c r="G79" s="11"/>
      <c r="H79" s="88" t="s">
        <v>864</v>
      </c>
      <c r="I79" s="542" t="str">
        <f>IF(_epmOfflineCondition_,"T3",_xll.EVPRO($B$1,$H79,"STYLE"))</f>
        <v>T3</v>
      </c>
      <c r="J79" s="542" t="str">
        <f>IF(_epmOfflineCondition_,"Y",_xll.EVPRO($B$1,$H79,"CALC"))</f>
        <v>Y</v>
      </c>
      <c r="K79" s="117" t="str">
        <f t="shared" si="22"/>
        <v>&gt;</v>
      </c>
      <c r="L79" s="369" t="str">
        <f>IF(_epmOfflineCondition_,"",_xll.EVPRO($B$1,H79,"JDEID"))</f>
        <v/>
      </c>
      <c r="M79" s="90" t="str">
        <f>IF(_epmOfflineCondition_,"",IF(AND(I79="N",J79="N"),_xll.EVPRO($B$1,H79,"PSFTID"),""))</f>
        <v/>
      </c>
      <c r="N79" s="369" t="str">
        <f>IF(_epmOfflineCondition_,"F&amp;B Kitchen",IF(_xll.EVDES(H79,$B$1)="#NODATA","",_xll.EVDES(H79,$B$1)))</f>
        <v>F&amp;B Kitchen</v>
      </c>
      <c r="O79" s="238"/>
      <c r="P79" s="238"/>
      <c r="Q79" s="238"/>
      <c r="R79" s="238"/>
      <c r="S79" s="238"/>
      <c r="T79" s="238"/>
      <c r="U79" s="238"/>
      <c r="V79" s="238"/>
      <c r="W79" s="238"/>
      <c r="X79" s="238"/>
      <c r="Y79" s="238"/>
      <c r="Z79" s="238"/>
      <c r="AA79" s="238">
        <f t="shared" si="23"/>
        <v>0</v>
      </c>
      <c r="AB79" s="239" t="str">
        <f t="shared" si="24"/>
        <v/>
      </c>
      <c r="AC79" s="240"/>
      <c r="AD79" s="238"/>
      <c r="AE79" s="239" t="str">
        <f t="shared" si="25"/>
        <v/>
      </c>
      <c r="AF79" s="241">
        <f t="shared" si="26"/>
        <v>0</v>
      </c>
      <c r="AG79" s="238">
        <v>822</v>
      </c>
      <c r="AH79" s="239">
        <f t="shared" si="27"/>
        <v>4.1254912195293321E-2</v>
      </c>
      <c r="AI79" s="241">
        <f t="shared" si="28"/>
        <v>-822</v>
      </c>
      <c r="AJ79" s="242">
        <f t="shared" si="29"/>
        <v>0</v>
      </c>
      <c r="AK79" s="243">
        <f t="shared" si="30"/>
        <v>0</v>
      </c>
      <c r="AL79" s="245">
        <f t="shared" si="31"/>
        <v>0.9072847682119205</v>
      </c>
      <c r="AM79" s="431">
        <f t="shared" si="32"/>
        <v>0</v>
      </c>
      <c r="AN79" s="465">
        <f t="shared" si="33"/>
        <v>0</v>
      </c>
      <c r="AO79" s="11"/>
    </row>
    <row r="80" spans="1:41" x14ac:dyDescent="0.35">
      <c r="A80" s="61" t="str">
        <f>IF(_epmOfflineCondition_,"Evdre:Ok",_xll.EVDRE($B$1,A83:B90,A93:B99))</f>
        <v>Evdre:Ok</v>
      </c>
      <c r="B80" s="11"/>
      <c r="C80" s="11"/>
      <c r="D80" s="11"/>
      <c r="E80" s="11"/>
      <c r="F80" s="11"/>
      <c r="G80" s="11"/>
      <c r="H80" s="88" t="s">
        <v>865</v>
      </c>
      <c r="I80" s="542" t="str">
        <f>IF(_epmOfflineCondition_,"T3",_xll.EVPRO($B$1,$H80,"STYLE"))</f>
        <v>T3</v>
      </c>
      <c r="J80" s="542" t="str">
        <f>IF(_epmOfflineCondition_,"Y",_xll.EVPRO($B$1,$H80,"CALC"))</f>
        <v>Y</v>
      </c>
      <c r="K80" s="117" t="str">
        <f t="shared" si="22"/>
        <v>&gt;</v>
      </c>
      <c r="L80" s="369" t="str">
        <f>IF(_epmOfflineCondition_,"",_xll.EVPRO($B$1,H80,"JDEID"))</f>
        <v/>
      </c>
      <c r="M80" s="90" t="str">
        <f>IF(_epmOfflineCondition_,"",IF(AND(I80="N",J80="N"),_xll.EVPRO($B$1,H80,"PSFTID"),""))</f>
        <v/>
      </c>
      <c r="N80" s="369" t="str">
        <f>IF(_epmOfflineCondition_,"F&amp;B Venues",IF(_xll.EVDES(H80,$B$1)="#NODATA","",_xll.EVDES(H80,$B$1)))</f>
        <v>F&amp;B Venues</v>
      </c>
      <c r="O80" s="238"/>
      <c r="P80" s="238"/>
      <c r="Q80" s="238"/>
      <c r="R80" s="238"/>
      <c r="S80" s="238"/>
      <c r="T80" s="238"/>
      <c r="U80" s="238"/>
      <c r="V80" s="238"/>
      <c r="W80" s="238"/>
      <c r="X80" s="238"/>
      <c r="Y80" s="238"/>
      <c r="Z80" s="238"/>
      <c r="AA80" s="238">
        <f t="shared" si="23"/>
        <v>0</v>
      </c>
      <c r="AB80" s="239" t="str">
        <f t="shared" si="24"/>
        <v/>
      </c>
      <c r="AC80" s="240"/>
      <c r="AD80" s="238"/>
      <c r="AE80" s="239" t="str">
        <f t="shared" si="25"/>
        <v/>
      </c>
      <c r="AF80" s="241">
        <f t="shared" si="26"/>
        <v>0</v>
      </c>
      <c r="AG80" s="238">
        <v>3989.49</v>
      </c>
      <c r="AH80" s="239">
        <f t="shared" si="27"/>
        <v>0.20022634994403984</v>
      </c>
      <c r="AI80" s="241">
        <f t="shared" si="28"/>
        <v>-3989.49</v>
      </c>
      <c r="AJ80" s="242">
        <f t="shared" si="29"/>
        <v>0</v>
      </c>
      <c r="AK80" s="243">
        <f t="shared" si="30"/>
        <v>0</v>
      </c>
      <c r="AL80" s="245">
        <f t="shared" si="31"/>
        <v>4.4034105960264895</v>
      </c>
      <c r="AM80" s="431">
        <f t="shared" si="32"/>
        <v>0</v>
      </c>
      <c r="AN80" s="465">
        <f t="shared" si="33"/>
        <v>0</v>
      </c>
      <c r="AO80" s="11"/>
    </row>
    <row r="81" spans="1:41" x14ac:dyDescent="0.35">
      <c r="A81" s="11"/>
      <c r="B81" s="11"/>
      <c r="C81" s="11"/>
      <c r="D81" s="11"/>
      <c r="E81" s="11"/>
      <c r="F81" s="11"/>
      <c r="G81" s="11"/>
      <c r="H81" s="88" t="s">
        <v>848</v>
      </c>
      <c r="I81" s="89" t="str">
        <f>IF(_epmOfflineCondition_,"T2",_xll.EVPRO($B$1,$H81,"STYLE"))</f>
        <v>T2</v>
      </c>
      <c r="J81" s="89" t="str">
        <f>IF(_epmOfflineCondition_,"Y",_xll.EVPRO($B$1,$H81,"CALC"))</f>
        <v>Y</v>
      </c>
      <c r="K81" s="265" t="str">
        <f t="shared" si="22"/>
        <v/>
      </c>
      <c r="L81" s="106" t="str">
        <f>IF(_epmOfflineCondition_,"",_xll.EVPRO($B$1,H81,"JDEID"))</f>
        <v/>
      </c>
      <c r="M81" s="190" t="str">
        <f>IF(_epmOfflineCondition_,"",IF(AND(I81="N",J81="N"),_xll.EVPRO($B$1,H81,"PSFTID"),""))</f>
        <v/>
      </c>
      <c r="N81" s="106" t="str">
        <f>IF(_epmOfflineCondition_,"Total Salaries and Wages",IF(_xll.EVDES(H81,$B$1)="#NODATA","",_xll.EVDES(H81,$B$1)))</f>
        <v>Total Salaries and Wages</v>
      </c>
      <c r="O81" s="225"/>
      <c r="P81" s="225"/>
      <c r="Q81" s="225"/>
      <c r="R81" s="225"/>
      <c r="S81" s="225"/>
      <c r="T81" s="225"/>
      <c r="U81" s="225"/>
      <c r="V81" s="225"/>
      <c r="W81" s="225"/>
      <c r="X81" s="225"/>
      <c r="Y81" s="225"/>
      <c r="Z81" s="225"/>
      <c r="AA81" s="225">
        <f t="shared" si="23"/>
        <v>0</v>
      </c>
      <c r="AB81" s="226" t="str">
        <f t="shared" si="24"/>
        <v/>
      </c>
      <c r="AC81" s="227"/>
      <c r="AD81" s="225"/>
      <c r="AE81" s="226" t="str">
        <f t="shared" si="25"/>
        <v/>
      </c>
      <c r="AF81" s="228">
        <f t="shared" si="26"/>
        <v>0</v>
      </c>
      <c r="AG81" s="225">
        <v>4811.49</v>
      </c>
      <c r="AH81" s="226">
        <f t="shared" si="27"/>
        <v>0.24148126213933316</v>
      </c>
      <c r="AI81" s="228">
        <f t="shared" si="28"/>
        <v>-4811.49</v>
      </c>
      <c r="AJ81" s="229">
        <f t="shared" si="29"/>
        <v>0</v>
      </c>
      <c r="AK81" s="230">
        <f t="shared" si="30"/>
        <v>0</v>
      </c>
      <c r="AL81" s="232">
        <f t="shared" si="31"/>
        <v>5.31069536423841</v>
      </c>
      <c r="AM81" s="427">
        <f t="shared" si="32"/>
        <v>0</v>
      </c>
      <c r="AN81" s="456">
        <f t="shared" si="33"/>
        <v>0</v>
      </c>
      <c r="AO81" s="11"/>
    </row>
    <row r="82" spans="1:41" x14ac:dyDescent="0.35">
      <c r="A82" s="62" t="s">
        <v>0</v>
      </c>
      <c r="B82" s="63" t="s">
        <v>1</v>
      </c>
      <c r="C82" s="11"/>
      <c r="D82" s="11"/>
      <c r="E82" s="11"/>
      <c r="F82" s="11"/>
      <c r="G82" s="11"/>
      <c r="H82" s="88" t="s">
        <v>866</v>
      </c>
      <c r="I82" s="542" t="str">
        <f>IF(_epmOfflineCondition_,"T3",_xll.EVPRO($B$1,$H82,"STYLE"))</f>
        <v>T3</v>
      </c>
      <c r="J82" s="542" t="str">
        <f>IF(_epmOfflineCondition_,"Y",_xll.EVPRO($B$1,$H82,"CALC"))</f>
        <v>Y</v>
      </c>
      <c r="K82" s="117" t="str">
        <f t="shared" si="22"/>
        <v>&gt;</v>
      </c>
      <c r="L82" s="369" t="str">
        <f>IF(_epmOfflineCondition_,"",_xll.EVPRO($B$1,H82,"JDEID"))</f>
        <v/>
      </c>
      <c r="M82" s="90" t="str">
        <f>IF(_epmOfflineCondition_,"",IF(AND(I82="N",J82="N"),_xll.EVPRO($B$1,H82,"PSFTID"),""))</f>
        <v/>
      </c>
      <c r="N82" s="369" t="str">
        <f>IF(_epmOfflineCondition_,"Service Charge Distribution",IF(_xll.EVDES(H82,$B$1)="#NODATA","",_xll.EVDES(H82,$B$1)))</f>
        <v>Service Charge Distribution</v>
      </c>
      <c r="O82" s="546"/>
      <c r="P82" s="546"/>
      <c r="Q82" s="546"/>
      <c r="R82" s="546"/>
      <c r="S82" s="546"/>
      <c r="T82" s="546"/>
      <c r="U82" s="546"/>
      <c r="V82" s="546"/>
      <c r="W82" s="546"/>
      <c r="X82" s="546"/>
      <c r="Y82" s="546"/>
      <c r="Z82" s="546">
        <v>4742.1000000000004</v>
      </c>
      <c r="AA82" s="546">
        <f t="shared" si="23"/>
        <v>4742.1000000000004</v>
      </c>
      <c r="AB82" s="547">
        <f t="shared" si="24"/>
        <v>0.15368685100921714</v>
      </c>
      <c r="AC82" s="548"/>
      <c r="AD82" s="546"/>
      <c r="AE82" s="547" t="str">
        <f t="shared" si="25"/>
        <v/>
      </c>
      <c r="AF82" s="549">
        <f t="shared" si="26"/>
        <v>4742.1000000000004</v>
      </c>
      <c r="AG82" s="546">
        <v>2379.96</v>
      </c>
      <c r="AH82" s="547">
        <f t="shared" si="27"/>
        <v>0.11944652168894197</v>
      </c>
      <c r="AI82" s="549">
        <f t="shared" si="28"/>
        <v>2362.1400000000003</v>
      </c>
      <c r="AJ82" s="550">
        <f t="shared" si="29"/>
        <v>5.8981343283582097</v>
      </c>
      <c r="AK82" s="551">
        <f t="shared" si="30"/>
        <v>0</v>
      </c>
      <c r="AL82" s="552">
        <f t="shared" si="31"/>
        <v>2.6268874172185432</v>
      </c>
      <c r="AM82" s="553">
        <f t="shared" si="32"/>
        <v>0</v>
      </c>
      <c r="AN82" s="554" t="str">
        <f t="shared" si="33"/>
        <v>3.42 pts.</v>
      </c>
      <c r="AO82" s="11"/>
    </row>
    <row r="83" spans="1:41" x14ac:dyDescent="0.35">
      <c r="A83" s="65" t="s">
        <v>2</v>
      </c>
      <c r="B83" s="66" t="str">
        <f>IF(_epmOfflineCondition_,"'Venue2'!$B$2:$B$10",_xll.EVRNG($B$2:$B$10))</f>
        <v>'Venue2'!$B$2:$B$10</v>
      </c>
      <c r="C83" s="11"/>
      <c r="D83" s="11"/>
      <c r="E83" s="11"/>
      <c r="F83" s="11"/>
      <c r="G83" s="11"/>
      <c r="H83" s="88" t="s">
        <v>850</v>
      </c>
      <c r="I83" s="89" t="str">
        <f>IF(_epmOfflineCondition_,"T2",_xll.EVPRO($B$1,$H83,"STYLE"))</f>
        <v>T2</v>
      </c>
      <c r="J83" s="89" t="str">
        <f>IF(_epmOfflineCondition_,"Y",_xll.EVPRO($B$1,$H83,"CALC"))</f>
        <v>Y</v>
      </c>
      <c r="K83" s="265" t="str">
        <f t="shared" si="22"/>
        <v/>
      </c>
      <c r="L83" s="106" t="str">
        <f>IF(_epmOfflineCondition_,"",_xll.EVPRO($B$1,H83,"JDEID"))</f>
        <v/>
      </c>
      <c r="M83" s="190" t="str">
        <f>IF(_epmOfflineCondition_,"",IF(AND(I83="N",J83="N"),_xll.EVPRO($B$1,H83,"PSFTID"),""))</f>
        <v/>
      </c>
      <c r="N83" s="106" t="str">
        <f>IF(_epmOfflineCondition_,"Total Labor Expense",IF(_xll.EVDES(H83,$B$1)="#NODATA","",_xll.EVDES(H83,$B$1)))</f>
        <v>Total Labor Expense</v>
      </c>
      <c r="O83" s="225"/>
      <c r="P83" s="225"/>
      <c r="Q83" s="225"/>
      <c r="R83" s="225"/>
      <c r="S83" s="225"/>
      <c r="T83" s="225"/>
      <c r="U83" s="225"/>
      <c r="V83" s="225"/>
      <c r="W83" s="225"/>
      <c r="X83" s="225"/>
      <c r="Y83" s="225"/>
      <c r="Z83" s="225">
        <v>4742.1000000000004</v>
      </c>
      <c r="AA83" s="225">
        <f t="shared" si="23"/>
        <v>4742.1000000000004</v>
      </c>
      <c r="AB83" s="226">
        <f t="shared" si="24"/>
        <v>0.15368685100921714</v>
      </c>
      <c r="AC83" s="227"/>
      <c r="AD83" s="225"/>
      <c r="AE83" s="226" t="str">
        <f t="shared" si="25"/>
        <v/>
      </c>
      <c r="AF83" s="228">
        <f t="shared" si="26"/>
        <v>4742.1000000000004</v>
      </c>
      <c r="AG83" s="225">
        <v>7191.45</v>
      </c>
      <c r="AH83" s="226">
        <f t="shared" si="27"/>
        <v>0.36092778382827512</v>
      </c>
      <c r="AI83" s="228">
        <f t="shared" si="28"/>
        <v>-2449.3499999999995</v>
      </c>
      <c r="AJ83" s="229">
        <f t="shared" si="29"/>
        <v>5.8981343283582097</v>
      </c>
      <c r="AK83" s="230">
        <f t="shared" si="30"/>
        <v>0</v>
      </c>
      <c r="AL83" s="232">
        <f t="shared" si="31"/>
        <v>7.9375827814569533</v>
      </c>
      <c r="AM83" s="427">
        <f t="shared" si="32"/>
        <v>0</v>
      </c>
      <c r="AN83" s="456" t="str">
        <f t="shared" si="33"/>
        <v>-20.72 pts.</v>
      </c>
      <c r="AO83" s="11"/>
    </row>
    <row r="84" spans="1:41" x14ac:dyDescent="0.35">
      <c r="A84" s="65" t="s">
        <v>3</v>
      </c>
      <c r="B84" s="66" t="str">
        <f>IF(_epmOfflineCondition_,"'Venue2'!$O$16:$AN$18",_xll.EVRNG($O$16:$AN$18))</f>
        <v>'Venue2'!$O$16:$AN$18</v>
      </c>
      <c r="C84" s="11"/>
      <c r="D84" s="11"/>
      <c r="E84" s="11"/>
      <c r="F84" s="11"/>
      <c r="G84" s="11"/>
      <c r="H84" s="88" t="s">
        <v>851</v>
      </c>
      <c r="I84" s="542" t="str">
        <f>IF(_epmOfflineCondition_,"T3",_xll.EVPRO($B$1,$H84,"STYLE"))</f>
        <v>T3</v>
      </c>
      <c r="J84" s="542" t="str">
        <f>IF(_epmOfflineCondition_,"Y",_xll.EVPRO($B$1,$H84,"CALC"))</f>
        <v>Y</v>
      </c>
      <c r="K84" s="117" t="str">
        <f t="shared" si="22"/>
        <v>&gt;</v>
      </c>
      <c r="L84" s="369" t="str">
        <f>IF(_epmOfflineCondition_,"",_xll.EVPRO($B$1,H84,"JDEID"))</f>
        <v/>
      </c>
      <c r="M84" s="90" t="str">
        <f>IF(_epmOfflineCondition_,"",IF(AND(I84="N",J84="N"),_xll.EVPRO($B$1,H84,"PSFTID"),""))</f>
        <v/>
      </c>
      <c r="N84" s="369" t="str">
        <f>IF(_epmOfflineCondition_,"Payroll Taxes",IF(_xll.EVDES(H84,$B$1)="#NODATA","",_xll.EVDES(H84,$B$1)))</f>
        <v>Payroll Taxes</v>
      </c>
      <c r="O84" s="546">
        <v>-0.9</v>
      </c>
      <c r="P84" s="546"/>
      <c r="Q84" s="546"/>
      <c r="R84" s="546"/>
      <c r="S84" s="546"/>
      <c r="T84" s="546"/>
      <c r="U84" s="546">
        <v>1.61</v>
      </c>
      <c r="V84" s="546"/>
      <c r="W84" s="546"/>
      <c r="X84" s="546"/>
      <c r="Y84" s="546"/>
      <c r="Z84" s="546"/>
      <c r="AA84" s="546">
        <f t="shared" si="23"/>
        <v>0.71000000000000008</v>
      </c>
      <c r="AB84" s="547">
        <f t="shared" si="24"/>
        <v>2.3010409779748249E-5</v>
      </c>
      <c r="AC84" s="548"/>
      <c r="AD84" s="546"/>
      <c r="AE84" s="547" t="str">
        <f t="shared" si="25"/>
        <v/>
      </c>
      <c r="AF84" s="549">
        <f t="shared" si="26"/>
        <v>0.71000000000000008</v>
      </c>
      <c r="AG84" s="546">
        <v>401.23</v>
      </c>
      <c r="AH84" s="547">
        <f t="shared" si="27"/>
        <v>2.0137114866323042E-2</v>
      </c>
      <c r="AI84" s="549">
        <f t="shared" si="28"/>
        <v>-400.52000000000004</v>
      </c>
      <c r="AJ84" s="550">
        <f t="shared" si="29"/>
        <v>8.8308457711442799E-4</v>
      </c>
      <c r="AK84" s="551">
        <f t="shared" si="30"/>
        <v>0</v>
      </c>
      <c r="AL84" s="552">
        <f t="shared" si="31"/>
        <v>0.44285871964679913</v>
      </c>
      <c r="AM84" s="553">
        <f t="shared" si="32"/>
        <v>0</v>
      </c>
      <c r="AN84" s="554" t="str">
        <f t="shared" si="33"/>
        <v>-2.01 pts.</v>
      </c>
      <c r="AO84" s="11"/>
    </row>
    <row r="85" spans="1:41" x14ac:dyDescent="0.35">
      <c r="A85" s="65" t="s">
        <v>4</v>
      </c>
      <c r="B85" s="66" t="str">
        <f>IF(_epmOfflineCondition_,"'Venue2'!$H$76:$H$77,'Venue2'!$H$79:$H$88,'Venue2'!$H$91:$H$97",_xll.EVRNG(H76:H77,H79:H88,H91:H97))</f>
        <v>'Venue2'!$H$76:$H$77,'Venue2'!$H$79:$H$88,'Venue2'!$H$91:$H$97</v>
      </c>
      <c r="C85" s="11"/>
      <c r="D85" s="11"/>
      <c r="E85" s="11"/>
      <c r="F85" s="11"/>
      <c r="G85" s="11"/>
      <c r="H85" s="88" t="s">
        <v>852</v>
      </c>
      <c r="I85" s="542" t="str">
        <f>IF(_epmOfflineCondition_,"T3",_xll.EVPRO($B$1,$H85,"STYLE"))</f>
        <v>T3</v>
      </c>
      <c r="J85" s="542" t="str">
        <f>IF(_epmOfflineCondition_,"Y",_xll.EVPRO($B$1,$H85,"CALC"))</f>
        <v>Y</v>
      </c>
      <c r="K85" s="117" t="str">
        <f t="shared" si="22"/>
        <v>&gt;</v>
      </c>
      <c r="L85" s="369" t="str">
        <f>IF(_epmOfflineCondition_,"",_xll.EVPRO($B$1,H85,"JDEID"))</f>
        <v/>
      </c>
      <c r="M85" s="90" t="str">
        <f>IF(_epmOfflineCondition_,"",IF(AND(I85="N",J85="N"),_xll.EVPRO($B$1,H85,"PSFTID"),""))</f>
        <v/>
      </c>
      <c r="N85" s="369" t="str">
        <f>IF(_epmOfflineCondition_,"Supplemental Pay",IF(_xll.EVDES(H85,$B$1)="#NODATA","",_xll.EVDES(H85,$B$1)))</f>
        <v>Supplemental Pay</v>
      </c>
      <c r="O85" s="238"/>
      <c r="P85" s="238"/>
      <c r="Q85" s="238"/>
      <c r="R85" s="238"/>
      <c r="S85" s="238"/>
      <c r="T85" s="238"/>
      <c r="U85" s="238"/>
      <c r="V85" s="238"/>
      <c r="W85" s="238"/>
      <c r="X85" s="238"/>
      <c r="Y85" s="238"/>
      <c r="Z85" s="238"/>
      <c r="AA85" s="238">
        <f t="shared" si="23"/>
        <v>0</v>
      </c>
      <c r="AB85" s="239" t="str">
        <f t="shared" si="24"/>
        <v/>
      </c>
      <c r="AC85" s="240"/>
      <c r="AD85" s="238"/>
      <c r="AE85" s="239" t="str">
        <f t="shared" si="25"/>
        <v/>
      </c>
      <c r="AF85" s="241">
        <f t="shared" si="26"/>
        <v>0</v>
      </c>
      <c r="AG85" s="238">
        <v>-973.41</v>
      </c>
      <c r="AH85" s="239">
        <f t="shared" si="27"/>
        <v>-4.8853946569367972E-2</v>
      </c>
      <c r="AI85" s="241">
        <f t="shared" si="28"/>
        <v>973.41</v>
      </c>
      <c r="AJ85" s="242">
        <f t="shared" si="29"/>
        <v>0</v>
      </c>
      <c r="AK85" s="243">
        <f t="shared" si="30"/>
        <v>0</v>
      </c>
      <c r="AL85" s="245">
        <f t="shared" si="31"/>
        <v>-1.0744039735099338</v>
      </c>
      <c r="AM85" s="431">
        <f t="shared" si="32"/>
        <v>0</v>
      </c>
      <c r="AN85" s="465">
        <f t="shared" si="33"/>
        <v>0</v>
      </c>
      <c r="AO85" s="11"/>
    </row>
    <row r="86" spans="1:41" x14ac:dyDescent="0.35">
      <c r="A86" s="65" t="s">
        <v>5</v>
      </c>
      <c r="B86" s="66"/>
      <c r="C86" s="11"/>
      <c r="D86" s="11"/>
      <c r="E86" s="11"/>
      <c r="F86" s="11"/>
      <c r="G86" s="11"/>
      <c r="H86" s="88" t="s">
        <v>853</v>
      </c>
      <c r="I86" s="542" t="str">
        <f>IF(_epmOfflineCondition_,"T3",_xll.EVPRO($B$1,$H86,"STYLE"))</f>
        <v>T3</v>
      </c>
      <c r="J86" s="542" t="str">
        <f>IF(_epmOfflineCondition_,"Y",_xll.EVPRO($B$1,$H86,"CALC"))</f>
        <v>Y</v>
      </c>
      <c r="K86" s="117" t="str">
        <f t="shared" si="22"/>
        <v>&gt;</v>
      </c>
      <c r="L86" s="369" t="str">
        <f>IF(_epmOfflineCondition_,"",_xll.EVPRO($B$1,H86,"JDEID"))</f>
        <v/>
      </c>
      <c r="M86" s="90" t="str">
        <f>IF(_epmOfflineCondition_,"",IF(AND(I86="N",J86="N"),_xll.EVPRO($B$1,H86,"PSFTID"),""))</f>
        <v/>
      </c>
      <c r="N86" s="369" t="str">
        <f>IF(_epmOfflineCondition_,"Employee Benefits",IF(_xll.EVDES(H86,$B$1)="#NODATA","",_xll.EVDES(H86,$B$1)))</f>
        <v>Employee Benefits</v>
      </c>
      <c r="O86" s="238">
        <v>0.9</v>
      </c>
      <c r="P86" s="238"/>
      <c r="Q86" s="238"/>
      <c r="R86" s="238"/>
      <c r="S86" s="238"/>
      <c r="T86" s="238"/>
      <c r="U86" s="238"/>
      <c r="V86" s="238"/>
      <c r="W86" s="238"/>
      <c r="X86" s="238"/>
      <c r="Y86" s="238"/>
      <c r="Z86" s="238"/>
      <c r="AA86" s="238">
        <f t="shared" si="23"/>
        <v>0.9</v>
      </c>
      <c r="AB86" s="239">
        <f t="shared" si="24"/>
        <v>2.9168125072920315E-5</v>
      </c>
      <c r="AC86" s="240"/>
      <c r="AD86" s="238"/>
      <c r="AE86" s="239" t="str">
        <f t="shared" si="25"/>
        <v/>
      </c>
      <c r="AF86" s="241">
        <f t="shared" si="26"/>
        <v>0.9</v>
      </c>
      <c r="AG86" s="238">
        <v>578.41999999999996</v>
      </c>
      <c r="AH86" s="239">
        <f t="shared" si="27"/>
        <v>2.9030007678834017E-2</v>
      </c>
      <c r="AI86" s="241">
        <f t="shared" si="28"/>
        <v>-577.52</v>
      </c>
      <c r="AJ86" s="242">
        <f t="shared" si="29"/>
        <v>1.1194029850746269E-3</v>
      </c>
      <c r="AK86" s="243">
        <f t="shared" si="30"/>
        <v>0</v>
      </c>
      <c r="AL86" s="245">
        <f t="shared" si="31"/>
        <v>0.63843267108167767</v>
      </c>
      <c r="AM86" s="431">
        <f t="shared" si="32"/>
        <v>0</v>
      </c>
      <c r="AN86" s="465" t="str">
        <f t="shared" si="33"/>
        <v>-2.9 pts.</v>
      </c>
      <c r="AO86" s="11"/>
    </row>
    <row r="87" spans="1:41" x14ac:dyDescent="0.35">
      <c r="A87" s="65" t="s">
        <v>6</v>
      </c>
      <c r="B87" s="66"/>
      <c r="C87" s="11"/>
      <c r="D87" s="11"/>
      <c r="E87" s="11"/>
      <c r="F87" s="11"/>
      <c r="G87" s="11"/>
      <c r="H87" s="88" t="s">
        <v>854</v>
      </c>
      <c r="I87" s="89" t="str">
        <f>IF(_epmOfflineCondition_,"T2",_xll.EVPRO($B$1,$H87,"STYLE"))</f>
        <v>T2</v>
      </c>
      <c r="J87" s="89" t="str">
        <f>IF(_epmOfflineCondition_,"Y",_xll.EVPRO($B$1,$H87,"CALC"))</f>
        <v>Y</v>
      </c>
      <c r="K87" s="265" t="str">
        <f t="shared" si="22"/>
        <v/>
      </c>
      <c r="L87" s="106" t="str">
        <f>IF(_epmOfflineCondition_,"",_xll.EVPRO($B$1,H87,"JDEID"))</f>
        <v/>
      </c>
      <c r="M87" s="190" t="str">
        <f>IF(_epmOfflineCondition_,"",IF(AND(I87="N",J87="N"),_xll.EVPRO($B$1,H87,"PSFTID"),""))</f>
        <v/>
      </c>
      <c r="N87" s="106" t="str">
        <f>IF(_epmOfflineCondition_,"Total Payroll Related",IF(_xll.EVDES(H87,$B$1)="#NODATA","",_xll.EVDES(H87,$B$1)))</f>
        <v>Total Payroll Related</v>
      </c>
      <c r="O87" s="238">
        <v>-2.22044604925E-16</v>
      </c>
      <c r="P87" s="238"/>
      <c r="Q87" s="238"/>
      <c r="R87" s="238"/>
      <c r="S87" s="238"/>
      <c r="T87" s="238"/>
      <c r="U87" s="238">
        <v>1.61</v>
      </c>
      <c r="V87" s="238"/>
      <c r="W87" s="238"/>
      <c r="X87" s="238"/>
      <c r="Y87" s="238"/>
      <c r="Z87" s="238"/>
      <c r="AA87" s="238">
        <f t="shared" si="23"/>
        <v>1.6099999999999999</v>
      </c>
      <c r="AB87" s="239">
        <f t="shared" si="24"/>
        <v>5.2178534852668557E-5</v>
      </c>
      <c r="AC87" s="240"/>
      <c r="AD87" s="238"/>
      <c r="AE87" s="239" t="str">
        <f t="shared" si="25"/>
        <v/>
      </c>
      <c r="AF87" s="241">
        <f t="shared" si="26"/>
        <v>1.6099999999999999</v>
      </c>
      <c r="AG87" s="238">
        <v>6.2399999999998998</v>
      </c>
      <c r="AH87" s="239">
        <f t="shared" si="27"/>
        <v>3.1317597578908295E-4</v>
      </c>
      <c r="AI87" s="241">
        <f t="shared" si="28"/>
        <v>-4.6299999999998995</v>
      </c>
      <c r="AJ87" s="242">
        <f t="shared" si="29"/>
        <v>2.0024875621890547E-3</v>
      </c>
      <c r="AK87" s="243">
        <f t="shared" si="30"/>
        <v>0</v>
      </c>
      <c r="AL87" s="245">
        <f t="shared" si="31"/>
        <v>6.8874172185429362E-3</v>
      </c>
      <c r="AM87" s="431">
        <f t="shared" si="32"/>
        <v>0</v>
      </c>
      <c r="AN87" s="465" t="str">
        <f t="shared" si="33"/>
        <v>-0.03 pts.</v>
      </c>
      <c r="AO87" s="11"/>
    </row>
    <row r="88" spans="1:41" x14ac:dyDescent="0.35">
      <c r="A88" s="65" t="s">
        <v>7</v>
      </c>
      <c r="B88" s="66" t="str">
        <f>IF(_epmOfflineCondition_,"'Venue2'!$A$102:$F$108",_xll.EVRNG(A102:F108))</f>
        <v>'Venue2'!$A$102:$F$108</v>
      </c>
      <c r="C88" s="11"/>
      <c r="D88" s="11"/>
      <c r="E88" s="11"/>
      <c r="F88" s="11"/>
      <c r="G88" s="11"/>
      <c r="H88" s="88" t="s">
        <v>76</v>
      </c>
      <c r="I88" s="89" t="str">
        <f>IF(_epmOfflineCondition_,"T1",_xll.EVPRO($B$1,$H88,"STYLE"))</f>
        <v>T1</v>
      </c>
      <c r="J88" s="89" t="str">
        <f>IF(_epmOfflineCondition_,"Y",_xll.EVPRO($B$1,$H88,"CALC"))</f>
        <v>Y</v>
      </c>
      <c r="K88" s="265" t="str">
        <f t="shared" si="22"/>
        <v/>
      </c>
      <c r="L88" s="106" t="str">
        <f>IF(_epmOfflineCondition_,"600000",_xll.EVPRO($B$1,H88,"JDEID"))</f>
        <v>600000</v>
      </c>
      <c r="M88" s="190" t="str">
        <f>IF(_epmOfflineCondition_,"",IF(AND(I88="N",J88="N"),_xll.EVPRO($B$1,H88,"PSFTID"),""))</f>
        <v/>
      </c>
      <c r="N88" s="106" t="str">
        <f>IF(_epmOfflineCondition_,"Total Labor &amp; Related Exp",IF(_xll.EVDES(H88,$B$1)="#NODATA","",_xll.EVDES(H88,$B$1)))</f>
        <v>Total Labor &amp; Related Exp</v>
      </c>
      <c r="O88" s="238">
        <v>-2.22044604925E-16</v>
      </c>
      <c r="P88" s="238"/>
      <c r="Q88" s="238"/>
      <c r="R88" s="238"/>
      <c r="S88" s="238"/>
      <c r="T88" s="238"/>
      <c r="U88" s="238">
        <v>1.61</v>
      </c>
      <c r="V88" s="238"/>
      <c r="W88" s="238"/>
      <c r="X88" s="238"/>
      <c r="Y88" s="238"/>
      <c r="Z88" s="238">
        <v>4742.1000000000004</v>
      </c>
      <c r="AA88" s="238">
        <f t="shared" si="23"/>
        <v>4743.71</v>
      </c>
      <c r="AB88" s="239">
        <f t="shared" si="24"/>
        <v>0.15373902954406982</v>
      </c>
      <c r="AC88" s="240"/>
      <c r="AD88" s="238"/>
      <c r="AE88" s="239" t="str">
        <f t="shared" si="25"/>
        <v/>
      </c>
      <c r="AF88" s="241">
        <f t="shared" si="26"/>
        <v>4743.71</v>
      </c>
      <c r="AG88" s="238">
        <v>7197.69</v>
      </c>
      <c r="AH88" s="239">
        <f t="shared" si="27"/>
        <v>0.36124095980406423</v>
      </c>
      <c r="AI88" s="241">
        <f t="shared" si="28"/>
        <v>-2453.9799999999996</v>
      </c>
      <c r="AJ88" s="242">
        <f t="shared" si="29"/>
        <v>5.9001368159203977</v>
      </c>
      <c r="AK88" s="243">
        <f t="shared" si="30"/>
        <v>0</v>
      </c>
      <c r="AL88" s="245">
        <f t="shared" si="31"/>
        <v>7.9444701986754964</v>
      </c>
      <c r="AM88" s="431">
        <f t="shared" si="32"/>
        <v>0</v>
      </c>
      <c r="AN88" s="465" t="str">
        <f t="shared" si="33"/>
        <v>-20.75 pts.</v>
      </c>
      <c r="AO88" s="11"/>
    </row>
    <row r="89" spans="1:41" x14ac:dyDescent="0.35">
      <c r="A89" s="65" t="s">
        <v>47</v>
      </c>
      <c r="B89" s="66" t="str">
        <f>IF(_epmOfflineCondition_,"'Venue2'!$A$125:$B$146",_xll.EVRNG($A$125:$B$146))</f>
        <v>'Venue2'!$A$125:$B$146</v>
      </c>
      <c r="C89" s="11"/>
      <c r="D89" s="11"/>
      <c r="E89" s="11"/>
      <c r="F89" s="11"/>
      <c r="G89" s="11"/>
      <c r="H89" s="11"/>
      <c r="I89" s="59"/>
      <c r="J89" s="59"/>
      <c r="K89" s="11"/>
      <c r="L89" s="11"/>
      <c r="M89" s="11"/>
      <c r="N89" s="11"/>
      <c r="O89" s="129"/>
      <c r="P89" s="130"/>
      <c r="Q89" s="130"/>
      <c r="R89" s="130"/>
      <c r="S89" s="130"/>
      <c r="T89" s="130"/>
      <c r="U89" s="130"/>
      <c r="V89" s="130"/>
      <c r="W89" s="130"/>
      <c r="X89" s="130"/>
      <c r="Y89" s="130"/>
      <c r="Z89" s="130"/>
      <c r="AA89" s="130"/>
      <c r="AB89" s="131"/>
      <c r="AC89" s="11"/>
      <c r="AD89" s="129"/>
      <c r="AE89" s="130"/>
      <c r="AF89" s="131"/>
      <c r="AG89" s="129"/>
      <c r="AH89" s="130"/>
      <c r="AI89" s="131"/>
      <c r="AJ89" s="11"/>
      <c r="AK89" s="11"/>
      <c r="AL89" s="11"/>
      <c r="AM89" s="11"/>
      <c r="AN89" s="11"/>
      <c r="AO89" s="11"/>
    </row>
    <row r="90" spans="1:41" x14ac:dyDescent="0.35">
      <c r="A90" s="65" t="s">
        <v>8</v>
      </c>
      <c r="B90" s="66"/>
      <c r="C90" s="11"/>
      <c r="D90" s="11"/>
      <c r="E90" s="11"/>
      <c r="F90" s="11"/>
      <c r="G90" s="11"/>
      <c r="H90" s="11" t="s">
        <v>82</v>
      </c>
      <c r="I90" s="59" t="str">
        <f>IF(_epmOfflineCondition_,"B1",_xll.EVPRO($B$1,$H90,"STYLE"))</f>
        <v>B1</v>
      </c>
      <c r="J90" s="59" t="str">
        <f>IF(_epmOfflineCondition_,"Y",_xll.EVPRO($B$1,$H90,"CALC"))</f>
        <v>Y</v>
      </c>
      <c r="K90" s="11"/>
      <c r="L90" s="11"/>
      <c r="M90" s="11"/>
      <c r="N90" s="105" t="str">
        <f>IF(_epmOfflineCondition_,"Other Expenses",IF(_xll.EVDES(H90,$B$1)="#NODATA","",_xll.EVDES(H90,$B$1)))</f>
        <v>Other Expenses</v>
      </c>
      <c r="O90" s="119"/>
      <c r="P90" s="120"/>
      <c r="Q90" s="120"/>
      <c r="R90" s="120"/>
      <c r="S90" s="120"/>
      <c r="T90" s="120"/>
      <c r="U90" s="120"/>
      <c r="V90" s="120"/>
      <c r="W90" s="120"/>
      <c r="X90" s="120"/>
      <c r="Y90" s="120"/>
      <c r="Z90" s="120"/>
      <c r="AA90" s="120"/>
      <c r="AB90" s="121"/>
      <c r="AC90" s="11"/>
      <c r="AD90" s="119"/>
      <c r="AE90" s="120"/>
      <c r="AF90" s="121"/>
      <c r="AG90" s="119"/>
      <c r="AH90" s="120"/>
      <c r="AI90" s="121"/>
      <c r="AJ90" s="11"/>
      <c r="AK90" s="11"/>
      <c r="AL90" s="11"/>
      <c r="AM90" s="11"/>
      <c r="AN90" s="11"/>
      <c r="AO90" s="11"/>
    </row>
    <row r="91" spans="1:41" x14ac:dyDescent="0.35">
      <c r="A91" s="11"/>
      <c r="B91" s="11"/>
      <c r="C91" s="11"/>
      <c r="D91" s="11"/>
      <c r="E91" s="11"/>
      <c r="F91" s="11"/>
      <c r="G91" s="76"/>
      <c r="H91" s="88" t="s">
        <v>831</v>
      </c>
      <c r="I91" s="122" t="str">
        <f>IF(_epmOfflineCondition_,"T4",_xll.EVPRO($B$1,$H91,"STYLE"))</f>
        <v>T4</v>
      </c>
      <c r="J91" s="122" t="str">
        <f>IF(_epmOfflineCondition_,"Y",_xll.EVPRO($B$1,$H91,"CALC"))</f>
        <v>Y</v>
      </c>
      <c r="K91" s="179" t="str">
        <f t="shared" ref="K91:K97" si="34">IF(AND(I91&lt;&gt;"B1",J91="Y"),"&gt;","")</f>
        <v>&gt;</v>
      </c>
      <c r="L91" s="90" t="str">
        <f>IF(_epmOfflineCondition_,"701500",_xll.EVPRO($B$1,H91,"JDEID"))</f>
        <v>701500</v>
      </c>
      <c r="M91" s="90" t="str">
        <f>IF(_epmOfflineCondition_,"",IF(AND(I91="N",J91="N"),_xll.EVPRO($B$1,H91,"PSFTID"),""))</f>
        <v/>
      </c>
      <c r="N91" s="90" t="str">
        <f>IF(_epmOfflineCondition_,"Operating Supplies",IF(_xll.EVDES(H91,$B$1)="#NODATA","",_xll.EVDES(H91,$B$1)))</f>
        <v>Operating Supplies</v>
      </c>
      <c r="O91" s="143"/>
      <c r="P91" s="143"/>
      <c r="Q91" s="143"/>
      <c r="R91" s="143"/>
      <c r="S91" s="143">
        <v>-32.979999999999997</v>
      </c>
      <c r="T91" s="143"/>
      <c r="U91" s="143">
        <v>32.9</v>
      </c>
      <c r="V91" s="143"/>
      <c r="W91" s="143"/>
      <c r="X91" s="143"/>
      <c r="Y91" s="143"/>
      <c r="Z91" s="143"/>
      <c r="AA91" s="250">
        <f t="shared" ref="AA91:AA98" si="35">IF($I91="B1","",SUM(O91:Z91))</f>
        <v>-7.9999999999998295E-2</v>
      </c>
      <c r="AB91" s="144">
        <f t="shared" ref="AB91:AB98" si="36">IF(AA91=0,"",IFERROR(AA91/AA$19,""))</f>
        <v>-2.5927222287039728E-6</v>
      </c>
      <c r="AC91" s="140"/>
      <c r="AD91" s="143"/>
      <c r="AE91" s="144" t="str">
        <f t="shared" ref="AE91:AE98" si="37">IF(AD91=0,"",IFERROR(AD91/AD$19,""))</f>
        <v/>
      </c>
      <c r="AF91" s="145">
        <f t="shared" ref="AF91:AF98" si="38">IF(AND($AA91="",AD91=""),"",$AA91-AD91)</f>
        <v>-7.9999999999998295E-2</v>
      </c>
      <c r="AG91" s="143">
        <v>483.43</v>
      </c>
      <c r="AH91" s="144">
        <f t="shared" ref="AH91:AH98" si="39">IF(AG91=0,"",IFERROR(AG91/AG$19,""))</f>
        <v>2.4262606085852373E-2</v>
      </c>
      <c r="AI91" s="145">
        <f t="shared" ref="AI91:AI98" si="40">IF(AND($AA91="",AG91=""),"",$AA91-AG91)</f>
        <v>-483.51</v>
      </c>
      <c r="AJ91" s="440">
        <f t="shared" ref="AJ91:AJ98" si="41">IFERROR(AA91/AA$20,0)</f>
        <v>-9.9502487562186937E-5</v>
      </c>
      <c r="AK91" s="441">
        <f t="shared" ref="AK91:AK98" si="42">IFERROR(AD91/AD$20,0)</f>
        <v>0</v>
      </c>
      <c r="AL91" s="442">
        <f t="shared" ref="AL91:AL98" si="43">IFERROR(AG91/AG$20,0)</f>
        <v>0.53358719646799113</v>
      </c>
      <c r="AM91" s="443">
        <f t="shared" ref="AM91:AM98" si="44">+IFERROR(ROUND(($AB91-AE91)*100,2)&amp;" pts.",0)</f>
        <v>0</v>
      </c>
      <c r="AN91" s="444" t="str">
        <f t="shared" ref="AN91:AN98" si="45">+IFERROR(ROUND(($AB91-AH91)*100,2)&amp;" pts.",0)</f>
        <v>-2.43 pts.</v>
      </c>
      <c r="AO91" s="11"/>
    </row>
    <row r="92" spans="1:41" x14ac:dyDescent="0.35">
      <c r="A92" s="62" t="s">
        <v>9</v>
      </c>
      <c r="B92" s="63" t="s">
        <v>10</v>
      </c>
      <c r="C92" s="11"/>
      <c r="D92" s="11"/>
      <c r="E92" s="11"/>
      <c r="F92" s="11"/>
      <c r="G92" s="11"/>
      <c r="H92" s="88" t="s">
        <v>857</v>
      </c>
      <c r="I92" s="122" t="str">
        <f>IF(_epmOfflineCondition_,"N",_xll.EVPRO($B$1,$H92,"STYLE"))</f>
        <v>N</v>
      </c>
      <c r="J92" s="122" t="str">
        <f>IF(_epmOfflineCondition_,"N",_xll.EVPRO($B$1,$H92,"CALC"))</f>
        <v>N</v>
      </c>
      <c r="K92" s="179" t="str">
        <f t="shared" si="34"/>
        <v/>
      </c>
      <c r="L92" s="90" t="str">
        <f>IF(_epmOfflineCondition_,"701600",_xll.EVPRO($B$1,H92,"JDEID"))</f>
        <v>701600</v>
      </c>
      <c r="M92" s="90" t="str">
        <f>IF(_epmOfflineCondition_,"590015",IF(AND(I92="N",J92="N"),_xll.EVPRO($B$1,H92,"PSFTID"),""))</f>
        <v>590015</v>
      </c>
      <c r="N92" s="90" t="str">
        <f>IF(_epmOfflineCondition_,"Cleaning Supplies",IF(_xll.EVDES(H92,$B$1)="#NODATA","",_xll.EVDES(H92,$B$1)))</f>
        <v>Cleaning Supplies</v>
      </c>
      <c r="O92" s="143"/>
      <c r="P92" s="143"/>
      <c r="Q92" s="143"/>
      <c r="R92" s="143"/>
      <c r="S92" s="143"/>
      <c r="T92" s="143"/>
      <c r="U92" s="143"/>
      <c r="V92" s="143"/>
      <c r="W92" s="143"/>
      <c r="X92" s="143"/>
      <c r="Y92" s="143"/>
      <c r="Z92" s="143"/>
      <c r="AA92" s="250">
        <f t="shared" si="35"/>
        <v>0</v>
      </c>
      <c r="AB92" s="144" t="str">
        <f t="shared" si="36"/>
        <v/>
      </c>
      <c r="AC92" s="140"/>
      <c r="AD92" s="143"/>
      <c r="AE92" s="144" t="str">
        <f t="shared" si="37"/>
        <v/>
      </c>
      <c r="AF92" s="145">
        <f t="shared" si="38"/>
        <v>0</v>
      </c>
      <c r="AG92" s="143">
        <v>14</v>
      </c>
      <c r="AH92" s="144">
        <f t="shared" si="39"/>
        <v>7.0263840721910772E-4</v>
      </c>
      <c r="AI92" s="145">
        <f t="shared" si="40"/>
        <v>-14</v>
      </c>
      <c r="AJ92" s="440">
        <f t="shared" si="41"/>
        <v>0</v>
      </c>
      <c r="AK92" s="441">
        <f t="shared" si="42"/>
        <v>0</v>
      </c>
      <c r="AL92" s="442">
        <f t="shared" si="43"/>
        <v>1.5452538631346579E-2</v>
      </c>
      <c r="AM92" s="443">
        <f t="shared" si="44"/>
        <v>0</v>
      </c>
      <c r="AN92" s="444">
        <f t="shared" si="45"/>
        <v>0</v>
      </c>
      <c r="AO92" s="11"/>
    </row>
    <row r="93" spans="1:41" x14ac:dyDescent="0.35">
      <c r="A93" s="65" t="s">
        <v>11</v>
      </c>
      <c r="B93" s="66" t="s">
        <v>21</v>
      </c>
      <c r="C93" s="11"/>
      <c r="D93" s="11"/>
      <c r="E93" s="11"/>
      <c r="F93" s="11"/>
      <c r="G93" s="11"/>
      <c r="H93" s="88" t="s">
        <v>858</v>
      </c>
      <c r="I93" s="122" t="str">
        <f>IF(_epmOfflineCondition_,"N",_xll.EVPRO($B$1,$H93,"STYLE"))</f>
        <v>N</v>
      </c>
      <c r="J93" s="122" t="str">
        <f>IF(_epmOfflineCondition_,"N",_xll.EVPRO($B$1,$H93,"CALC"))</f>
        <v>N</v>
      </c>
      <c r="K93" s="179" t="str">
        <f t="shared" si="34"/>
        <v/>
      </c>
      <c r="L93" s="90" t="str">
        <f>IF(_epmOfflineCondition_,"701700",_xll.EVPRO($B$1,H93,"JDEID"))</f>
        <v>701700</v>
      </c>
      <c r="M93" s="90" t="str">
        <f>IF(_epmOfflineCondition_,"590026",IF(AND(I93="N",J93="N"),_xll.EVPRO($B$1,H93,"PSFTID"),""))</f>
        <v>590026</v>
      </c>
      <c r="N93" s="90" t="str">
        <f>IF(_epmOfflineCondition_,"Dishwashing Supplies",IF(_xll.EVDES(H93,$B$1)="#NODATA","",_xll.EVDES(H93,$B$1)))</f>
        <v>Dishwashing Supplies</v>
      </c>
      <c r="O93" s="143"/>
      <c r="P93" s="143"/>
      <c r="Q93" s="143"/>
      <c r="R93" s="143"/>
      <c r="S93" s="143"/>
      <c r="T93" s="143"/>
      <c r="U93" s="143"/>
      <c r="V93" s="143"/>
      <c r="W93" s="143"/>
      <c r="X93" s="143"/>
      <c r="Y93" s="143"/>
      <c r="Z93" s="143"/>
      <c r="AA93" s="250">
        <f t="shared" si="35"/>
        <v>0</v>
      </c>
      <c r="AB93" s="144" t="str">
        <f t="shared" si="36"/>
        <v/>
      </c>
      <c r="AC93" s="140"/>
      <c r="AD93" s="143"/>
      <c r="AE93" s="144" t="str">
        <f t="shared" si="37"/>
        <v/>
      </c>
      <c r="AF93" s="145">
        <f t="shared" si="38"/>
        <v>0</v>
      </c>
      <c r="AG93" s="143">
        <v>8</v>
      </c>
      <c r="AH93" s="144">
        <f t="shared" si="39"/>
        <v>4.0150766126806152E-4</v>
      </c>
      <c r="AI93" s="145">
        <f t="shared" si="40"/>
        <v>-8</v>
      </c>
      <c r="AJ93" s="440">
        <f t="shared" si="41"/>
        <v>0</v>
      </c>
      <c r="AK93" s="441">
        <f t="shared" si="42"/>
        <v>0</v>
      </c>
      <c r="AL93" s="442">
        <f t="shared" si="43"/>
        <v>8.8300220750551876E-3</v>
      </c>
      <c r="AM93" s="443">
        <f t="shared" si="44"/>
        <v>0</v>
      </c>
      <c r="AN93" s="444">
        <f t="shared" si="45"/>
        <v>0</v>
      </c>
      <c r="AO93" s="11"/>
    </row>
    <row r="94" spans="1:41" x14ac:dyDescent="0.35">
      <c r="A94" s="65" t="s">
        <v>12</v>
      </c>
      <c r="B94" s="66" t="s">
        <v>22</v>
      </c>
      <c r="C94" s="11"/>
      <c r="D94" s="11"/>
      <c r="E94" s="11"/>
      <c r="F94" s="11"/>
      <c r="G94" s="11"/>
      <c r="H94" s="88" t="s">
        <v>859</v>
      </c>
      <c r="I94" s="122" t="str">
        <f>IF(_epmOfflineCondition_,"N",_xll.EVPRO($B$1,$H94,"STYLE"))</f>
        <v>N</v>
      </c>
      <c r="J94" s="122" t="str">
        <f>IF(_epmOfflineCondition_,"N",_xll.EVPRO($B$1,$H94,"CALC"))</f>
        <v>N</v>
      </c>
      <c r="K94" s="179" t="str">
        <f t="shared" si="34"/>
        <v/>
      </c>
      <c r="L94" s="90" t="str">
        <f>IF(_epmOfflineCondition_,"702000",_xll.EVPRO($B$1,H94,"JDEID"))</f>
        <v>702000</v>
      </c>
      <c r="M94" s="90" t="str">
        <f>IF(_epmOfflineCondition_,"590031",IF(AND(I94="N",J94="N"),_xll.EVPRO($B$1,H94,"PSFTID"),""))</f>
        <v>590031</v>
      </c>
      <c r="N94" s="90" t="str">
        <f>IF(_epmOfflineCondition_,"Paper and Plastics",IF(_xll.EVDES(H94,$B$1)="#NODATA","",_xll.EVDES(H94,$B$1)))</f>
        <v>Paper and Plastics</v>
      </c>
      <c r="O94" s="143"/>
      <c r="P94" s="143"/>
      <c r="Q94" s="143"/>
      <c r="R94" s="143"/>
      <c r="S94" s="143"/>
      <c r="T94" s="143"/>
      <c r="U94" s="143"/>
      <c r="V94" s="143"/>
      <c r="W94" s="143"/>
      <c r="X94" s="143"/>
      <c r="Y94" s="143"/>
      <c r="Z94" s="143"/>
      <c r="AA94" s="250">
        <f t="shared" si="35"/>
        <v>0</v>
      </c>
      <c r="AB94" s="144" t="str">
        <f t="shared" si="36"/>
        <v/>
      </c>
      <c r="AC94" s="140"/>
      <c r="AD94" s="143"/>
      <c r="AE94" s="144" t="str">
        <f t="shared" si="37"/>
        <v/>
      </c>
      <c r="AF94" s="145">
        <f t="shared" si="38"/>
        <v>0</v>
      </c>
      <c r="AG94" s="143">
        <v>14</v>
      </c>
      <c r="AH94" s="144">
        <f t="shared" si="39"/>
        <v>7.0263840721910772E-4</v>
      </c>
      <c r="AI94" s="145">
        <f t="shared" si="40"/>
        <v>-14</v>
      </c>
      <c r="AJ94" s="440">
        <f t="shared" si="41"/>
        <v>0</v>
      </c>
      <c r="AK94" s="441">
        <f t="shared" si="42"/>
        <v>0</v>
      </c>
      <c r="AL94" s="442">
        <f t="shared" si="43"/>
        <v>1.5452538631346579E-2</v>
      </c>
      <c r="AM94" s="443">
        <f t="shared" si="44"/>
        <v>0</v>
      </c>
      <c r="AN94" s="444">
        <f t="shared" si="45"/>
        <v>0</v>
      </c>
      <c r="AO94" s="11"/>
    </row>
    <row r="95" spans="1:41" x14ac:dyDescent="0.35">
      <c r="A95" s="65" t="s">
        <v>13</v>
      </c>
      <c r="B95" s="66" t="s">
        <v>737</v>
      </c>
      <c r="C95" s="11"/>
      <c r="D95" s="11"/>
      <c r="E95" s="11"/>
      <c r="F95" s="11"/>
      <c r="G95" s="11"/>
      <c r="H95" s="88" t="s">
        <v>832</v>
      </c>
      <c r="I95" s="122" t="str">
        <f>IF(_epmOfflineCondition_,"T4",_xll.EVPRO($B$1,$H95,"STYLE"))</f>
        <v>T4</v>
      </c>
      <c r="J95" s="122" t="str">
        <f>IF(_epmOfflineCondition_,"Y",_xll.EVPRO($B$1,$H95,"CALC"))</f>
        <v>Y</v>
      </c>
      <c r="K95" s="179" t="str">
        <f t="shared" si="34"/>
        <v>&gt;</v>
      </c>
      <c r="L95" s="90" t="str">
        <f>IF(_epmOfflineCondition_,"",_xll.EVPRO($B$1,H95,"JDEID"))</f>
        <v/>
      </c>
      <c r="M95" s="90" t="str">
        <f>IF(_epmOfflineCondition_,"",IF(AND(I95="N",J95="N"),_xll.EVPRO($B$1,H95,"PSFTID"),""))</f>
        <v/>
      </c>
      <c r="N95" s="90" t="str">
        <f>IF(_epmOfflineCondition_,"Contract Services",IF(_xll.EVDES(H95,$B$1)="#NODATA","",_xll.EVDES(H95,$B$1)))</f>
        <v>Contract Services</v>
      </c>
      <c r="O95" s="143"/>
      <c r="P95" s="143"/>
      <c r="Q95" s="143"/>
      <c r="R95" s="143"/>
      <c r="S95" s="143">
        <v>75</v>
      </c>
      <c r="T95" s="143"/>
      <c r="U95" s="143">
        <v>-75</v>
      </c>
      <c r="V95" s="143"/>
      <c r="W95" s="143">
        <v>75</v>
      </c>
      <c r="X95" s="143">
        <v>75</v>
      </c>
      <c r="Y95" s="143">
        <v>75</v>
      </c>
      <c r="Z95" s="143">
        <v>150</v>
      </c>
      <c r="AA95" s="250">
        <f t="shared" si="35"/>
        <v>375</v>
      </c>
      <c r="AB95" s="144">
        <f t="shared" si="36"/>
        <v>1.215338544705013E-2</v>
      </c>
      <c r="AC95" s="140"/>
      <c r="AD95" s="143"/>
      <c r="AE95" s="144" t="str">
        <f t="shared" si="37"/>
        <v/>
      </c>
      <c r="AF95" s="145">
        <f t="shared" si="38"/>
        <v>375</v>
      </c>
      <c r="AG95" s="143">
        <v>450</v>
      </c>
      <c r="AH95" s="144">
        <f t="shared" si="39"/>
        <v>2.2584805946328463E-2</v>
      </c>
      <c r="AI95" s="145">
        <f t="shared" si="40"/>
        <v>-75</v>
      </c>
      <c r="AJ95" s="440">
        <f t="shared" si="41"/>
        <v>0.46641791044776121</v>
      </c>
      <c r="AK95" s="441">
        <f t="shared" si="42"/>
        <v>0</v>
      </c>
      <c r="AL95" s="442">
        <f t="shared" si="43"/>
        <v>0.49668874172185429</v>
      </c>
      <c r="AM95" s="443">
        <f t="shared" si="44"/>
        <v>0</v>
      </c>
      <c r="AN95" s="444" t="str">
        <f t="shared" si="45"/>
        <v>-1.04 pts.</v>
      </c>
      <c r="AO95" s="11"/>
    </row>
    <row r="96" spans="1:41" x14ac:dyDescent="0.35">
      <c r="A96" s="65" t="s">
        <v>14</v>
      </c>
      <c r="B96" s="66"/>
      <c r="C96" s="11"/>
      <c r="D96" s="11"/>
      <c r="E96" s="11"/>
      <c r="F96" s="11"/>
      <c r="G96" s="11"/>
      <c r="H96" s="88" t="s">
        <v>875</v>
      </c>
      <c r="I96" s="122" t="str">
        <f>IF(_epmOfflineCondition_,"N",_xll.EVPRO($B$1,$H96,"STYLE"))</f>
        <v>N</v>
      </c>
      <c r="J96" s="122" t="str">
        <f>IF(_epmOfflineCondition_,"N",_xll.EVPRO($B$1,$H96,"CALC"))</f>
        <v>N</v>
      </c>
      <c r="K96" s="179" t="str">
        <f t="shared" si="34"/>
        <v/>
      </c>
      <c r="L96" s="90" t="str">
        <f>IF(_epmOfflineCondition_,"703200",_xll.EVPRO($B$1,H96,"JDEID"))</f>
        <v>703200</v>
      </c>
      <c r="M96" s="90" t="str">
        <f>IF(_epmOfflineCondition_,"590035",IF(AND(I96="N",J96="N"),_xll.EVPRO($B$1,H96,"PSFTID"),""))</f>
        <v>590035</v>
      </c>
      <c r="N96" s="90" t="str">
        <f>IF(_epmOfflineCondition_,"Uniform Costs",IF(_xll.EVDES(H96,$B$1)="#NODATA","",_xll.EVDES(H96,$B$1)))</f>
        <v>Uniform Costs</v>
      </c>
      <c r="O96" s="143"/>
      <c r="P96" s="143"/>
      <c r="Q96" s="143"/>
      <c r="R96" s="143"/>
      <c r="S96" s="143"/>
      <c r="T96" s="143"/>
      <c r="U96" s="143">
        <v>0.69</v>
      </c>
      <c r="V96" s="143"/>
      <c r="W96" s="143"/>
      <c r="X96" s="143"/>
      <c r="Y96" s="143"/>
      <c r="Z96" s="143"/>
      <c r="AA96" s="250">
        <f t="shared" si="35"/>
        <v>0.69</v>
      </c>
      <c r="AB96" s="144">
        <f t="shared" si="36"/>
        <v>2.2362229222572239E-5</v>
      </c>
      <c r="AC96" s="140"/>
      <c r="AD96" s="143"/>
      <c r="AE96" s="144" t="str">
        <f t="shared" si="37"/>
        <v/>
      </c>
      <c r="AF96" s="145">
        <f t="shared" si="38"/>
        <v>0.69</v>
      </c>
      <c r="AG96" s="143"/>
      <c r="AH96" s="144" t="str">
        <f t="shared" si="39"/>
        <v/>
      </c>
      <c r="AI96" s="145">
        <f t="shared" si="40"/>
        <v>0.69</v>
      </c>
      <c r="AJ96" s="440">
        <f t="shared" si="41"/>
        <v>8.5820895522388052E-4</v>
      </c>
      <c r="AK96" s="441">
        <f t="shared" si="42"/>
        <v>0</v>
      </c>
      <c r="AL96" s="442">
        <f t="shared" si="43"/>
        <v>0</v>
      </c>
      <c r="AM96" s="443">
        <f t="shared" si="44"/>
        <v>0</v>
      </c>
      <c r="AN96" s="444">
        <f t="shared" si="45"/>
        <v>0</v>
      </c>
      <c r="AO96" s="11"/>
    </row>
    <row r="97" spans="1:41" x14ac:dyDescent="0.35">
      <c r="A97" s="65" t="s">
        <v>15</v>
      </c>
      <c r="B97" s="66"/>
      <c r="C97" s="11"/>
      <c r="D97" s="11"/>
      <c r="E97" s="11"/>
      <c r="F97" s="11"/>
      <c r="G97" s="11"/>
      <c r="H97" s="88" t="s">
        <v>880</v>
      </c>
      <c r="I97" s="122" t="str">
        <f>IF(_epmOfflineCondition_,"N",_xll.EVPRO($B$1,$H97,"STYLE"))</f>
        <v>N</v>
      </c>
      <c r="J97" s="122" t="str">
        <f>IF(_epmOfflineCondition_,"N",_xll.EVPRO($B$1,$H97,"CALC"))</f>
        <v>N</v>
      </c>
      <c r="K97" s="179" t="str">
        <f t="shared" si="34"/>
        <v/>
      </c>
      <c r="L97" s="90" t="str">
        <f>IF(_epmOfflineCondition_,"704100",_xll.EVPRO($B$1,H97,"JDEID"))</f>
        <v>704100</v>
      </c>
      <c r="M97" s="90" t="str">
        <f>IF(_epmOfflineCondition_,"690241",IF(AND(I97="N",J97="N"),_xll.EVPRO($B$1,H97,"PSFTID"),""))</f>
        <v>690241</v>
      </c>
      <c r="N97" s="90" t="str">
        <f>IF(_epmOfflineCondition_,"Music and Entertainment",IF(_xll.EVDES(H97,$B$1)="#NODATA","",_xll.EVDES(H97,$B$1)))</f>
        <v>Music and Entertainment</v>
      </c>
      <c r="O97" s="143"/>
      <c r="P97" s="143"/>
      <c r="Q97" s="143"/>
      <c r="R97" s="143"/>
      <c r="S97" s="143"/>
      <c r="T97" s="143"/>
      <c r="U97" s="143"/>
      <c r="V97" s="143"/>
      <c r="W97" s="143"/>
      <c r="X97" s="143"/>
      <c r="Y97" s="143"/>
      <c r="Z97" s="143"/>
      <c r="AA97" s="250">
        <f t="shared" si="35"/>
        <v>0</v>
      </c>
      <c r="AB97" s="144" t="str">
        <f t="shared" si="36"/>
        <v/>
      </c>
      <c r="AC97" s="140"/>
      <c r="AD97" s="143"/>
      <c r="AE97" s="144" t="str">
        <f t="shared" si="37"/>
        <v/>
      </c>
      <c r="AF97" s="145">
        <f t="shared" si="38"/>
        <v>0</v>
      </c>
      <c r="AG97" s="143">
        <v>425</v>
      </c>
      <c r="AH97" s="144">
        <f t="shared" si="39"/>
        <v>2.1330094504865768E-2</v>
      </c>
      <c r="AI97" s="145">
        <f t="shared" si="40"/>
        <v>-425</v>
      </c>
      <c r="AJ97" s="440">
        <f t="shared" si="41"/>
        <v>0</v>
      </c>
      <c r="AK97" s="441">
        <f t="shared" si="42"/>
        <v>0</v>
      </c>
      <c r="AL97" s="442">
        <f t="shared" si="43"/>
        <v>0.46909492273730685</v>
      </c>
      <c r="AM97" s="443">
        <f t="shared" si="44"/>
        <v>0</v>
      </c>
      <c r="AN97" s="444">
        <f t="shared" si="45"/>
        <v>0</v>
      </c>
      <c r="AO97" s="11"/>
    </row>
    <row r="98" spans="1:41" x14ac:dyDescent="0.35">
      <c r="A98" s="65" t="s">
        <v>16</v>
      </c>
      <c r="B98" s="66" t="s">
        <v>78</v>
      </c>
      <c r="C98" s="11"/>
      <c r="D98" s="11"/>
      <c r="E98" s="11"/>
      <c r="F98" s="11"/>
      <c r="G98" s="11"/>
      <c r="H98" s="88" t="s">
        <v>79</v>
      </c>
      <c r="I98" s="136" t="str">
        <f>IF(_epmOfflineCondition_,"T3",_xll.EVPRO($B$1,$H98,"STYLE"))</f>
        <v>T3</v>
      </c>
      <c r="J98" s="136" t="str">
        <f>IF(_epmOfflineCondition_,"Y",_xll.EVPRO($B$1,$H98,"CALC"))</f>
        <v>Y</v>
      </c>
      <c r="K98" s="104"/>
      <c r="L98" s="104"/>
      <c r="M98" s="104"/>
      <c r="N98" s="106" t="str">
        <f>IF(_epmOfflineCondition_,"Total Operations Expense",IF(_xll.EVDES(H98,$B$1)="#NODATA","",_xll.EVDES(H98,$B$1)))</f>
        <v>Total Operations Expense</v>
      </c>
      <c r="O98" s="154"/>
      <c r="P98" s="154"/>
      <c r="Q98" s="154"/>
      <c r="R98" s="154"/>
      <c r="S98" s="154">
        <v>42.02</v>
      </c>
      <c r="T98" s="154"/>
      <c r="U98" s="154">
        <v>-41.41</v>
      </c>
      <c r="V98" s="154"/>
      <c r="W98" s="154">
        <v>75</v>
      </c>
      <c r="X98" s="154">
        <v>75</v>
      </c>
      <c r="Y98" s="154">
        <v>75</v>
      </c>
      <c r="Z98" s="154">
        <v>150</v>
      </c>
      <c r="AA98" s="154">
        <f t="shared" si="35"/>
        <v>375.61</v>
      </c>
      <c r="AB98" s="155">
        <f t="shared" si="36"/>
        <v>1.2173154954044E-2</v>
      </c>
      <c r="AC98" s="140"/>
      <c r="AD98" s="154"/>
      <c r="AE98" s="155" t="str">
        <f t="shared" si="37"/>
        <v/>
      </c>
      <c r="AF98" s="156">
        <f t="shared" si="38"/>
        <v>375.61</v>
      </c>
      <c r="AG98" s="154">
        <v>1394.43</v>
      </c>
      <c r="AH98" s="155">
        <f t="shared" si="39"/>
        <v>6.9984291012752886E-2</v>
      </c>
      <c r="AI98" s="156">
        <f t="shared" si="40"/>
        <v>-1018.82</v>
      </c>
      <c r="AJ98" s="477">
        <f t="shared" si="41"/>
        <v>0.46717661691542289</v>
      </c>
      <c r="AK98" s="478">
        <f t="shared" si="42"/>
        <v>0</v>
      </c>
      <c r="AL98" s="479">
        <f t="shared" si="43"/>
        <v>1.5391059602649007</v>
      </c>
      <c r="AM98" s="480">
        <f t="shared" si="44"/>
        <v>0</v>
      </c>
      <c r="AN98" s="555" t="str">
        <f t="shared" si="45"/>
        <v>-5.78 pts.</v>
      </c>
      <c r="AO98" s="11"/>
    </row>
    <row r="99" spans="1:41" x14ac:dyDescent="0.35">
      <c r="A99" s="65" t="s">
        <v>17</v>
      </c>
      <c r="B99" s="66"/>
      <c r="C99" s="11"/>
      <c r="D99" s="11"/>
      <c r="E99" s="11"/>
      <c r="F99" s="11"/>
      <c r="G99" s="11"/>
      <c r="H99" s="11"/>
      <c r="I99" s="59"/>
      <c r="J99" s="59"/>
      <c r="K99" s="11"/>
      <c r="L99" s="11"/>
      <c r="M99" s="11"/>
      <c r="N99" s="11"/>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1"/>
    </row>
    <row r="100" spans="1:41" x14ac:dyDescent="0.35">
      <c r="A100" s="11"/>
      <c r="B100" s="11"/>
      <c r="C100" s="11"/>
      <c r="D100" s="11"/>
      <c r="E100" s="11"/>
      <c r="F100" s="11"/>
      <c r="G100" s="11"/>
      <c r="H100" s="88" t="s">
        <v>80</v>
      </c>
      <c r="I100" s="136" t="str">
        <f>IF(_epmOfflineCondition_,"T3",_xll.EVPRO($B$1,$H100,"STYLE"))</f>
        <v>T3</v>
      </c>
      <c r="J100" s="136" t="str">
        <f>IF(_epmOfflineCondition_,"Y",_xll.EVPRO($B$1,$H100,"CALC"))</f>
        <v>Y</v>
      </c>
      <c r="K100" s="106"/>
      <c r="L100" s="106"/>
      <c r="M100" s="106"/>
      <c r="N100" s="106" t="str">
        <f>IF(_epmOfflineCondition_,"Total Expenses",IF(_xll.EVDES(H100,$B$1)="#NODATA","",_xll.EVDES(H100,$B$1)))</f>
        <v>Total Expenses</v>
      </c>
      <c r="O100" s="238">
        <v>-2.22044604925E-16</v>
      </c>
      <c r="P100" s="238"/>
      <c r="Q100" s="238"/>
      <c r="R100" s="238"/>
      <c r="S100" s="238">
        <v>42.02</v>
      </c>
      <c r="T100" s="238"/>
      <c r="U100" s="238">
        <v>-39.799999999999997</v>
      </c>
      <c r="V100" s="238"/>
      <c r="W100" s="238">
        <v>75</v>
      </c>
      <c r="X100" s="238">
        <v>75</v>
      </c>
      <c r="Y100" s="238">
        <v>75</v>
      </c>
      <c r="Z100" s="238">
        <v>4892.1000000000004</v>
      </c>
      <c r="AA100" s="238">
        <f>IF($I100="B1","",SUM(O100:Z100))</f>
        <v>5119.3200000000006</v>
      </c>
      <c r="AB100" s="239">
        <f>IF(AA100=0,"",IFERROR(AA100/AA$19,""))</f>
        <v>0.16591218449811382</v>
      </c>
      <c r="AC100" s="140"/>
      <c r="AD100" s="238"/>
      <c r="AE100" s="239" t="str">
        <f>IF(AD100=0,"",IFERROR(AD100/AD$19,""))</f>
        <v/>
      </c>
      <c r="AF100" s="254">
        <f>IF(AND($AA100="",AD100=""),"",$AA100-AD100)</f>
        <v>5119.3200000000006</v>
      </c>
      <c r="AG100" s="255">
        <v>8592.1200000000008</v>
      </c>
      <c r="AH100" s="256">
        <f>IF(AG100=0,"",IFERROR(AG100/AG$19,""))</f>
        <v>0.43122525081681717</v>
      </c>
      <c r="AI100" s="254">
        <f>IF(AND($AA100="",AG100=""),"",$AA100-AG100)</f>
        <v>-3472.8</v>
      </c>
      <c r="AJ100" s="466">
        <f>IFERROR(AA100/AA$20,0)</f>
        <v>6.3673134328358216</v>
      </c>
      <c r="AK100" s="467">
        <f>IFERROR(AD100/AD$20,0)</f>
        <v>0</v>
      </c>
      <c r="AL100" s="468">
        <f>IFERROR(AG100/AG$20,0)</f>
        <v>9.483576158940398</v>
      </c>
      <c r="AM100" s="469">
        <f>+IFERROR(ROUND(($AB100-AE100)*100,2)&amp;" pts.",0)</f>
        <v>0</v>
      </c>
      <c r="AN100" s="556" t="str">
        <f>+IFERROR(ROUND(($AB100-AH100)*100,2)&amp;" pts.",0)</f>
        <v>-26.53 pts.</v>
      </c>
      <c r="AO100" s="11"/>
    </row>
    <row r="101" spans="1:41" ht="15" thickBot="1" x14ac:dyDescent="0.4">
      <c r="A101" s="97" t="s">
        <v>92</v>
      </c>
      <c r="B101" s="98" t="s">
        <v>93</v>
      </c>
      <c r="C101" s="98" t="s">
        <v>94</v>
      </c>
      <c r="D101" s="98" t="s">
        <v>95</v>
      </c>
      <c r="E101" s="98" t="s">
        <v>96</v>
      </c>
      <c r="F101" s="99" t="s">
        <v>97</v>
      </c>
      <c r="G101" s="11"/>
      <c r="H101" s="88" t="s">
        <v>81</v>
      </c>
      <c r="I101" s="136" t="str">
        <f>IF(_epmOfflineCondition_,"T3",_xll.EVPRO($B$1,$H101,"STYLE"))</f>
        <v>T3</v>
      </c>
      <c r="J101" s="136" t="str">
        <f>IF(_epmOfflineCondition_,"Y",_xll.EVPRO($B$1,$H101,"CALC"))</f>
        <v>Y</v>
      </c>
      <c r="K101" s="106"/>
      <c r="L101" s="106"/>
      <c r="M101" s="106"/>
      <c r="N101" s="106" t="str">
        <f>IF(_epmOfflineCondition_,"Department Profit (Loss)",IF(_xll.EVDES(H101,$B$1)="#NODATA","",_xll.EVDES(H101,$B$1)))</f>
        <v>Department Profit (Loss)</v>
      </c>
      <c r="O101" s="169">
        <v>2.22044604925E-16</v>
      </c>
      <c r="P101" s="169">
        <v>-8</v>
      </c>
      <c r="Q101" s="169"/>
      <c r="R101" s="169"/>
      <c r="S101" s="169">
        <v>-42.02</v>
      </c>
      <c r="T101" s="169"/>
      <c r="U101" s="169">
        <v>47.8</v>
      </c>
      <c r="V101" s="169"/>
      <c r="W101" s="169">
        <v>-75</v>
      </c>
      <c r="X101" s="169">
        <v>-75</v>
      </c>
      <c r="Y101" s="169">
        <v>-75</v>
      </c>
      <c r="Z101" s="169">
        <v>20069.900000000001</v>
      </c>
      <c r="AA101" s="169">
        <f>IF($I101="B1","",SUM(O101:Z101))</f>
        <v>19842.68</v>
      </c>
      <c r="AB101" s="170">
        <f>IF(AA101=0,"",IFERROR(AA101/AA$19,""))</f>
        <v>0.64308196891326053</v>
      </c>
      <c r="AC101" s="140"/>
      <c r="AD101" s="169"/>
      <c r="AE101" s="170" t="str">
        <f>IF(AD101=0,"",IFERROR(AD101/AD$19,""))</f>
        <v/>
      </c>
      <c r="AF101" s="171">
        <f>IF(AND($AA101="",AD101=""),"",$AA101-AD101)</f>
        <v>19842.68</v>
      </c>
      <c r="AG101" s="169">
        <v>7497.28</v>
      </c>
      <c r="AH101" s="170">
        <f>IF(AG101=0,"",IFERROR(AG101/AG$19,""))</f>
        <v>0.37627691983397654</v>
      </c>
      <c r="AI101" s="171">
        <f>IF(AND($AA101="",AG101=""),"",$AA101-AG101)</f>
        <v>12345.400000000001</v>
      </c>
      <c r="AJ101" s="483">
        <f>IFERROR(AA101/AA$20,0)</f>
        <v>24.679950248756221</v>
      </c>
      <c r="AK101" s="484">
        <f>IFERROR(AD101/AD$20,0)</f>
        <v>0</v>
      </c>
      <c r="AL101" s="485">
        <f>IFERROR(AG101/AG$20,0)</f>
        <v>8.2751434878587187</v>
      </c>
      <c r="AM101" s="486">
        <f>+IFERROR(ROUND(($AB101-AE101)*100,2)&amp;" pts.",0)</f>
        <v>0</v>
      </c>
      <c r="AN101" s="557" t="str">
        <f>+IFERROR(ROUND(($AB101-AH101)*100,2)&amp;" pts.",0)</f>
        <v>26.68 pts.</v>
      </c>
      <c r="AO101" s="11"/>
    </row>
    <row r="102" spans="1:41" ht="15" thickTop="1"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11"/>
      <c r="I103" s="59"/>
      <c r="J103" s="59"/>
      <c r="K103" s="11"/>
      <c r="L103" s="11"/>
      <c r="M103" s="11"/>
      <c r="N103" s="104" t="str">
        <f>N100&amp;" - Check"</f>
        <v>Total Expenses - Check</v>
      </c>
      <c r="O103" s="209">
        <f t="shared" ref="O103:AA103" si="46">SUMIF($H$35:$H$101,"600000",O$35:O$101)+SUMIF($H$35:$H$101,"700000",O$35:O$101)-SUMIF($H$35:$H$101,"TOTDEPTEXP",O$35:O$101)</f>
        <v>0</v>
      </c>
      <c r="P103" s="209">
        <f t="shared" si="46"/>
        <v>0</v>
      </c>
      <c r="Q103" s="209">
        <f t="shared" si="46"/>
        <v>0</v>
      </c>
      <c r="R103" s="209">
        <f t="shared" si="46"/>
        <v>0</v>
      </c>
      <c r="S103" s="209">
        <f t="shared" si="46"/>
        <v>0</v>
      </c>
      <c r="T103" s="209">
        <f t="shared" si="46"/>
        <v>0</v>
      </c>
      <c r="U103" s="209">
        <f t="shared" si="46"/>
        <v>0</v>
      </c>
      <c r="V103" s="209">
        <f t="shared" si="46"/>
        <v>0</v>
      </c>
      <c r="W103" s="209">
        <f t="shared" si="46"/>
        <v>0</v>
      </c>
      <c r="X103" s="209">
        <f t="shared" si="46"/>
        <v>0</v>
      </c>
      <c r="Y103" s="209">
        <f t="shared" si="46"/>
        <v>0</v>
      </c>
      <c r="Z103" s="209">
        <f t="shared" si="46"/>
        <v>0</v>
      </c>
      <c r="AA103" s="209">
        <f t="shared" si="46"/>
        <v>0</v>
      </c>
      <c r="AB103" s="100"/>
      <c r="AC103" s="11"/>
      <c r="AD103" s="209">
        <f>SUMIF($H$35:$H$101,"600000",AD$35:AD$101)+SUMIF($H$35:$H$101,"700000",AD$35:AD$101)-SUMIF($H$35:$H$101,"TOTDEPTEXP",AD$35:AD$101)</f>
        <v>0</v>
      </c>
      <c r="AE103" s="100"/>
      <c r="AF103" s="91"/>
      <c r="AG103" s="209">
        <f>SUMIF($H$35:$H$101,"600000",AG$35:AG$101)+SUMIF($H$35:$H$101,"700000",AG$35:AG$101)-SUMIF($H$35:$H$101,"TOTDEPTEXP",AG$35:AG$101)</f>
        <v>0</v>
      </c>
      <c r="AH103" s="100"/>
      <c r="AI103" s="91"/>
      <c r="AJ103" s="11"/>
      <c r="AK103" s="11"/>
      <c r="AL103" s="11"/>
      <c r="AM103" s="11"/>
      <c r="AN103" s="11"/>
      <c r="AO103" s="11"/>
    </row>
    <row r="104" spans="1:41" x14ac:dyDescent="0.35">
      <c r="A104" s="11" t="s">
        <v>100</v>
      </c>
      <c r="B104" s="11"/>
      <c r="C104" s="53" t="s">
        <v>101</v>
      </c>
      <c r="D104" s="11" t="s">
        <v>106</v>
      </c>
      <c r="E104" s="11"/>
      <c r="F104" s="11" t="s">
        <v>98</v>
      </c>
      <c r="G104" s="11"/>
      <c r="H104" s="11"/>
      <c r="I104" s="59"/>
      <c r="J104" s="59"/>
      <c r="K104" s="11"/>
      <c r="L104" s="11"/>
      <c r="M104" s="11"/>
      <c r="N104" s="104" t="str">
        <f>N101&amp;" - Check"</f>
        <v>Department Profit (Loss) - Check</v>
      </c>
      <c r="O104" s="209">
        <f t="shared" ref="O104:AA104" si="47">SUMIF($H$35:$H$101,"KPI_GP",O$35:O$101)-SUMIF($H$35:$H$101,"TOTDEPTEXP",O$35:O$101)-SUMIF($H$35:$H$101,"TOTDEPTPL",O$35:O$101)</f>
        <v>0</v>
      </c>
      <c r="P104" s="209">
        <f t="shared" si="47"/>
        <v>0</v>
      </c>
      <c r="Q104" s="209">
        <f t="shared" si="47"/>
        <v>0</v>
      </c>
      <c r="R104" s="209">
        <f t="shared" si="47"/>
        <v>0</v>
      </c>
      <c r="S104" s="209">
        <f t="shared" si="47"/>
        <v>0</v>
      </c>
      <c r="T104" s="209">
        <f t="shared" si="47"/>
        <v>0</v>
      </c>
      <c r="U104" s="209">
        <f t="shared" si="47"/>
        <v>0</v>
      </c>
      <c r="V104" s="209">
        <f t="shared" si="47"/>
        <v>0</v>
      </c>
      <c r="W104" s="209">
        <f t="shared" si="47"/>
        <v>0</v>
      </c>
      <c r="X104" s="209">
        <f t="shared" si="47"/>
        <v>0</v>
      </c>
      <c r="Y104" s="209">
        <f t="shared" si="47"/>
        <v>0</v>
      </c>
      <c r="Z104" s="209">
        <f t="shared" si="47"/>
        <v>0</v>
      </c>
      <c r="AA104" s="209">
        <f t="shared" si="47"/>
        <v>0</v>
      </c>
      <c r="AB104" s="100"/>
      <c r="AC104" s="11"/>
      <c r="AD104" s="209">
        <f>SUMIF($H$35:$H$101,"KPI_GP",AD$35:AD$101)-SUMIF($H$35:$H$101,"TOTDEPTEXP",AD$35:AD$101)-SUMIF($H$35:$H$101,"TOTDEPTPL",AD$35:AD$101)</f>
        <v>0</v>
      </c>
      <c r="AE104" s="100"/>
      <c r="AF104" s="91"/>
      <c r="AG104" s="209">
        <f>SUMIF($H$35:$H$101,"KPI_GP",AG$35:AG$101)-SUMIF($H$35:$H$101,"TOTDEPTEXP",AG$35:AG$101)-SUMIF($H$35:$H$101,"TOTDEPTPL",AG$35:AG$101)</f>
        <v>0</v>
      </c>
      <c r="AH104" s="100"/>
      <c r="AI104" s="91"/>
      <c r="AJ104" s="11"/>
      <c r="AK104" s="11"/>
      <c r="AL104" s="11"/>
      <c r="AM104" s="11"/>
      <c r="AN104" s="11"/>
      <c r="AO104" s="11"/>
    </row>
    <row r="105" spans="1:41" x14ac:dyDescent="0.3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11"/>
      <c r="I106" s="59"/>
      <c r="J106" s="59"/>
      <c r="K106" s="11"/>
      <c r="L106" s="11"/>
      <c r="M106" s="11"/>
      <c r="N106" s="11"/>
      <c r="O106" s="137"/>
      <c r="P106" s="137"/>
      <c r="Q106" s="137"/>
      <c r="R106" s="137"/>
      <c r="S106" s="137"/>
      <c r="T106" s="137"/>
      <c r="U106" s="137"/>
      <c r="V106" s="137"/>
      <c r="W106" s="137"/>
      <c r="X106" s="137"/>
      <c r="Y106" s="137"/>
      <c r="Z106" s="137"/>
      <c r="AA106" s="137"/>
      <c r="AB106" s="11"/>
      <c r="AC106" s="11"/>
      <c r="AD106" s="137"/>
      <c r="AE106" s="11"/>
      <c r="AF106" s="11"/>
      <c r="AG106" s="137"/>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11"/>
      <c r="I108" s="59"/>
      <c r="J108" s="59"/>
      <c r="K108" s="11"/>
      <c r="L108" s="11"/>
      <c r="M108" s="11"/>
      <c r="N108" s="11"/>
      <c r="O108" s="137"/>
      <c r="P108" s="137"/>
      <c r="Q108" s="137"/>
      <c r="R108" s="137"/>
      <c r="S108" s="137"/>
      <c r="T108" s="137"/>
      <c r="U108" s="137"/>
      <c r="V108" s="137"/>
      <c r="W108" s="137"/>
      <c r="X108" s="137"/>
      <c r="Y108" s="137"/>
      <c r="Z108" s="137"/>
      <c r="AA108" s="137"/>
      <c r="AB108" s="11"/>
      <c r="AC108" s="11"/>
      <c r="AD108" s="137"/>
      <c r="AE108" s="11"/>
      <c r="AF108" s="11"/>
      <c r="AG108" s="137"/>
      <c r="AH108" s="11"/>
      <c r="AI108" s="11"/>
      <c r="AJ108" s="11"/>
      <c r="AK108" s="11"/>
      <c r="AL108" s="11"/>
      <c r="AM108" s="11"/>
      <c r="AN108" s="11"/>
      <c r="AO108" s="11"/>
    </row>
    <row r="109" spans="1:41" x14ac:dyDescent="0.3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IF(_epmOfflineCondition_,"'Venue2'!$B$2:$B$10",_xll.EVRNG($B$2:$B$10))</f>
        <v>'Venue2'!$B$2:$B$10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IF(_epmOfflineCondition_,"'Venue2'!$O$16:$AN$18",_xll.EVRNG($O$16:$AN$18))</f>
        <v>'Venue2'!$O$16:$AN$18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IF(_epmOfflineCondition_,"'Venue2'!$H$98:$H$101",_xll.EVRNG(H98:H101))</f>
        <v>'Venue2'!$H$98:$H$101</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IF(_epmOfflineCondition_,"'Venue2'!$A$125:$B$146",_xll.EVRNG($A$125:$B$146))</f>
        <v>'Venue2'!$A$125:$B$146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267"/>
      <c r="J174" s="11"/>
      <c r="K174" s="267"/>
      <c r="L174" s="267"/>
      <c r="M174" s="267"/>
      <c r="N174" s="11"/>
      <c r="O174" s="267"/>
      <c r="P174" s="267"/>
      <c r="Q174" s="267"/>
      <c r="R174" s="267"/>
      <c r="S174" s="267"/>
      <c r="T174" s="267"/>
      <c r="U174" s="267"/>
      <c r="V174" s="267"/>
      <c r="W174" s="267"/>
      <c r="X174" s="267"/>
      <c r="Y174" s="267"/>
      <c r="Z174" s="267"/>
      <c r="AA174" s="267"/>
      <c r="AB174" s="11"/>
      <c r="AC174" s="11"/>
      <c r="AD174" s="267"/>
      <c r="AE174" s="11"/>
      <c r="AF174" s="267"/>
      <c r="AG174" s="11"/>
      <c r="AH174" s="267"/>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267"/>
      <c r="J178" s="11"/>
      <c r="K178" s="267"/>
      <c r="L178" s="267"/>
      <c r="M178" s="267"/>
      <c r="N178" s="11"/>
      <c r="O178" s="267"/>
      <c r="P178" s="267"/>
      <c r="Q178" s="267"/>
      <c r="R178" s="267"/>
      <c r="S178" s="267"/>
      <c r="T178" s="267"/>
      <c r="U178" s="267"/>
      <c r="V178" s="267"/>
      <c r="W178" s="267"/>
      <c r="X178" s="267"/>
      <c r="Y178" s="267"/>
      <c r="Z178" s="267"/>
      <c r="AA178" s="267"/>
      <c r="AB178" s="11"/>
      <c r="AC178" s="11"/>
      <c r="AD178" s="267"/>
      <c r="AE178" s="11"/>
      <c r="AF178" s="267"/>
      <c r="AG178" s="11"/>
      <c r="AH178" s="267"/>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hWLLut8gu37CzSqtkIfInMyUIY7pX9WtYSE7HYx+EZmWxsBi4R1aRN1AuoIY+aPghZPzcMaS2vCLi5duje64hQ==" saltValue="2Fz0II2eGASuMuQqqjzAew==" spinCount="100000" sheet="1" scenarios="1"/>
  <mergeCells count="2">
    <mergeCell ref="AD31:AE31"/>
    <mergeCell ref="AG31:AH31"/>
  </mergeCells>
  <dataValidations count="2">
    <dataValidation type="list" allowBlank="1" sqref="B29 B95 B62" xr:uid="{00000000-0002-0000-0900-000000000000}">
      <formula1>"SELF,ALL,BAS,DEP,BASMEMBERS,MEMBERS,NOEXPAND,GDEP"</formula1>
    </dataValidation>
    <dataValidation type="list" allowBlank="1" sqref="B28 B94 B61" xr:uid="{00000000-0002-0000-09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Venue2!N1</f>
        <v>Pool Bar</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726</v>
      </c>
      <c r="C6" s="11" t="str">
        <f>IF(_epmOfflineCondition_,"Venue 2",_xll.EVDES(B6,$B$1))</f>
        <v>Venue 2</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IF(_epmOfflineCondition_,"'Venue2_KPI'!$B$2:$B$10",_xll.EVRNG($B$2:$B$10))</f>
        <v>'Venue2_KPI'!$B$2:$B$10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IF(_epmOfflineCondition_,"'Venue2_KPI'!$O$16:$AI$18",_xll.EVRNG(O16:AI18))</f>
        <v>'Venue2_KPI'!$O$16:$AI$18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IF(_epmOfflineCondition_,"'Venue2_KPI'!$H$35:$H$146",_xll.EVRNG(H35:H146))</f>
        <v>'Venue2_KPI'!$H$35:$H$146</v>
      </c>
      <c r="C19" s="11"/>
      <c r="D19" s="11"/>
      <c r="E19" s="11"/>
      <c r="F19" s="11"/>
      <c r="G19" s="67" t="str">
        <f>$B$6</f>
        <v>D2141</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IF(_epmOfflineCondition_,26096.5,_xll.EVGTS($B$1,1,$B$3,$B$5,$B$7,$B$9,Z$16,Z$17,Z$18,$G$19,$H$19))</f>
        <v>26096.5</v>
      </c>
      <c r="AA19" s="69">
        <f>SUM(O19:Z19)</f>
        <v>26096.5</v>
      </c>
      <c r="AB19" s="67"/>
      <c r="AC19" s="67"/>
      <c r="AD19" s="69">
        <f>IF(_epmOfflineCondition_,0,_xll.EVGTS($B$1,1,$B$3,$B$5,$B$7,$B$9,AD$16,AD$17,AD$18,$G$19,$H$19))</f>
        <v>0</v>
      </c>
      <c r="AE19" s="67"/>
      <c r="AF19" s="67"/>
      <c r="AG19" s="69">
        <f>IF(_epmOfflineCondition_,16861.75,_xll.EVGTS($B$1,1,$B$3,$B$5,$B$7,$B$9,AG$16,AG$17,AG$18,$G$19,$H$19))</f>
        <v>16861.75</v>
      </c>
      <c r="AH19" s="67"/>
      <c r="AI19" s="67"/>
    </row>
    <row r="20" spans="1:35" hidden="1" outlineLevel="1" x14ac:dyDescent="0.35">
      <c r="A20" s="65" t="s">
        <v>5</v>
      </c>
      <c r="B20" s="66"/>
      <c r="C20" s="11"/>
      <c r="D20" s="11"/>
      <c r="E20" s="11"/>
      <c r="F20" s="11"/>
      <c r="G20" s="67" t="str">
        <f>$B$6</f>
        <v>D2141</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IF(_epmOfflineCondition_,804,_xll.EVGTS($B$1,1,$B$3,$B$5,$B$7,$B$9,Z$16,Z$17,Z$18,$G$20,$H$20))</f>
        <v>804</v>
      </c>
      <c r="AA20" s="69">
        <f>SUM(O20:Z20)</f>
        <v>804</v>
      </c>
      <c r="AB20" s="67"/>
      <c r="AC20" s="67"/>
      <c r="AD20" s="69">
        <f>IF(_epmOfflineCondition_,0,_xll.EVGTS($B$1,1,$B$3,$B$5,$B$7,$B$9,AD$16,AD$17,AD$18,$G$20,$H$20))</f>
        <v>0</v>
      </c>
      <c r="AE20" s="67"/>
      <c r="AF20" s="67"/>
      <c r="AG20" s="69">
        <f>IF(_epmOfflineCondition_,906,_xll.EVGTS($B$1,1,$B$3,$B$5,$B$7,$B$9,AG$16,AG$17,AG$18,$G$20,$H$20))</f>
        <v>906</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IF(_epmOfflineCondition_,"'Venue2_KPI'!$A$37:$B$58",_xll.EVRNG($A$37:$B$58))</f>
        <v>'Venue2_KPI'!$A$37:$B$58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IF(_epmOfflineCondition_,"Pool Bar",IF($N$1="",IF(_xll.EVDES(B6,$B$1)="#NODATA","",_xll.EVDES(B6,$B$1)&amp;" Department"),$N$1))</f>
        <v>Pool Bar</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v>9362.5</v>
      </c>
      <c r="AA45" s="143">
        <f t="shared" ref="AA45:AA51" si="5">SUM(O45:Z45)</f>
        <v>9362.5</v>
      </c>
      <c r="AB45" s="144">
        <f>IF(AA45=0,"",IFERROR(AA45/AA$19,""))</f>
        <v>0.35876458528921501</v>
      </c>
      <c r="AC45" s="140"/>
      <c r="AD45" s="143"/>
      <c r="AE45" s="144" t="str">
        <f>IF(AD45=0,"",IFERROR(AD45/AD$19,""))</f>
        <v/>
      </c>
      <c r="AF45" s="145">
        <f t="shared" ref="AF45:AF52" si="6">IF(AND($AA45="",AD45=""),"",$AA45-AD45)</f>
        <v>9362.5</v>
      </c>
      <c r="AG45" s="143">
        <v>6371.7</v>
      </c>
      <c r="AH45" s="144">
        <f>IF(AG45=0,"",IFERROR(AG45/AG$19,""))</f>
        <v>0.37787892715762006</v>
      </c>
      <c r="AI45" s="145">
        <f t="shared" ref="AI45:AI52" si="7">IF(AND($AA45="",AG45=""),"",$AA45-AG45)</f>
        <v>2990.8</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v>12511</v>
      </c>
      <c r="AA46" s="143">
        <f t="shared" si="5"/>
        <v>12511</v>
      </c>
      <c r="AB46" s="144">
        <f>IF(AA46=0,"",IFERROR(AA46/AA$19,""))</f>
        <v>0.47941294809648805</v>
      </c>
      <c r="AC46" s="140"/>
      <c r="AD46" s="143"/>
      <c r="AE46" s="144" t="str">
        <f>IF(AD46=0,"",IFERROR(AD46/AD$19,""))</f>
        <v/>
      </c>
      <c r="AF46" s="145">
        <f t="shared" si="6"/>
        <v>12511</v>
      </c>
      <c r="AG46" s="143">
        <v>6933</v>
      </c>
      <c r="AH46" s="144">
        <f>IF(AG46=0,"",IFERROR(AG46/AG$19,""))</f>
        <v>0.41116728690675641</v>
      </c>
      <c r="AI46" s="145">
        <f t="shared" si="7"/>
        <v>5578</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v>1837</v>
      </c>
      <c r="AA47" s="143">
        <f t="shared" si="5"/>
        <v>1837</v>
      </c>
      <c r="AB47" s="144">
        <f>IF(AA47=0,"",IFERROR(AA47/AA$19,""))</f>
        <v>7.0392581380644914E-2</v>
      </c>
      <c r="AC47" s="140"/>
      <c r="AD47" s="143"/>
      <c r="AE47" s="144" t="str">
        <f>IF(AD47=0,"",IFERROR(AD47/AD$19,""))</f>
        <v/>
      </c>
      <c r="AF47" s="145">
        <f t="shared" si="6"/>
        <v>1837</v>
      </c>
      <c r="AG47" s="143">
        <v>2120.1999999999998</v>
      </c>
      <c r="AH47" s="144">
        <f>IF(AG47=0,"",IFERROR(AG47/AG$19,""))</f>
        <v>0.12574021083220899</v>
      </c>
      <c r="AI47" s="145">
        <f t="shared" si="7"/>
        <v>-283.19999999999982</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v>2386</v>
      </c>
      <c r="AA48" s="217">
        <f t="shared" si="5"/>
        <v>2386</v>
      </c>
      <c r="AB48" s="219">
        <f>IF(AA48=0,"",IFERROR(AA48/AA$19,""))</f>
        <v>9.1429885233652017E-2</v>
      </c>
      <c r="AC48" s="140"/>
      <c r="AD48" s="217"/>
      <c r="AE48" s="219" t="str">
        <f>IF(AD48=0,"",IFERROR(AD48/AD$19,""))</f>
        <v/>
      </c>
      <c r="AF48" s="220">
        <f t="shared" si="6"/>
        <v>2386</v>
      </c>
      <c r="AG48" s="217">
        <v>1548.2</v>
      </c>
      <c r="AH48" s="219">
        <f>IF(AG48=0,"",IFERROR(AG48/AG$19,""))</f>
        <v>9.1817278752205439E-2</v>
      </c>
      <c r="AI48" s="220">
        <f t="shared" si="7"/>
        <v>837.8</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v>26096.5</v>
      </c>
      <c r="AA49" s="166">
        <f t="shared" si="5"/>
        <v>26096.5</v>
      </c>
      <c r="AB49" s="167">
        <f>IF(AA49=0,"",IFERROR(AA49/AA$19,""))</f>
        <v>1</v>
      </c>
      <c r="AC49" s="140"/>
      <c r="AD49" s="166"/>
      <c r="AE49" s="167" t="str">
        <f>IF(AD49=0,"",IFERROR(AD49/AD$19,""))</f>
        <v/>
      </c>
      <c r="AF49" s="168">
        <f t="shared" si="6"/>
        <v>26096.5</v>
      </c>
      <c r="AG49" s="166">
        <v>16973.099999999999</v>
      </c>
      <c r="AH49" s="167">
        <f>IF(AG49=0,"",IFERROR(AG49/AG$19,""))</f>
        <v>1.0066037036487909</v>
      </c>
      <c r="AI49" s="168">
        <f t="shared" si="7"/>
        <v>9123.4000000000015</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v>23</v>
      </c>
      <c r="AA50" s="210">
        <f t="shared" si="5"/>
        <v>23</v>
      </c>
      <c r="AB50" s="211"/>
      <c r="AC50" s="140"/>
      <c r="AD50" s="210"/>
      <c r="AE50" s="211"/>
      <c r="AF50" s="253">
        <f t="shared" si="6"/>
        <v>23</v>
      </c>
      <c r="AG50" s="210">
        <v>55</v>
      </c>
      <c r="AH50" s="211"/>
      <c r="AI50" s="253">
        <f t="shared" si="7"/>
        <v>-32</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v>804</v>
      </c>
      <c r="AA51" s="210">
        <f t="shared" si="5"/>
        <v>804</v>
      </c>
      <c r="AB51" s="211">
        <f>IF(AA51=0,"",IFERROR(AA51/AA$87,""))</f>
        <v>1</v>
      </c>
      <c r="AC51" s="140"/>
      <c r="AD51" s="210"/>
      <c r="AE51" s="211" t="str">
        <f>IF(AD51=0,"",IFERROR(AD51/AD$87,""))</f>
        <v/>
      </c>
      <c r="AF51" s="253">
        <f t="shared" si="6"/>
        <v>804</v>
      </c>
      <c r="AG51" s="210">
        <v>906</v>
      </c>
      <c r="AH51" s="211">
        <f>IF(AG51=0,"",IFERROR(AG51/AG$87,""))</f>
        <v>1</v>
      </c>
      <c r="AI51" s="253">
        <f t="shared" si="7"/>
        <v>-102</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v>32.4583333333333</v>
      </c>
      <c r="AA52" s="495">
        <f>IFERROR(AA49/AA51,"")</f>
        <v>32.458333333333336</v>
      </c>
      <c r="AB52" s="495"/>
      <c r="AC52" s="140"/>
      <c r="AD52" s="495"/>
      <c r="AE52" s="495"/>
      <c r="AF52" s="496">
        <f t="shared" si="6"/>
        <v>32.458333333333336</v>
      </c>
      <c r="AG52" s="495">
        <v>18.734105960264898</v>
      </c>
      <c r="AH52" s="495"/>
      <c r="AI52" s="496">
        <f t="shared" si="7"/>
        <v>13.724227373068437</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32.46</v>
      </c>
      <c r="AA53" s="498">
        <f t="shared" si="8"/>
        <v>32.46</v>
      </c>
      <c r="AB53" s="499"/>
      <c r="AC53" s="140"/>
      <c r="AD53" s="497">
        <f>ROUND(IFERROR(AD49/AD51,0),2)</f>
        <v>0</v>
      </c>
      <c r="AE53" s="498"/>
      <c r="AF53" s="159"/>
      <c r="AG53" s="497">
        <f>ROUND(IFERROR(AG49/AG51,0),2)</f>
        <v>18.73</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v>-111.35</v>
      </c>
      <c r="AH83" s="144">
        <f>IF(AG83=0,"",IFERROR(AG83/AG$19,""))</f>
        <v>-6.6037036487909019E-3</v>
      </c>
      <c r="AI83" s="145">
        <f>IF(AND($AA83="",AG83=""),"",$AA83-AG83)</f>
        <v>111.35</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v>26096.5</v>
      </c>
      <c r="AA85" s="507">
        <f>SUM(O85:Z85)</f>
        <v>26096.5</v>
      </c>
      <c r="AB85" s="508">
        <f>IF(AA85=0,"",IFERROR(AA85/AA$19,""))</f>
        <v>1</v>
      </c>
      <c r="AC85" s="140"/>
      <c r="AD85" s="507"/>
      <c r="AE85" s="508" t="str">
        <f>IF(AD85=0,"",IFERROR(AD85/AD$19,""))</f>
        <v/>
      </c>
      <c r="AF85" s="509">
        <f>IF(AND($AA85="",AD85=""),"",$AA85-AD85)</f>
        <v>26096.5</v>
      </c>
      <c r="AG85" s="507">
        <v>16861.75</v>
      </c>
      <c r="AH85" s="508">
        <f>IF(AG85=0,"",IFERROR(AG85/AG$19,""))</f>
        <v>1</v>
      </c>
      <c r="AI85" s="509">
        <f>IF(AND($AA85="",AG85=""),"",$AA85-AG85)</f>
        <v>9234.75</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v>804</v>
      </c>
      <c r="AA87" s="507">
        <f>SUM(O87:Z87)</f>
        <v>804</v>
      </c>
      <c r="AB87" s="508">
        <f>IF(AA87=0,"",IFERROR(AA87/AA$20,""))</f>
        <v>1</v>
      </c>
      <c r="AC87" s="140"/>
      <c r="AD87" s="507"/>
      <c r="AE87" s="508" t="str">
        <f>IF(AD87=0,"",IFERROR(AD87/AD$20,""))</f>
        <v/>
      </c>
      <c r="AF87" s="509">
        <f>IF(AND($AA87="",AD87=""),"",$AA87-AD87)</f>
        <v>804</v>
      </c>
      <c r="AG87" s="507">
        <v>906</v>
      </c>
      <c r="AH87" s="508">
        <f>IF(AG87=0,"",IFERROR(AG87/AG$20,""))</f>
        <v>1</v>
      </c>
      <c r="AI87" s="509">
        <f>IF(AND($AA87="",AG87=""),"",$AA87-AG87)</f>
        <v>-102</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v>32.4583333333333</v>
      </c>
      <c r="AA88" s="495">
        <f>IFERROR(AA85/AA87,"")</f>
        <v>32.458333333333336</v>
      </c>
      <c r="AB88" s="495"/>
      <c r="AC88" s="140"/>
      <c r="AD88" s="495"/>
      <c r="AE88" s="495"/>
      <c r="AF88" s="496">
        <f>IF(AND($AA88="",AD88=""),"",$AA88-AD88)</f>
        <v>32.458333333333336</v>
      </c>
      <c r="AG88" s="495">
        <v>18.611203090507701</v>
      </c>
      <c r="AH88" s="495"/>
      <c r="AI88" s="496">
        <f>IF(AND($AA88="",AG88=""),"",$AA88-AG88)</f>
        <v>13.847130242825635</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v>279.55</v>
      </c>
      <c r="AH92" s="144"/>
      <c r="AI92" s="145">
        <f>IF(AND($AA92="",AG92=""),"",$AA92-AG92)</f>
        <v>-279.55</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f>IFERROR(AG$87/AG92,"")</f>
        <v>3.240922911822572</v>
      </c>
      <c r="AH94" s="511"/>
      <c r="AI94" s="214" t="e">
        <f>IF(AND($AA94="",AG94=""),"",$AA94-AG94)</f>
        <v>#VALUE!</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v>12511</v>
      </c>
      <c r="AA99" s="143">
        <f t="shared" si="27"/>
        <v>12511</v>
      </c>
      <c r="AB99" s="144">
        <f t="shared" si="28"/>
        <v>0.47941294809648805</v>
      </c>
      <c r="AC99" s="140"/>
      <c r="AD99" s="143"/>
      <c r="AE99" s="144" t="str">
        <f t="shared" si="29"/>
        <v/>
      </c>
      <c r="AF99" s="145">
        <f t="shared" si="30"/>
        <v>12511</v>
      </c>
      <c r="AG99" s="143">
        <v>6933</v>
      </c>
      <c r="AH99" s="144">
        <f t="shared" si="31"/>
        <v>0.41116728690675641</v>
      </c>
      <c r="AI99" s="145">
        <f t="shared" si="32"/>
        <v>5578</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v>12511</v>
      </c>
      <c r="AA103" s="166">
        <f t="shared" si="27"/>
        <v>12511</v>
      </c>
      <c r="AB103" s="167">
        <f t="shared" si="28"/>
        <v>0.47941294809648805</v>
      </c>
      <c r="AC103" s="140"/>
      <c r="AD103" s="166"/>
      <c r="AE103" s="167" t="str">
        <f t="shared" si="29"/>
        <v/>
      </c>
      <c r="AF103" s="168">
        <f t="shared" si="30"/>
        <v>12511</v>
      </c>
      <c r="AG103" s="166">
        <v>6933</v>
      </c>
      <c r="AH103" s="167">
        <f t="shared" si="31"/>
        <v>0.41116728690675641</v>
      </c>
      <c r="AI103" s="168">
        <f t="shared" si="32"/>
        <v>5578</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v>1837</v>
      </c>
      <c r="AA107" s="143">
        <f t="shared" si="33"/>
        <v>1837</v>
      </c>
      <c r="AB107" s="144">
        <f t="shared" si="34"/>
        <v>7.0392581380644914E-2</v>
      </c>
      <c r="AC107" s="140"/>
      <c r="AD107" s="143"/>
      <c r="AE107" s="144" t="str">
        <f t="shared" si="35"/>
        <v/>
      </c>
      <c r="AF107" s="145">
        <f t="shared" si="36"/>
        <v>1837</v>
      </c>
      <c r="AG107" s="143">
        <v>2120.1999999999998</v>
      </c>
      <c r="AH107" s="144">
        <f t="shared" si="37"/>
        <v>0.12574021083220899</v>
      </c>
      <c r="AI107" s="145">
        <f t="shared" si="38"/>
        <v>-283.19999999999982</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v>1837</v>
      </c>
      <c r="AA111" s="166">
        <f t="shared" si="33"/>
        <v>1837</v>
      </c>
      <c r="AB111" s="167">
        <f t="shared" si="34"/>
        <v>7.0392581380644914E-2</v>
      </c>
      <c r="AC111" s="140"/>
      <c r="AD111" s="166"/>
      <c r="AE111" s="167" t="str">
        <f t="shared" si="35"/>
        <v/>
      </c>
      <c r="AF111" s="168">
        <f t="shared" si="36"/>
        <v>1837</v>
      </c>
      <c r="AG111" s="166">
        <v>2120.1999999999998</v>
      </c>
      <c r="AH111" s="167">
        <f t="shared" si="37"/>
        <v>0.12574021083220899</v>
      </c>
      <c r="AI111" s="168">
        <f t="shared" si="38"/>
        <v>-283.19999999999982</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v>2386</v>
      </c>
      <c r="AA115" s="143">
        <f t="shared" si="39"/>
        <v>2386</v>
      </c>
      <c r="AB115" s="144">
        <f t="shared" si="40"/>
        <v>9.1429885233652017E-2</v>
      </c>
      <c r="AC115" s="140"/>
      <c r="AD115" s="143"/>
      <c r="AE115" s="144" t="str">
        <f t="shared" si="41"/>
        <v/>
      </c>
      <c r="AF115" s="145">
        <f t="shared" si="42"/>
        <v>2386</v>
      </c>
      <c r="AG115" s="143">
        <v>1548.2</v>
      </c>
      <c r="AH115" s="144">
        <f t="shared" si="43"/>
        <v>9.1817278752205439E-2</v>
      </c>
      <c r="AI115" s="145">
        <f t="shared" si="44"/>
        <v>837.8</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v>2386</v>
      </c>
      <c r="AA119" s="166">
        <f t="shared" si="39"/>
        <v>2386</v>
      </c>
      <c r="AB119" s="167">
        <f t="shared" si="40"/>
        <v>9.1429885233652017E-2</v>
      </c>
      <c r="AC119" s="140"/>
      <c r="AD119" s="166"/>
      <c r="AE119" s="167" t="str">
        <f t="shared" si="41"/>
        <v/>
      </c>
      <c r="AF119" s="168">
        <f t="shared" si="42"/>
        <v>2386</v>
      </c>
      <c r="AG119" s="166">
        <v>1548.2</v>
      </c>
      <c r="AH119" s="167">
        <f t="shared" si="43"/>
        <v>9.1817278752205439E-2</v>
      </c>
      <c r="AI119" s="168">
        <f t="shared" si="44"/>
        <v>837.8</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16734</v>
      </c>
      <c r="AA122" s="143">
        <f t="shared" si="46"/>
        <v>16734</v>
      </c>
      <c r="AB122" s="144">
        <f t="shared" si="47"/>
        <v>0.64123541471078493</v>
      </c>
      <c r="AC122" s="140"/>
      <c r="AD122" s="143">
        <f>AD99+AD107+AD115</f>
        <v>0</v>
      </c>
      <c r="AE122" s="144" t="str">
        <f t="shared" si="48"/>
        <v/>
      </c>
      <c r="AF122" s="145">
        <f t="shared" si="49"/>
        <v>16734</v>
      </c>
      <c r="AG122" s="143">
        <f>AG99+AG107+AG115</f>
        <v>10601.400000000001</v>
      </c>
      <c r="AH122" s="144">
        <f t="shared" si="50"/>
        <v>0.62872477649117098</v>
      </c>
      <c r="AI122" s="145">
        <f t="shared" si="51"/>
        <v>6132.5999999999985</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16734</v>
      </c>
      <c r="AA126" s="166">
        <f t="shared" si="46"/>
        <v>16734</v>
      </c>
      <c r="AB126" s="167">
        <f t="shared" si="47"/>
        <v>0.64123541471078493</v>
      </c>
      <c r="AC126" s="140"/>
      <c r="AD126" s="166">
        <f>SUM(AD121:AD125)</f>
        <v>0</v>
      </c>
      <c r="AE126" s="167" t="str">
        <f t="shared" si="48"/>
        <v/>
      </c>
      <c r="AF126" s="168">
        <f t="shared" si="49"/>
        <v>16734</v>
      </c>
      <c r="AG126" s="166">
        <f>SUM(AG121:AG125)</f>
        <v>10601.400000000001</v>
      </c>
      <c r="AH126" s="167">
        <f t="shared" si="50"/>
        <v>0.62872477649117098</v>
      </c>
      <c r="AI126" s="168">
        <f t="shared" si="51"/>
        <v>6132.5999999999985</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v>8</v>
      </c>
      <c r="Q130" s="143"/>
      <c r="R130" s="143"/>
      <c r="S130" s="143"/>
      <c r="T130" s="143"/>
      <c r="U130" s="143">
        <v>-8</v>
      </c>
      <c r="V130" s="143"/>
      <c r="W130" s="143"/>
      <c r="X130" s="143"/>
      <c r="Y130" s="143"/>
      <c r="Z130" s="143">
        <v>2602.91</v>
      </c>
      <c r="AA130" s="143">
        <f>SUM(O130:Z130)</f>
        <v>2602.91</v>
      </c>
      <c r="AB130" s="436">
        <f>IF(_epmOfflineCondition_,0.278014419225634,IF(AA130=0,"",IFERROR(AA130/_xll.EVGTS($B$1,1,_xll.EVPRO($B$1,$H130,"COSBASIS"),$B$3,$B$5,$B$6,$B$7,$B$9,AA$16,AA$17,AA$11),"")))</f>
        <v>0.27801441922563402</v>
      </c>
      <c r="AC130" s="140"/>
      <c r="AD130" s="143"/>
      <c r="AE130" s="436" t="str">
        <f>IF(_epmOfflineCondition_,"",IF(AD130=0,"",IFERROR(AD130/_xll.EVGTS($B$1,1,_xll.EVPRO($B$1,$H130,"COSBASIS"),$B$3,$B$5,$B$6,$B$7,$B$9,AD$16,AD$17,AD$18),"")))</f>
        <v/>
      </c>
      <c r="AF130" s="145">
        <f t="shared" ref="AF130:AF141" si="58">IF(AND($AA130="",AD130=""),"",$AA130-AD130)</f>
        <v>2602.91</v>
      </c>
      <c r="AG130" s="143">
        <v>1745.56</v>
      </c>
      <c r="AH130" s="436">
        <f>IF(_epmOfflineCondition_,0.273955145408604,IF(AG130=0,"",IFERROR(AG130/_xll.EVGTS($B$1,1,_xll.EVPRO($B$1,$H130,"COSBASIS"),$B$3,$B$5,$B$6,$B$7,$B$9,AG$16,AG$17,AG$18),"")))</f>
        <v>0.27395514540860399</v>
      </c>
      <c r="AI130" s="145">
        <f t="shared" ref="AI130:AI141" si="59">IF(AND($AA130="",AG130=""),"",$AA130-AG130)</f>
        <v>857.34999999999991</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v>0.27801441922563402</v>
      </c>
      <c r="AA131" s="508">
        <v>0.27801441922563402</v>
      </c>
      <c r="AB131" s="436"/>
      <c r="AC131" s="140"/>
      <c r="AD131" s="508"/>
      <c r="AE131" s="436"/>
      <c r="AF131" s="521">
        <f t="shared" si="58"/>
        <v>0.27801441922563402</v>
      </c>
      <c r="AG131" s="508">
        <v>0.27395514540860399</v>
      </c>
      <c r="AH131" s="436"/>
      <c r="AI131" s="521">
        <f t="shared" si="59"/>
        <v>4.0592738170300291E-3</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v>3290.69</v>
      </c>
      <c r="AA132" s="143">
        <f>SUM(O132:Z132)</f>
        <v>3290.69</v>
      </c>
      <c r="AB132" s="436">
        <f>IF(_epmOfflineCondition_,0.196646946336799,IF(AA132=0,"",IFERROR(AA132/_xll.EVGTS($B$1,1,_xll.EVPRO($B$1,$H132,"COSBASIS"),$B$3,$B$5,$B$6,$B$7,$B$9,AA$16,AA$17,AA$11),"")))</f>
        <v>0.19664694633679899</v>
      </c>
      <c r="AC132" s="140"/>
      <c r="AD132" s="143"/>
      <c r="AE132" s="436" t="str">
        <f>IF(_epmOfflineCondition_,"",IF(AD132=0,"",IFERROR(AD132/_xll.EVGTS($B$1,1,_xll.EVPRO($B$1,$H132,"COSBASIS"),$B$3,$B$5,$B$6,$B$7,$B$9,AD$16,AD$17,AD$18),"")))</f>
        <v/>
      </c>
      <c r="AF132" s="145">
        <f t="shared" si="58"/>
        <v>3290.69</v>
      </c>
      <c r="AG132" s="143">
        <v>2089.94</v>
      </c>
      <c r="AH132" s="436">
        <f>IF(_epmOfflineCondition_,0.197138113834022,IF(AG132=0,"",IFERROR(AG132/_xll.EVGTS($B$1,1,_xll.EVPRO($B$1,$H132,"COSBASIS"),$B$3,$B$5,$B$6,$B$7,$B$9,AG$16,AG$17,AG$18),"")))</f>
        <v>0.19713811383402199</v>
      </c>
      <c r="AI132" s="145">
        <f t="shared" si="59"/>
        <v>1200.75</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v>0.19664694633679899</v>
      </c>
      <c r="AA133" s="508">
        <v>0.19664694633679899</v>
      </c>
      <c r="AB133" s="436"/>
      <c r="AC133" s="140"/>
      <c r="AD133" s="508"/>
      <c r="AE133" s="436"/>
      <c r="AF133" s="521">
        <f t="shared" si="58"/>
        <v>0.19664694633679899</v>
      </c>
      <c r="AG133" s="508">
        <v>0.19713811383402199</v>
      </c>
      <c r="AH133" s="436"/>
      <c r="AI133" s="521">
        <f t="shared" si="59"/>
        <v>-4.9116749722299957E-4</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v>2439.65</v>
      </c>
      <c r="AA134" s="143">
        <f>SUM(O134:Z134)</f>
        <v>2439.65</v>
      </c>
      <c r="AB134" s="436">
        <f>IF(_epmOfflineCondition_,0.19500039964831,IF(AA134=0,"",IFERROR(AA134/_xll.EVGTS($B$1,1,_xll.EVPRO($B$1,$H134,"COSBASIS"),$B$3,$B$5,$B$6,$B$7,$B$9,AA$16,AA$17,AA$11),"")))</f>
        <v>0.19500039964831001</v>
      </c>
      <c r="AC134" s="140"/>
      <c r="AD134" s="143"/>
      <c r="AE134" s="436" t="str">
        <f>IF(_epmOfflineCondition_,"",IF(AD134=0,"",IFERROR(AD134/_xll.EVGTS($B$1,1,_xll.EVPRO($B$1,$H134,"COSBASIS"),$B$3,$B$5,$B$6,$B$7,$B$9,AD$16,AD$17,AD$18),"")))</f>
        <v/>
      </c>
      <c r="AF134" s="145">
        <f t="shared" si="58"/>
        <v>2439.65</v>
      </c>
      <c r="AG134" s="143">
        <v>1344.34</v>
      </c>
      <c r="AH134" s="436">
        <f>IF(_epmOfflineCondition_,0.193904514640127,IF(AG134=0,"",IFERROR(AG134/_xll.EVGTS($B$1,1,_xll.EVPRO($B$1,$H134,"COSBASIS"),$B$3,$B$5,$B$6,$B$7,$B$9,AG$16,AG$17,AG$18),"")))</f>
        <v>0.19390451464012701</v>
      </c>
      <c r="AI134" s="145">
        <f t="shared" si="59"/>
        <v>1095.3100000000002</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v>0.19500039964831001</v>
      </c>
      <c r="AA135" s="508">
        <v>0.19500039964831001</v>
      </c>
      <c r="AB135" s="436"/>
      <c r="AC135" s="140"/>
      <c r="AD135" s="508"/>
      <c r="AE135" s="436"/>
      <c r="AF135" s="521">
        <f t="shared" si="58"/>
        <v>0.19500039964831001</v>
      </c>
      <c r="AG135" s="508">
        <v>0.19390451464012701</v>
      </c>
      <c r="AH135" s="436"/>
      <c r="AI135" s="521">
        <f t="shared" si="59"/>
        <v>1.0958850081830007E-3</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v>385.77</v>
      </c>
      <c r="AA136" s="143">
        <f>SUM(O136:Z136)</f>
        <v>385.77</v>
      </c>
      <c r="AB136" s="436">
        <f>IF(_epmOfflineCondition_,0.21,IF(AA136=0,"",IFERROR(AA136/_xll.EVGTS($B$1,1,_xll.EVPRO($B$1,$H136,"COSBASIS"),$B$3,$B$5,$B$6,$B$7,$B$9,AA$16,AA$17,AA$11),"")))</f>
        <v>0.21</v>
      </c>
      <c r="AC136" s="140"/>
      <c r="AD136" s="143"/>
      <c r="AE136" s="436" t="str">
        <f>IF(_epmOfflineCondition_,"",IF(AD136=0,"",IFERROR(AD136/_xll.EVGTS($B$1,1,_xll.EVPRO($B$1,$H136,"COSBASIS"),$B$3,$B$5,$B$6,$B$7,$B$9,AD$16,AD$17,AD$18),"")))</f>
        <v/>
      </c>
      <c r="AF136" s="145">
        <f t="shared" si="58"/>
        <v>385.77</v>
      </c>
      <c r="AG136" s="143">
        <v>443.73</v>
      </c>
      <c r="AH136" s="436">
        <f>IF(_epmOfflineCondition_,0.209286859730214,IF(AG136=0,"",IFERROR(AG136/_xll.EVGTS($B$1,1,_xll.EVPRO($B$1,$H136,"COSBASIS"),$B$3,$B$5,$B$6,$B$7,$B$9,AG$16,AG$17,AG$18),"")))</f>
        <v>0.20928685973021399</v>
      </c>
      <c r="AI136" s="145">
        <f t="shared" si="59"/>
        <v>-57.960000000000036</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v>0.21</v>
      </c>
      <c r="AA137" s="508">
        <v>0.21</v>
      </c>
      <c r="AB137" s="436"/>
      <c r="AC137" s="140"/>
      <c r="AD137" s="508"/>
      <c r="AE137" s="436"/>
      <c r="AF137" s="521">
        <f t="shared" si="58"/>
        <v>0.21</v>
      </c>
      <c r="AG137" s="508">
        <v>0.20928685973021399</v>
      </c>
      <c r="AH137" s="436"/>
      <c r="AI137" s="521">
        <f t="shared" si="59"/>
        <v>7.1314026978600009E-4</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v>465.27</v>
      </c>
      <c r="AA138" s="143">
        <f>SUM(O138:Z138)</f>
        <v>465.27</v>
      </c>
      <c r="AB138" s="436">
        <f>IF(_epmOfflineCondition_,0.195,IF(AA138=0,"",IFERROR(AA138/_xll.EVGTS($B$1,1,_xll.EVPRO($B$1,$H138,"COSBASIS"),$B$3,$B$5,$B$6,$B$7,$B$9,AA$16,AA$17,AA$11),"")))</f>
        <v>0.19500000000000001</v>
      </c>
      <c r="AC138" s="140"/>
      <c r="AD138" s="143"/>
      <c r="AE138" s="436" t="str">
        <f>IF(_epmOfflineCondition_,"",IF(AD138=0,"",IFERROR(AD138/_xll.EVGTS($B$1,1,_xll.EVPRO($B$1,$H138,"COSBASIS"),$B$3,$B$5,$B$6,$B$7,$B$9,AD$16,AD$17,AD$18),"")))</f>
        <v/>
      </c>
      <c r="AF138" s="145">
        <f t="shared" si="58"/>
        <v>465.27</v>
      </c>
      <c r="AG138" s="143">
        <v>301.87</v>
      </c>
      <c r="AH138" s="436">
        <f>IF(_epmOfflineCondition_,0.194981268569952,IF(AG138=0,"",IFERROR(AG138/_xll.EVGTS($B$1,1,_xll.EVPRO($B$1,$H138,"COSBASIS"),$B$3,$B$5,$B$6,$B$7,$B$9,AG$16,AG$17,AG$18),"")))</f>
        <v>0.19498126856995199</v>
      </c>
      <c r="AI138" s="145">
        <f t="shared" si="59"/>
        <v>163.39999999999998</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v>0.19500000000000001</v>
      </c>
      <c r="AA139" s="508">
        <v>0.19500000000000001</v>
      </c>
      <c r="AB139" s="436"/>
      <c r="AC139" s="140"/>
      <c r="AD139" s="508"/>
      <c r="AE139" s="436"/>
      <c r="AF139" s="521">
        <f t="shared" si="58"/>
        <v>0.19500000000000001</v>
      </c>
      <c r="AG139" s="508">
        <v>0.19498126856995199</v>
      </c>
      <c r="AH139" s="436"/>
      <c r="AI139" s="521">
        <f t="shared" si="59"/>
        <v>1.8731430048019027E-5</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v>8</v>
      </c>
      <c r="Q140" s="143"/>
      <c r="R140" s="143"/>
      <c r="S140" s="143"/>
      <c r="T140" s="143"/>
      <c r="U140" s="143">
        <v>-8</v>
      </c>
      <c r="V140" s="143"/>
      <c r="W140" s="143"/>
      <c r="X140" s="143"/>
      <c r="Y140" s="143"/>
      <c r="Z140" s="143">
        <v>5893.6</v>
      </c>
      <c r="AA140" s="143">
        <f>SUM(O140:Z140)</f>
        <v>5893.6</v>
      </c>
      <c r="AB140" s="436">
        <f>IF(_epmOfflineCondition_,0.225838714003794,IF(AA140=0,"",IFERROR(AA140/_xll.EVGTS($B$1,1,_xll.EVPRO($B$1,$H140,"COSBASIS"),$B$3,$B$5,$B$6,$B$7,$B$9,AA$16,AA$17,AA$11),"")))</f>
        <v>0.22583871400379399</v>
      </c>
      <c r="AC140" s="140"/>
      <c r="AD140" s="143"/>
      <c r="AE140" s="436" t="str">
        <f>IF(_epmOfflineCondition_,"",IF(AD140=0,"",IFERROR(AD140/_xll.EVGTS($B$1,1,_xll.EVPRO($B$1,$H140,"COSBASIS"),$B$3,$B$5,$B$6,$B$7,$B$9,AD$16,AD$17,AD$18),"")))</f>
        <v/>
      </c>
      <c r="AF140" s="145">
        <f t="shared" si="58"/>
        <v>5893.6</v>
      </c>
      <c r="AG140" s="143">
        <v>3835.5</v>
      </c>
      <c r="AH140" s="436">
        <f>IF(_epmOfflineCondition_,0.227467492994499,IF(AG140=0,"",IFERROR(AG140/_xll.EVGTS($B$1,1,_xll.EVPRO($B$1,$H140,"COSBASIS"),$B$3,$B$5,$B$6,$B$7,$B$9,AG$16,AG$17,AG$18),"")))</f>
        <v>0.227467492994499</v>
      </c>
      <c r="AI140" s="145">
        <f t="shared" si="59"/>
        <v>2058.1000000000004</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f t="shared" si="60"/>
        <v>0.22583871400379363</v>
      </c>
      <c r="AA141" s="508">
        <f t="shared" si="60"/>
        <v>0.22583871400379363</v>
      </c>
      <c r="AB141" s="436"/>
      <c r="AC141" s="140"/>
      <c r="AD141" s="508" t="str">
        <f>IFERROR(AD140/AD85,"")</f>
        <v/>
      </c>
      <c r="AE141" s="436"/>
      <c r="AF141" s="521" t="e">
        <f t="shared" si="58"/>
        <v>#VALUE!</v>
      </c>
      <c r="AG141" s="508">
        <f>IFERROR(AG140/AG85,"")</f>
        <v>0.22746749299449939</v>
      </c>
      <c r="AH141" s="436"/>
      <c r="AI141" s="521">
        <f t="shared" si="59"/>
        <v>-1.6287789907057648E-3</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f t="shared" si="63"/>
        <v>0</v>
      </c>
      <c r="AA145" s="510">
        <f t="shared" si="63"/>
        <v>0</v>
      </c>
      <c r="AB145" s="144"/>
      <c r="AC145" s="140"/>
      <c r="AD145" s="510" t="e">
        <f>IFERROR(AD$85/AD87,"")-AD88</f>
        <v>#VALUE!</v>
      </c>
      <c r="AE145" s="144"/>
      <c r="AF145" s="143"/>
      <c r="AG145" s="510">
        <f>IFERROR(AG$85/AG87,"")-AG88</f>
        <v>0</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xeALC5m5dk2/yXgy0iQ/v81ANar0bMua+5MKxzWl66frGPJUgMVqZBhvLO+busDKSG008PSP8Msj6GO0DUUQVQ==" saltValue="/9iFhVJpvthP2ufmVNdLxw==" spinCount="100000" sheet="1" scenarios="1"/>
  <mergeCells count="2">
    <mergeCell ref="AD31:AE31"/>
    <mergeCell ref="AG31:AH31"/>
  </mergeCells>
  <conditionalFormatting sqref="AD43 AF43:AG43 O43:AA43">
    <cfRule type="expression" dxfId="140" priority="15">
      <formula>ROUND(O42,2)&lt;&gt;ROUND(O43,2)</formula>
    </cfRule>
  </conditionalFormatting>
  <conditionalFormatting sqref="N43">
    <cfRule type="expression" dxfId="139" priority="14">
      <formula>$G43&lt;&gt;0</formula>
    </cfRule>
  </conditionalFormatting>
  <conditionalFormatting sqref="O53:AA53 AD53 AF53:AG53">
    <cfRule type="expression" dxfId="138" priority="13">
      <formula>ROUND(O52,2)&lt;&gt;ROUND(O53,2)</formula>
    </cfRule>
  </conditionalFormatting>
  <conditionalFormatting sqref="N53">
    <cfRule type="expression" dxfId="137" priority="12">
      <formula>$G53&lt;&gt;0</formula>
    </cfRule>
  </conditionalFormatting>
  <conditionalFormatting sqref="O63:AA63 AD63 AF63:AG63">
    <cfRule type="expression" dxfId="136" priority="11">
      <formula>ROUND(O62,2)&lt;&gt;ROUND(O63,2)</formula>
    </cfRule>
  </conditionalFormatting>
  <conditionalFormatting sqref="N63">
    <cfRule type="expression" dxfId="135" priority="10">
      <formula>$G63&lt;&gt;0</formula>
    </cfRule>
  </conditionalFormatting>
  <conditionalFormatting sqref="O73:AA73 AD73 AF73:AG73">
    <cfRule type="expression" dxfId="134" priority="9">
      <formula>ROUND(O72,2)&lt;&gt;ROUND(O73,2)</formula>
    </cfRule>
  </conditionalFormatting>
  <conditionalFormatting sqref="N73">
    <cfRule type="expression" dxfId="133" priority="8">
      <formula>$G73&lt;&gt;0</formula>
    </cfRule>
  </conditionalFormatting>
  <conditionalFormatting sqref="N82">
    <cfRule type="expression" dxfId="132" priority="7">
      <formula>$G82&lt;&gt;0</formula>
    </cfRule>
  </conditionalFormatting>
  <conditionalFormatting sqref="AD82 AF82:AG82 O82:AA82">
    <cfRule type="expression" dxfId="131" priority="6">
      <formula>ROUND(O81,2)&lt;&gt;ROUND(O82,2)</formula>
    </cfRule>
  </conditionalFormatting>
  <conditionalFormatting sqref="AI43">
    <cfRule type="expression" dxfId="130" priority="5">
      <formula>ROUND(AI42,2)&lt;&gt;ROUND(AI43,2)</formula>
    </cfRule>
  </conditionalFormatting>
  <conditionalFormatting sqref="AI53">
    <cfRule type="expression" dxfId="129" priority="4">
      <formula>ROUND(AI52,2)&lt;&gt;ROUND(AI53,2)</formula>
    </cfRule>
  </conditionalFormatting>
  <conditionalFormatting sqref="AI63">
    <cfRule type="expression" dxfId="128" priority="3">
      <formula>ROUND(AI62,2)&lt;&gt;ROUND(AI63,2)</formula>
    </cfRule>
  </conditionalFormatting>
  <conditionalFormatting sqref="AI73">
    <cfRule type="expression" dxfId="127" priority="2">
      <formula>ROUND(AI72,2)&lt;&gt;ROUND(AI73,2)</formula>
    </cfRule>
  </conditionalFormatting>
  <conditionalFormatting sqref="AI82">
    <cfRule type="expression" dxfId="126" priority="1">
      <formula>ROUND(AI81,2)&lt;&gt;ROUND(AI82,2)</formula>
    </cfRule>
  </conditionalFormatting>
  <dataValidations disablePrompts="1" count="2">
    <dataValidation type="list" allowBlank="1" sqref="B28" xr:uid="{00000000-0002-0000-0A00-000000000000}">
      <formula1>"ACCOUNT,BUSINESSUNIT,CATEGORY,DATASRC,DEPARTMENT,INTCO,MEASURES,RPTCURRENCY,TIME"</formula1>
    </dataValidation>
    <dataValidation type="list" allowBlank="1" sqref="B29" xr:uid="{00000000-0002-0000-0A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732</v>
      </c>
      <c r="C6" s="11" t="str">
        <f>IF(_epmOfflineCondition_,"Venue 3",_xll.EVDES(B6,$B$1))</f>
        <v>Venue 3</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IF(_epmOfflineCondition_,"'Venue3'!$B$2:$B$10",_xll.EVRNG($B$2:$B$10))</f>
        <v>'Venue3'!$B$2:$B$10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IF(_epmOfflineCondition_,"'Venue3'!$O$16:$AN$18",_xll.EVRNG($O$16:$AN$18))</f>
        <v>'Venue3'!$O$16:$AN$18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IF(_epmOfflineCondition_,"'Venue3'!$H$35:$H$58",_xll.EVRNG(H35:H58))</f>
        <v>'Venue3'!$H$35:$H$58</v>
      </c>
      <c r="C19" s="11"/>
      <c r="D19" s="11"/>
      <c r="E19" s="11"/>
      <c r="F19" s="11"/>
      <c r="G19" s="67" t="str">
        <f>$B$6</f>
        <v>D2142</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D2142</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IF(_epmOfflineCondition_,"'Venue3'!$A$36:$F$44",_xll.EVRNG(A36:F44))</f>
        <v>'Venue3'!$A$36:$F$44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IF(_epmOfflineCondition_,"'Venue3'!$A$125:$B$146",_xll.EVRNG($A$125:$B$146))</f>
        <v>'Venue3'!$A$125:$B$146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3 Department",IF($N$1="",IF(_xll.EVDES(B6,$B$1)="#NODATA","",_xll.EVDES(B6,$B$1)&amp;" Department"),$N$1))</f>
        <v>Venue 3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28"/>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28"/>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28"/>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28"/>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29"/>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28"/>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28"/>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28"/>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28"/>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1">
        <f t="shared" si="6"/>
        <v>0</v>
      </c>
      <c r="AJ48" s="532">
        <f t="shared" si="7"/>
        <v>0</v>
      </c>
      <c r="AK48" s="533">
        <f t="shared" si="8"/>
        <v>0</v>
      </c>
      <c r="AL48" s="534">
        <f t="shared" si="9"/>
        <v>0</v>
      </c>
      <c r="AM48" s="535">
        <f t="shared" si="10"/>
        <v>0</v>
      </c>
      <c r="AN48" s="536">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IF(_epmOfflineCondition_,"'Venue3'!$B$2:$B$10",_xll.EVRNG($B$2:$B$10))</f>
        <v>'Venue3'!$B$2:$B$10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29"/>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IF(_epmOfflineCondition_,"'Venue3'!$O$16:$AN$18",_xll.EVRNG($O$16:$AN$18))</f>
        <v>'Venue3'!$O$16:$AN$18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28"/>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IF(_epmOfflineCondition_,"'Venue3'!$H$62:$H$70",_xll.EVRNG(H62:H70))</f>
        <v>'Venue3'!$H$62:$H$70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28"/>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28"/>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28"/>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IF(_epmOfflineCondition_,"'Venue3'!$A$69:$F$77",_xll.EVRNG(A69:F77))</f>
        <v>'Venue3'!$A$69:$F$77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28"/>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IF(_epmOfflineCondition_,"'Venue3'!$A$125:$B$146",_xll.EVRNG($A$125:$B$146))</f>
        <v>'Venue3'!$A$125:$B$146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28"/>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29"/>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28"/>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28"/>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388">
        <f>IFERROR(AA72/AA$20,0)</f>
        <v>0</v>
      </c>
      <c r="AK72" s="389">
        <f>IFERROR(AD72/AD$20,0)</f>
        <v>0</v>
      </c>
      <c r="AL72" s="390">
        <f>IFERROR(AG72/AG$20,0)</f>
        <v>0</v>
      </c>
      <c r="AM72" s="391">
        <f>+IFERROR(ROUND(($AB72-AE72)*100,2)&amp;" pts.",0)</f>
        <v>0</v>
      </c>
      <c r="AN72" s="544">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9">
        <f>IFERROR(AA79/AA$20,0)</f>
        <v>0</v>
      </c>
      <c r="AK79" s="450">
        <f>IFERROR(AD79/AD$20,0)</f>
        <v>0</v>
      </c>
      <c r="AL79" s="451">
        <f>IFERROR(AG79/AG$20,0)</f>
        <v>0</v>
      </c>
      <c r="AM79" s="452">
        <f>+IFERROR(ROUND(($AB79-AE79)*100,2)&amp;" pts.",0)</f>
        <v>0</v>
      </c>
      <c r="AN79" s="453">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9">
        <f>IFERROR(AA80/AA$20,0)</f>
        <v>0</v>
      </c>
      <c r="AK80" s="450">
        <f>IFERROR(AD80/AD$20,0)</f>
        <v>0</v>
      </c>
      <c r="AL80" s="451">
        <f>IFERROR(AG80/AG$20,0)</f>
        <v>0</v>
      </c>
      <c r="AM80" s="452">
        <f>+IFERROR(ROUND(($AB80-AE80)*100,2)&amp;" pts.",0)</f>
        <v>0</v>
      </c>
      <c r="AN80" s="453">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IF(_epmOfflineCondition_,"'Venue3'!$B$2:$B$10",_xll.EVRNG($B$2:$B$10))</f>
        <v>'Venue3'!$B$2:$B$10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IF(_epmOfflineCondition_,"'Venue3'!$O$16:$AN$18",_xll.EVRNG($O$16:$AN$18))</f>
        <v>'Venue3'!$O$16:$AN$18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IF(_epmOfflineCondition_,"'Venue3'!$H$76:$H$77,'Venue3'!$H$79:$H$80,'Venue3'!$H$83:$H$84",_xll.EVRNG(H76:H77,H79:H80,H83:H84))</f>
        <v>'Venue3'!$H$76:$H$77,'Venue3'!$H$79:$H$80,'Venue3'!$H$83:$H$84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558">
        <f>IFERROR(AA85/AA$20,0)</f>
        <v>0</v>
      </c>
      <c r="AK85" s="559">
        <f>IFERROR(AD85/AD$20,0)</f>
        <v>0</v>
      </c>
      <c r="AL85" s="560">
        <f>IFERROR(AG85/AG$20,0)</f>
        <v>0</v>
      </c>
      <c r="AM85" s="561">
        <f>+IFERROR(ROUND(($AB85-AE85)*100,2)&amp;" pts.",0)</f>
        <v>0</v>
      </c>
      <c r="AN85" s="562">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242">
        <f>IFERROR(AA87/AA$20,0)</f>
        <v>0</v>
      </c>
      <c r="AK87" s="243">
        <f>IFERROR(AD87/AD$20,0)</f>
        <v>0</v>
      </c>
      <c r="AL87" s="245">
        <f>IFERROR(AG87/AG$20,0)</f>
        <v>0</v>
      </c>
      <c r="AM87" s="431">
        <f>+IFERROR(ROUND(($AB87-AE87)*100,2)&amp;" pts.",0)</f>
        <v>0</v>
      </c>
      <c r="AN87" s="465">
        <f>+IFERROR(ROUND(($AB87-AH87)*100,2)&amp;" pts.",0)</f>
        <v>0</v>
      </c>
      <c r="AO87" s="11"/>
    </row>
    <row r="88" spans="1:41" ht="15" thickBot="1" x14ac:dyDescent="0.4">
      <c r="A88" s="65" t="s">
        <v>7</v>
      </c>
      <c r="B88" s="66" t="str">
        <f>IF(_epmOfflineCondition_,"'Venue3'!$A$102:$F$108",_xll.EVRNG(A102:F108))</f>
        <v>'Venue3'!$A$102:$F$108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83">
        <f>IFERROR(AA88/AA$20,0)</f>
        <v>0</v>
      </c>
      <c r="AK88" s="484">
        <f>IFERROR(AD88/AD$20,0)</f>
        <v>0</v>
      </c>
      <c r="AL88" s="485">
        <f>IFERROR(AG88/AG$20,0)</f>
        <v>0</v>
      </c>
      <c r="AM88" s="486">
        <f>+IFERROR(ROUND(($AB88-AE88)*100,2)&amp;" pts.",0)</f>
        <v>0</v>
      </c>
      <c r="AN88" s="557">
        <f>+IFERROR(ROUND(($AB88-AH88)*100,2)&amp;" pts.",0)</f>
        <v>0</v>
      </c>
      <c r="AO88" s="11"/>
    </row>
    <row r="89" spans="1:41" ht="15" thickTop="1" x14ac:dyDescent="0.35">
      <c r="A89" s="65" t="s">
        <v>47</v>
      </c>
      <c r="B89" s="66" t="str">
        <f>IF(_epmOfflineCondition_,"'Venue3'!$A$125:$B$146",_xll.EVRNG($A$125:$B$146))</f>
        <v>'Venue3'!$A$125:$B$146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IF(_epmOfflineCondition_,"'Venue3'!$B$2:$B$10",_xll.EVRNG($B$2:$B$10))</f>
        <v>'Venue3'!$B$2:$B$10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IF(_epmOfflineCondition_,"'Venue3'!$O$16:$AN$18",_xll.EVRNG($O$16:$AN$18))</f>
        <v>'Venue3'!$O$16:$AN$18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IF(_epmOfflineCondition_,"'Venue3'!$H$85:$H$88",_xll.EVRNG(H85:H88))</f>
        <v>'Venue3'!$H$85:$H$88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IF(_epmOfflineCondition_,"'Venue3'!$A$125:$B$146",_xll.EVRNG($A$125:$B$146))</f>
        <v>'Venue3'!$A$125:$B$146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cUA6dnK3++x0bVJckrrIlGIGAwbXHzurLAdZH2t0ExexfI75Q3WD9Lj6RlQyIJMZPDkDxYCzj/lrZWIeYN3eYg==" saltValue="H76VSjmZNirV1Pr6TnTXIA==" spinCount="100000" sheet="1" scenarios="1"/>
  <mergeCells count="2">
    <mergeCell ref="AD31:AE31"/>
    <mergeCell ref="AG31:AH31"/>
  </mergeCells>
  <dataValidations count="2">
    <dataValidation type="list" allowBlank="1" sqref="B29 B95 B62" xr:uid="{00000000-0002-0000-0B00-000000000000}">
      <formula1>"SELF,ALL,BAS,DEP,BASMEMBERS,MEMBERS,NOEXPAND,GDEP"</formula1>
    </dataValidation>
    <dataValidation type="list" allowBlank="1" sqref="B28 B94 B61" xr:uid="{00000000-0002-0000-0B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Venue3!N1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732</v>
      </c>
      <c r="C6" s="11" t="str">
        <f>IF(_epmOfflineCondition_,"Venue 3",_xll.EVDES(B6,$B$1))</f>
        <v>Venue 3</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IF(_epmOfflineCondition_,"'Venue3_KPI'!$B$2:$B$10",_xll.EVRNG($B$2:$B$10))</f>
        <v>'Venue3_KPI'!$B$2:$B$10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IF(_epmOfflineCondition_,"'Venue3_KPI'!$O$16:$AI$18",_xll.EVRNG(O16:AI18))</f>
        <v>'Venue3_KPI'!$O$16:$AI$18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IF(_epmOfflineCondition_,"'Venue3_KPI'!$H$35:$H$146",_xll.EVRNG(H35:H146))</f>
        <v>'Venue3_KPI'!$H$35:$H$146</v>
      </c>
      <c r="C19" s="11"/>
      <c r="D19" s="11"/>
      <c r="E19" s="11"/>
      <c r="F19" s="11"/>
      <c r="G19" s="67" t="str">
        <f>$B$6</f>
        <v>D2142</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D2142</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IF(_epmOfflineCondition_,"'Venue3_KPI'!$A$37:$B$58",_xll.EVRNG($A$37:$B$58))</f>
        <v>'Venue3_KPI'!$A$37:$B$58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3 Department",IF($N$1="",IF(_xll.EVDES(B6,$B$1)="#NODATA","",_xll.EVDES(B6,$B$1)&amp;" Department"),$N$1))</f>
        <v>Venue 3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yqegeBOW0ytyeXZeXIsiz+WcmbSWOilxdRsny7Sdi3qwmsd3OxQO/P6o9PeXadceY4C7Sm/YSW6xR6q/8BCxjg==" saltValue="Ktm1M61GSNpUB5L3MB3ueA==" spinCount="100000" sheet="1" scenarios="1"/>
  <mergeCells count="2">
    <mergeCell ref="AD31:AE31"/>
    <mergeCell ref="AG31:AH31"/>
  </mergeCells>
  <conditionalFormatting sqref="AD43 AF43:AG43 O43:AA43">
    <cfRule type="expression" dxfId="125" priority="15">
      <formula>ROUND(O42,2)&lt;&gt;ROUND(O43,2)</formula>
    </cfRule>
  </conditionalFormatting>
  <conditionalFormatting sqref="N43">
    <cfRule type="expression" dxfId="124" priority="14">
      <formula>$G43&lt;&gt;0</formula>
    </cfRule>
  </conditionalFormatting>
  <conditionalFormatting sqref="O53:AA53 AD53 AF53:AG53">
    <cfRule type="expression" dxfId="123" priority="13">
      <formula>ROUND(O52,2)&lt;&gt;ROUND(O53,2)</formula>
    </cfRule>
  </conditionalFormatting>
  <conditionalFormatting sqref="N53">
    <cfRule type="expression" dxfId="122" priority="12">
      <formula>$G53&lt;&gt;0</formula>
    </cfRule>
  </conditionalFormatting>
  <conditionalFormatting sqref="O63:AA63 AD63 AF63:AG63">
    <cfRule type="expression" dxfId="121" priority="11">
      <formula>ROUND(O62,2)&lt;&gt;ROUND(O63,2)</formula>
    </cfRule>
  </conditionalFormatting>
  <conditionalFormatting sqref="N63">
    <cfRule type="expression" dxfId="120" priority="10">
      <formula>$G63&lt;&gt;0</formula>
    </cfRule>
  </conditionalFormatting>
  <conditionalFormatting sqref="O73:AA73 AD73 AF73:AG73">
    <cfRule type="expression" dxfId="119" priority="9">
      <formula>ROUND(O72,2)&lt;&gt;ROUND(O73,2)</formula>
    </cfRule>
  </conditionalFormatting>
  <conditionalFormatting sqref="N73">
    <cfRule type="expression" dxfId="118" priority="8">
      <formula>$G73&lt;&gt;0</formula>
    </cfRule>
  </conditionalFormatting>
  <conditionalFormatting sqref="N82">
    <cfRule type="expression" dxfId="117" priority="7">
      <formula>$G82&lt;&gt;0</formula>
    </cfRule>
  </conditionalFormatting>
  <conditionalFormatting sqref="AD82 AF82:AG82 O82:AA82">
    <cfRule type="expression" dxfId="116" priority="6">
      <formula>ROUND(O81,2)&lt;&gt;ROUND(O82,2)</formula>
    </cfRule>
  </conditionalFormatting>
  <conditionalFormatting sqref="AI43">
    <cfRule type="expression" dxfId="115" priority="5">
      <formula>ROUND(AI42,2)&lt;&gt;ROUND(AI43,2)</formula>
    </cfRule>
  </conditionalFormatting>
  <conditionalFormatting sqref="AI53">
    <cfRule type="expression" dxfId="114" priority="4">
      <formula>ROUND(AI52,2)&lt;&gt;ROUND(AI53,2)</formula>
    </cfRule>
  </conditionalFormatting>
  <conditionalFormatting sqref="AI63">
    <cfRule type="expression" dxfId="113" priority="3">
      <formula>ROUND(AI62,2)&lt;&gt;ROUND(AI63,2)</formula>
    </cfRule>
  </conditionalFormatting>
  <conditionalFormatting sqref="AI73">
    <cfRule type="expression" dxfId="112" priority="2">
      <formula>ROUND(AI72,2)&lt;&gt;ROUND(AI73,2)</formula>
    </cfRule>
  </conditionalFormatting>
  <conditionalFormatting sqref="AI82">
    <cfRule type="expression" dxfId="111" priority="1">
      <formula>ROUND(AI81,2)&lt;&gt;ROUND(AI82,2)</formula>
    </cfRule>
  </conditionalFormatting>
  <dataValidations count="2">
    <dataValidation type="list" allowBlank="1" sqref="B29" xr:uid="{00000000-0002-0000-0C00-000000000000}">
      <formula1>"SELF,ALL,BAS,DEP,BASMEMBERS,MEMBERS,NOEXPAND,GDEP"</formula1>
    </dataValidation>
    <dataValidation type="list" allowBlank="1" sqref="B28" xr:uid="{00000000-0002-0000-0C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733</v>
      </c>
      <c r="C6" s="11" t="str">
        <f>IF(_epmOfflineCondition_,"Venue 4",_xll.EVDES(B6,$B$1))</f>
        <v>Venue 4</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IF(_epmOfflineCondition_,"'Venue4'!$B$2:$B$10",_xll.EVRNG($B$2:$B$10))</f>
        <v>'Venue4'!$B$2:$B$10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IF(_epmOfflineCondition_,"'Venue4'!$O$16:$AN$18",_xll.EVRNG($O$16:$AN$18))</f>
        <v>'Venue4'!$O$16:$AN$18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IF(_epmOfflineCondition_,"'Venue4'!$H$35:$H$58",_xll.EVRNG(H35:H58))</f>
        <v>'Venue4'!$H$35:$H$58</v>
      </c>
      <c r="C19" s="11"/>
      <c r="D19" s="11"/>
      <c r="E19" s="11"/>
      <c r="F19" s="11"/>
      <c r="G19" s="67" t="str">
        <f>$B$6</f>
        <v>D2145</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D2145</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IF(_epmOfflineCondition_,"'Venue4'!$A$36:$F$44",_xll.EVRNG(A36:F44))</f>
        <v>'Venue4'!$A$36:$F$44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IF(_epmOfflineCondition_,"'Venue4'!$A$125:$B$146",_xll.EVRNG($A$125:$B$146))</f>
        <v>'Venue4'!$A$125:$B$146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4 Department",IF($N$1="",IF(_xll.EVDES(B6,$B$1)="#NODATA","",_xll.EVDES(B6,$B$1)&amp;" Department"),$N$1))</f>
        <v>Venue 4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28"/>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28"/>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28"/>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28"/>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29"/>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28"/>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28"/>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28"/>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28"/>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1">
        <f t="shared" si="6"/>
        <v>0</v>
      </c>
      <c r="AJ48" s="532">
        <f t="shared" si="7"/>
        <v>0</v>
      </c>
      <c r="AK48" s="533">
        <f t="shared" si="8"/>
        <v>0</v>
      </c>
      <c r="AL48" s="534">
        <f t="shared" si="9"/>
        <v>0</v>
      </c>
      <c r="AM48" s="535">
        <f t="shared" si="10"/>
        <v>0</v>
      </c>
      <c r="AN48" s="536">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IF(_epmOfflineCondition_,"'Venue4'!$B$2:$B$10",_xll.EVRNG($B$2:$B$10))</f>
        <v>'Venue4'!$B$2:$B$10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29"/>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IF(_epmOfflineCondition_,"'Venue4'!$O$16:$AN$18",_xll.EVRNG($O$16:$AN$18))</f>
        <v>'Venue4'!$O$16:$AN$18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28"/>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IF(_epmOfflineCondition_,"'Venue4'!$H$62:$H$70",_xll.EVRNG(H62:H70))</f>
        <v>'Venue4'!$H$62:$H$70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28"/>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28"/>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28"/>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IF(_epmOfflineCondition_,"'Venue4'!$A$69:$F$77",_xll.EVRNG(A69:F77))</f>
        <v>'Venue4'!$A$69:$F$77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28"/>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IF(_epmOfflineCondition_,"'Venue4'!$A$125:$B$146",_xll.EVRNG($A$125:$B$146))</f>
        <v>'Venue4'!$A$125:$B$146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28"/>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29"/>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28"/>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28"/>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0">
        <f>IFERROR(AA79/AA$20,0)</f>
        <v>0</v>
      </c>
      <c r="AK79" s="441">
        <f>IFERROR(AD79/AD$20,0)</f>
        <v>0</v>
      </c>
      <c r="AL79" s="442">
        <f>IFERROR(AG79/AG$20,0)</f>
        <v>0</v>
      </c>
      <c r="AM79" s="443">
        <f>+IFERROR(ROUND(($AB79-AE79)*100,2)&amp;" pts.",0)</f>
        <v>0</v>
      </c>
      <c r="AN79" s="444">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0">
        <f>IFERROR(AA80/AA$20,0)</f>
        <v>0</v>
      </c>
      <c r="AK80" s="441">
        <f>IFERROR(AD80/AD$20,0)</f>
        <v>0</v>
      </c>
      <c r="AL80" s="442">
        <f>IFERROR(AG80/AG$20,0)</f>
        <v>0</v>
      </c>
      <c r="AM80" s="443">
        <f>+IFERROR(ROUND(($AB80-AE80)*100,2)&amp;" pts.",0)</f>
        <v>0</v>
      </c>
      <c r="AN80" s="444">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IF(_epmOfflineCondition_,"'Venue4'!$B$2:$B$10",_xll.EVRNG($B$2:$B$10))</f>
        <v>'Venue4'!$B$2:$B$10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IF(_epmOfflineCondition_,"'Venue4'!$O$16:$AN$18",_xll.EVRNG($O$16:$AN$18))</f>
        <v>'Venue4'!$O$16:$AN$18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IF(_epmOfflineCondition_,"'Venue4'!$H$76:$H$77,'Venue4'!$H$79:$H$80,'Venue4'!$H$83:$H$84",_xll.EVRNG(H76:H77,H79:H80,H83:H84))</f>
        <v>'Venue4'!$H$76:$H$77,'Venue4'!$H$79:$H$80,'Venue4'!$H$83:$H$84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477">
        <f>IFERROR(AA85/AA$20,0)</f>
        <v>0</v>
      </c>
      <c r="AK85" s="478">
        <f>IFERROR(AD85/AD$20,0)</f>
        <v>0</v>
      </c>
      <c r="AL85" s="479">
        <f>IFERROR(AG85/AG$20,0)</f>
        <v>0</v>
      </c>
      <c r="AM85" s="480">
        <f>+IFERROR(ROUND(($AB85-AE85)*100,2)&amp;" pts.",0)</f>
        <v>0</v>
      </c>
      <c r="AN85" s="555">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466">
        <f>IFERROR(AA87/AA$20,0)</f>
        <v>0</v>
      </c>
      <c r="AK87" s="467">
        <f>IFERROR(AD87/AD$20,0)</f>
        <v>0</v>
      </c>
      <c r="AL87" s="468">
        <f>IFERROR(AG87/AG$20,0)</f>
        <v>0</v>
      </c>
      <c r="AM87" s="469">
        <f>+IFERROR(ROUND(($AB87-AE87)*100,2)&amp;" pts.",0)</f>
        <v>0</v>
      </c>
      <c r="AN87" s="556">
        <f>+IFERROR(ROUND(($AB87-AH87)*100,2)&amp;" pts.",0)</f>
        <v>0</v>
      </c>
      <c r="AO87" s="11"/>
    </row>
    <row r="88" spans="1:41" ht="15" thickBot="1" x14ac:dyDescent="0.4">
      <c r="A88" s="65" t="s">
        <v>7</v>
      </c>
      <c r="B88" s="66" t="str">
        <f>IF(_epmOfflineCondition_,"'Venue4'!$A$102:$F$108",_xll.EVRNG(A102:F108))</f>
        <v>'Venue4'!$A$102:$F$108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83">
        <f>IFERROR(AA88/AA$20,0)</f>
        <v>0</v>
      </c>
      <c r="AK88" s="484">
        <f>IFERROR(AD88/AD$20,0)</f>
        <v>0</v>
      </c>
      <c r="AL88" s="485">
        <f>IFERROR(AG88/AG$20,0)</f>
        <v>0</v>
      </c>
      <c r="AM88" s="486">
        <f>+IFERROR(ROUND(($AB88-AE88)*100,2)&amp;" pts.",0)</f>
        <v>0</v>
      </c>
      <c r="AN88" s="557">
        <f>+IFERROR(ROUND(($AB88-AH88)*100,2)&amp;" pts.",0)</f>
        <v>0</v>
      </c>
      <c r="AO88" s="11"/>
    </row>
    <row r="89" spans="1:41" ht="15" thickTop="1" x14ac:dyDescent="0.35">
      <c r="A89" s="65" t="s">
        <v>47</v>
      </c>
      <c r="B89" s="66" t="str">
        <f>IF(_epmOfflineCondition_,"'Venue4'!$A$125:$B$146",_xll.EVRNG($A$125:$B$146))</f>
        <v>'Venue4'!$A$125:$B$146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IF(_epmOfflineCondition_,"'Venue4'!$B$2:$B$10",_xll.EVRNG($B$2:$B$10))</f>
        <v>'Venue4'!$B$2:$B$10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IF(_epmOfflineCondition_,"'Venue4'!$O$16:$AN$18",_xll.EVRNG($O$16:$AN$18))</f>
        <v>'Venue4'!$O$16:$AN$18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IF(_epmOfflineCondition_,"'Venue4'!$H$85:$H$88",_xll.EVRNG(H85:H88))</f>
        <v>'Venue4'!$H$85:$H$88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IF(_epmOfflineCondition_,"'Venue4'!$A$125:$B$146",_xll.EVRNG($A$125:$B$146))</f>
        <v>'Venue4'!$A$125:$B$146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DhBuuH/n9lkp38TKphvzB15MZtXgxZrQFJcTjPKYJ5w1hLe37TaqswKjh5Mn8sFBhstGjw2lWiWSlBqbwogK5Q==" saltValue="XbnSpTSDfRfKkNU0OAmHVg==" spinCount="100000" sheet="1" scenarios="1"/>
  <mergeCells count="2">
    <mergeCell ref="AD31:AE31"/>
    <mergeCell ref="AG31:AH31"/>
  </mergeCells>
  <dataValidations disablePrompts="1" count="2">
    <dataValidation type="list" allowBlank="1" sqref="B29 B95 B62" xr:uid="{00000000-0002-0000-0D00-000000000000}">
      <formula1>"SELF,ALL,BAS,DEP,BASMEMBERS,MEMBERS,NOEXPAND,GDEP"</formula1>
    </dataValidation>
    <dataValidation type="list" allowBlank="1" sqref="B28 B94 B61" xr:uid="{00000000-0002-0000-0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Venue4!N1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733</v>
      </c>
      <c r="C6" s="11" t="str">
        <f>IF(_epmOfflineCondition_,"Venue 4",_xll.EVDES(B6,$B$1))</f>
        <v>Venue 4</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IF(_epmOfflineCondition_,"'Venue4_KPI'!$B$2:$B$10",_xll.EVRNG($B$2:$B$10))</f>
        <v>'Venue4_KPI'!$B$2:$B$10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IF(_epmOfflineCondition_,"'Venue4_KPI'!$O$16:$AI$18",_xll.EVRNG(O16:AI18))</f>
        <v>'Venue4_KPI'!$O$16:$AI$18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IF(_epmOfflineCondition_,"'Venue4_KPI'!$H$35:$H$146",_xll.EVRNG(H35:H146))</f>
        <v>'Venue4_KPI'!$H$35:$H$146</v>
      </c>
      <c r="C19" s="11"/>
      <c r="D19" s="11"/>
      <c r="E19" s="11"/>
      <c r="F19" s="11"/>
      <c r="G19" s="67" t="str">
        <f>$B$6</f>
        <v>D2145</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D2145</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IF(_epmOfflineCondition_,"'Venue4_KPI'!$A$37:$B$58",_xll.EVRNG($A$37:$B$58))</f>
        <v>'Venue4_KPI'!$A$37:$B$58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4 Department",IF($N$1="",IF(_xll.EVDES(B6,$B$1)="#NODATA","",_xll.EVDES(B6,$B$1)&amp;" Department"),$N$1))</f>
        <v>Venue 4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R1fc8ysUgv/1EOVu4REabV41bEl1bHwytpNGWBbW0b6e/7/+JOY5EFS9k3yZW/TAGsCd8y9g1TZ0bMvlXnzsMA==" saltValue="/kZ+TKF9SqxEx27asJY/0A==" spinCount="100000" sheet="1" scenarios="1"/>
  <mergeCells count="2">
    <mergeCell ref="AD31:AE31"/>
    <mergeCell ref="AG31:AH31"/>
  </mergeCells>
  <conditionalFormatting sqref="AD43 AF43:AG43 O43:AA43">
    <cfRule type="expression" dxfId="110" priority="15">
      <formula>ROUND(O42,2)&lt;&gt;ROUND(O43,2)</formula>
    </cfRule>
  </conditionalFormatting>
  <conditionalFormatting sqref="N43">
    <cfRule type="expression" dxfId="109" priority="14">
      <formula>$G43&lt;&gt;0</formula>
    </cfRule>
  </conditionalFormatting>
  <conditionalFormatting sqref="O53:AA53 AD53 AF53:AG53">
    <cfRule type="expression" dxfId="108" priority="13">
      <formula>ROUND(O52,2)&lt;&gt;ROUND(O53,2)</formula>
    </cfRule>
  </conditionalFormatting>
  <conditionalFormatting sqref="N53">
    <cfRule type="expression" dxfId="107" priority="12">
      <formula>$G53&lt;&gt;0</formula>
    </cfRule>
  </conditionalFormatting>
  <conditionalFormatting sqref="O63:AA63 AD63 AF63:AG63">
    <cfRule type="expression" dxfId="106" priority="11">
      <formula>ROUND(O62,2)&lt;&gt;ROUND(O63,2)</formula>
    </cfRule>
  </conditionalFormatting>
  <conditionalFormatting sqref="N63">
    <cfRule type="expression" dxfId="105" priority="10">
      <formula>$G63&lt;&gt;0</formula>
    </cfRule>
  </conditionalFormatting>
  <conditionalFormatting sqref="O73:AA73 AD73 AF73:AG73">
    <cfRule type="expression" dxfId="104" priority="9">
      <formula>ROUND(O72,2)&lt;&gt;ROUND(O73,2)</formula>
    </cfRule>
  </conditionalFormatting>
  <conditionalFormatting sqref="N73">
    <cfRule type="expression" dxfId="103" priority="8">
      <formula>$G73&lt;&gt;0</formula>
    </cfRule>
  </conditionalFormatting>
  <conditionalFormatting sqref="N82">
    <cfRule type="expression" dxfId="102" priority="7">
      <formula>$G82&lt;&gt;0</formula>
    </cfRule>
  </conditionalFormatting>
  <conditionalFormatting sqref="AD82 AF82:AG82 O82:AA82">
    <cfRule type="expression" dxfId="101" priority="6">
      <formula>ROUND(O81,2)&lt;&gt;ROUND(O82,2)</formula>
    </cfRule>
  </conditionalFormatting>
  <conditionalFormatting sqref="AI43">
    <cfRule type="expression" dxfId="100" priority="5">
      <formula>ROUND(AI42,2)&lt;&gt;ROUND(AI43,2)</formula>
    </cfRule>
  </conditionalFormatting>
  <conditionalFormatting sqref="AI53">
    <cfRule type="expression" dxfId="99" priority="4">
      <formula>ROUND(AI52,2)&lt;&gt;ROUND(AI53,2)</formula>
    </cfRule>
  </conditionalFormatting>
  <conditionalFormatting sqref="AI63">
    <cfRule type="expression" dxfId="98" priority="3">
      <formula>ROUND(AI62,2)&lt;&gt;ROUND(AI63,2)</formula>
    </cfRule>
  </conditionalFormatting>
  <conditionalFormatting sqref="AI73">
    <cfRule type="expression" dxfId="97" priority="2">
      <formula>ROUND(AI72,2)&lt;&gt;ROUND(AI73,2)</formula>
    </cfRule>
  </conditionalFormatting>
  <conditionalFormatting sqref="AI82">
    <cfRule type="expression" dxfId="96" priority="1">
      <formula>ROUND(AI81,2)&lt;&gt;ROUND(AI82,2)</formula>
    </cfRule>
  </conditionalFormatting>
  <dataValidations count="2">
    <dataValidation type="list" allowBlank="1" sqref="B28" xr:uid="{00000000-0002-0000-0E00-000000000000}">
      <formula1>"ACCOUNT,BUSINESSUNIT,CATEGORY,DATASRC,DEPARTMENT,INTCO,MEASURES,RPTCURRENCY,TIME"</formula1>
    </dataValidation>
    <dataValidation type="list" allowBlank="1" sqref="B29" xr:uid="{00000000-0002-0000-0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2">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787</v>
      </c>
      <c r="C6" s="11" t="str">
        <f>IF(_epmOfflineCondition_,"Venue 5",_xll.EVDES(B6,$B$1))</f>
        <v>Venue 5</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IF(_epmOfflineCondition_,"'Venue5'!$B$2:$B$10",_xll.EVRNG($B$2:$B$10))</f>
        <v>'Venue5'!$B$2:$B$10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IF(_epmOfflineCondition_,"'Venue5'!$O$16:$AN$18",_xll.EVRNG($O$16:$AN$18))</f>
        <v>'Venue5'!$O$16:$AN$18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IF(_epmOfflineCondition_,"'Venue5'!$H$35:$H$58",_xll.EVRNG(H35:H58))</f>
        <v>'Venue5'!$H$35:$H$58</v>
      </c>
      <c r="C19" s="11"/>
      <c r="D19" s="11"/>
      <c r="E19" s="11"/>
      <c r="F19" s="11"/>
      <c r="G19" s="67" t="str">
        <f>$B$6</f>
        <v>D2143</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D2143</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IF(_epmOfflineCondition_,"'Venue5'!$A$36:$F$44",_xll.EVRNG(A36:F44))</f>
        <v>'Venue5'!$A$36:$F$44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IF(_epmOfflineCondition_,"'Venue5'!$A$125:$B$146",_xll.EVRNG($A$125:$B$146))</f>
        <v>'Venue5'!$A$125:$B$146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5 Department",IF($N$1="",IF(_xll.EVDES(B6,$B$1)="#NODATA","",_xll.EVDES(B6,$B$1)&amp;" Department"),$N$1))</f>
        <v>Venue 5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28"/>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28"/>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28"/>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28"/>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29"/>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28"/>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28"/>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28"/>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28"/>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1">
        <f t="shared" si="6"/>
        <v>0</v>
      </c>
      <c r="AJ48" s="532">
        <f t="shared" si="7"/>
        <v>0</v>
      </c>
      <c r="AK48" s="533">
        <f t="shared" si="8"/>
        <v>0</v>
      </c>
      <c r="AL48" s="534">
        <f t="shared" si="9"/>
        <v>0</v>
      </c>
      <c r="AM48" s="535">
        <f t="shared" si="10"/>
        <v>0</v>
      </c>
      <c r="AN48" s="536">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IF(_epmOfflineCondition_,"'Venue5'!$B$2:$B$10",_xll.EVRNG($B$2:$B$10))</f>
        <v>'Venue5'!$B$2:$B$10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29"/>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IF(_epmOfflineCondition_,"'Venue5'!$O$16:$AN$18",_xll.EVRNG($O$16:$AN$18))</f>
        <v>'Venue5'!$O$16:$AN$18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28"/>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IF(_epmOfflineCondition_,"'Venue5'!$H$62:$H$70",_xll.EVRNG(H62:H70))</f>
        <v>'Venue5'!$H$62:$H$70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28"/>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28"/>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28"/>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IF(_epmOfflineCondition_,"'Venue5'!$A$69:$F$77",_xll.EVRNG(A69:F77))</f>
        <v>'Venue5'!$A$69:$F$77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28"/>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IF(_epmOfflineCondition_,"'Venue5'!$A$125:$B$146",_xll.EVRNG($A$125:$B$146))</f>
        <v>'Venue5'!$A$125:$B$146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28"/>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29"/>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28"/>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28"/>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0">
        <f>IFERROR(AA79/AA$20,0)</f>
        <v>0</v>
      </c>
      <c r="AK79" s="441">
        <f>IFERROR(AD79/AD$20,0)</f>
        <v>0</v>
      </c>
      <c r="AL79" s="442">
        <f>IFERROR(AG79/AG$20,0)</f>
        <v>0</v>
      </c>
      <c r="AM79" s="443">
        <f>+IFERROR(ROUND(($AB79-AE79)*100,2)&amp;" pts.",0)</f>
        <v>0</v>
      </c>
      <c r="AN79" s="444">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0">
        <f>IFERROR(AA80/AA$20,0)</f>
        <v>0</v>
      </c>
      <c r="AK80" s="441">
        <f>IFERROR(AD80/AD$20,0)</f>
        <v>0</v>
      </c>
      <c r="AL80" s="442">
        <f>IFERROR(AG80/AG$20,0)</f>
        <v>0</v>
      </c>
      <c r="AM80" s="443">
        <f>+IFERROR(ROUND(($AB80-AE80)*100,2)&amp;" pts.",0)</f>
        <v>0</v>
      </c>
      <c r="AN80" s="444">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IF(_epmOfflineCondition_,"'Venue5'!$B$2:$B$10",_xll.EVRNG($B$2:$B$10))</f>
        <v>'Venue5'!$B$2:$B$10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IF(_epmOfflineCondition_,"'Venue5'!$O$16:$AN$18",_xll.EVRNG($O$16:$AN$18))</f>
        <v>'Venue5'!$O$16:$AN$18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IF(_epmOfflineCondition_,"'Venue5'!$H$76:$H$77,'Venue5'!$H$79:$H$80,'Venue5'!$H$83:$H$84",_xll.EVRNG(H76:H77,H79:H80,H83:H84))</f>
        <v>'Venue5'!$H$76:$H$77,'Venue5'!$H$79:$H$80,'Venue5'!$H$83:$H$84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477">
        <f>IFERROR(AA85/AA$20,0)</f>
        <v>0</v>
      </c>
      <c r="AK85" s="478">
        <f>IFERROR(AD85/AD$20,0)</f>
        <v>0</v>
      </c>
      <c r="AL85" s="479">
        <f>IFERROR(AG85/AG$20,0)</f>
        <v>0</v>
      </c>
      <c r="AM85" s="480">
        <f>+IFERROR(ROUND(($AB85-AE85)*100,2)&amp;" pts.",0)</f>
        <v>0</v>
      </c>
      <c r="AN85" s="555">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466">
        <f>IFERROR(AA87/AA$20,0)</f>
        <v>0</v>
      </c>
      <c r="AK87" s="467">
        <f>IFERROR(AD87/AD$20,0)</f>
        <v>0</v>
      </c>
      <c r="AL87" s="468">
        <f>IFERROR(AG87/AG$20,0)</f>
        <v>0</v>
      </c>
      <c r="AM87" s="469">
        <f>+IFERROR(ROUND(($AB87-AE87)*100,2)&amp;" pts.",0)</f>
        <v>0</v>
      </c>
      <c r="AN87" s="556">
        <f>+IFERROR(ROUND(($AB87-AH87)*100,2)&amp;" pts.",0)</f>
        <v>0</v>
      </c>
      <c r="AO87" s="11"/>
    </row>
    <row r="88" spans="1:41" ht="15" thickBot="1" x14ac:dyDescent="0.4">
      <c r="A88" s="65" t="s">
        <v>7</v>
      </c>
      <c r="B88" s="66" t="str">
        <f>IF(_epmOfflineCondition_,"'Venue5'!$A$102:$F$108",_xll.EVRNG(A102:F108))</f>
        <v>'Venue5'!$A$102:$F$108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83">
        <f>IFERROR(AA88/AA$20,0)</f>
        <v>0</v>
      </c>
      <c r="AK88" s="484">
        <f>IFERROR(AD88/AD$20,0)</f>
        <v>0</v>
      </c>
      <c r="AL88" s="485">
        <f>IFERROR(AG88/AG$20,0)</f>
        <v>0</v>
      </c>
      <c r="AM88" s="486">
        <f>+IFERROR(ROUND(($AB88-AE88)*100,2)&amp;" pts.",0)</f>
        <v>0</v>
      </c>
      <c r="AN88" s="557">
        <f>+IFERROR(ROUND(($AB88-AH88)*100,2)&amp;" pts.",0)</f>
        <v>0</v>
      </c>
      <c r="AO88" s="11"/>
    </row>
    <row r="89" spans="1:41" ht="15" thickTop="1" x14ac:dyDescent="0.35">
      <c r="A89" s="65" t="s">
        <v>47</v>
      </c>
      <c r="B89" s="66" t="str">
        <f>IF(_epmOfflineCondition_,"'Venue5'!$A$125:$B$146",_xll.EVRNG($A$125:$B$146))</f>
        <v>'Venue5'!$A$125:$B$146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IF(_epmOfflineCondition_,"'Venue5'!$B$2:$B$10",_xll.EVRNG($B$2:$B$10))</f>
        <v>'Venue5'!$B$2:$B$10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IF(_epmOfflineCondition_,"'Venue5'!$O$16:$AN$18",_xll.EVRNG($O$16:$AN$18))</f>
        <v>'Venue5'!$O$16:$AN$18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IF(_epmOfflineCondition_,"'Venue5'!$H$85:$H$88",_xll.EVRNG(H85:H88))</f>
        <v>'Venue5'!$H$85:$H$88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IF(_epmOfflineCondition_,"'Venue5'!$A$125:$B$146",_xll.EVRNG($A$125:$B$146))</f>
        <v>'Venue5'!$A$125:$B$146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pr76IimWpecDx7xAzpwKttpMhQGiceewhOK/IIuvxe+yKppvQ2vR7DqZQFoWdvxaAfX3nuWmB57VDr9VMi40dg==" saltValue="i5D64jR3TM+M8tixDtHv+w==" spinCount="100000" sheet="1" scenarios="1"/>
  <mergeCells count="2">
    <mergeCell ref="AD31:AE31"/>
    <mergeCell ref="AG31:AH31"/>
  </mergeCells>
  <dataValidations count="2">
    <dataValidation type="list" allowBlank="1" sqref="B28 B94 B61" xr:uid="{00000000-0002-0000-0F00-000000000000}">
      <formula1>"ACCOUNT,BUSINESSUNIT,CATEGORY,DATASRC,DEPARTMENT,INTCO,MEASURES,RPTCURRENCY,TIME"</formula1>
    </dataValidation>
    <dataValidation type="list" allowBlank="1" sqref="B29 B95 B62" xr:uid="{00000000-0002-0000-0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0405"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30405" r:id="rId7" name="FPMExcelClientSheetOptionstb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3">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Venue5!N1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787</v>
      </c>
      <c r="C6" s="11" t="str">
        <f>IF(_epmOfflineCondition_,"Venue 5",_xll.EVDES(B6,$B$1))</f>
        <v>Venue 5</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IF(_epmOfflineCondition_,"'Venue5_KPI'!$B$2:$B$10",_xll.EVRNG($B$2:$B$10))</f>
        <v>'Venue5_KPI'!$B$2:$B$10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IF(_epmOfflineCondition_,"'Venue5_KPI'!$O$16:$AI$18",_xll.EVRNG(O16:AI18))</f>
        <v>'Venue5_KPI'!$O$16:$AI$18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IF(_epmOfflineCondition_,"'Venue5_KPI'!$H$35:$H$146",_xll.EVRNG(H35:H146))</f>
        <v>'Venue5_KPI'!$H$35:$H$146</v>
      </c>
      <c r="C19" s="11"/>
      <c r="D19" s="11"/>
      <c r="E19" s="11"/>
      <c r="F19" s="11"/>
      <c r="G19" s="67" t="str">
        <f>$B$6</f>
        <v>D2143</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D2143</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IF(_epmOfflineCondition_,"'Venue5_KPI'!$A$37:$B$58",_xll.EVRNG($A$37:$B$58))</f>
        <v>'Venue5_KPI'!$A$37:$B$58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5 Department",IF($N$1="",IF(_xll.EVDES(B6,$B$1)="#NODATA","",_xll.EVDES(B6,$B$1)&amp;" Department"),$N$1))</f>
        <v>Venue 5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cWtpCVHnqojdoEc+VIMZ9XqLiv0p2y5VRt4YZSliaQzns0vd5ofF0W5fOx/14uML1qzdmLF36PbJGOWFQs6ijA==" saltValue="LfbF6owHoQJCuvG9ph+nSw==" spinCount="100000" sheet="1" scenarios="1"/>
  <mergeCells count="2">
    <mergeCell ref="AD31:AE31"/>
    <mergeCell ref="AG31:AH31"/>
  </mergeCells>
  <conditionalFormatting sqref="AD43 AF43:AG43 O43:AA43">
    <cfRule type="expression" dxfId="95" priority="15">
      <formula>ROUND(O42,2)&lt;&gt;ROUND(O43,2)</formula>
    </cfRule>
  </conditionalFormatting>
  <conditionalFormatting sqref="N43">
    <cfRule type="expression" dxfId="94" priority="14">
      <formula>$G43&lt;&gt;0</formula>
    </cfRule>
  </conditionalFormatting>
  <conditionalFormatting sqref="O53:AA53 AD53 AF53:AG53">
    <cfRule type="expression" dxfId="93" priority="13">
      <formula>ROUND(O52,2)&lt;&gt;ROUND(O53,2)</formula>
    </cfRule>
  </conditionalFormatting>
  <conditionalFormatting sqref="N53">
    <cfRule type="expression" dxfId="92" priority="12">
      <formula>$G53&lt;&gt;0</formula>
    </cfRule>
  </conditionalFormatting>
  <conditionalFormatting sqref="O63:AA63 AD63 AF63:AG63">
    <cfRule type="expression" dxfId="91" priority="11">
      <formula>ROUND(O62,2)&lt;&gt;ROUND(O63,2)</formula>
    </cfRule>
  </conditionalFormatting>
  <conditionalFormatting sqref="N63">
    <cfRule type="expression" dxfId="90" priority="10">
      <formula>$G63&lt;&gt;0</formula>
    </cfRule>
  </conditionalFormatting>
  <conditionalFormatting sqref="O73:AA73 AD73 AF73:AG73">
    <cfRule type="expression" dxfId="89" priority="9">
      <formula>ROUND(O72,2)&lt;&gt;ROUND(O73,2)</formula>
    </cfRule>
  </conditionalFormatting>
  <conditionalFormatting sqref="N73">
    <cfRule type="expression" dxfId="88" priority="8">
      <formula>$G73&lt;&gt;0</formula>
    </cfRule>
  </conditionalFormatting>
  <conditionalFormatting sqref="N82">
    <cfRule type="expression" dxfId="87" priority="7">
      <formula>$G82&lt;&gt;0</formula>
    </cfRule>
  </conditionalFormatting>
  <conditionalFormatting sqref="AD82 AF82:AG82 O82:AA82">
    <cfRule type="expression" dxfId="86" priority="6">
      <formula>ROUND(O81,2)&lt;&gt;ROUND(O82,2)</formula>
    </cfRule>
  </conditionalFormatting>
  <conditionalFormatting sqref="AI43">
    <cfRule type="expression" dxfId="85" priority="5">
      <formula>ROUND(AI42,2)&lt;&gt;ROUND(AI43,2)</formula>
    </cfRule>
  </conditionalFormatting>
  <conditionalFormatting sqref="AI53">
    <cfRule type="expression" dxfId="84" priority="4">
      <formula>ROUND(AI52,2)&lt;&gt;ROUND(AI53,2)</formula>
    </cfRule>
  </conditionalFormatting>
  <conditionalFormatting sqref="AI63">
    <cfRule type="expression" dxfId="83" priority="3">
      <formula>ROUND(AI62,2)&lt;&gt;ROUND(AI63,2)</formula>
    </cfRule>
  </conditionalFormatting>
  <conditionalFormatting sqref="AI73">
    <cfRule type="expression" dxfId="82" priority="2">
      <formula>ROUND(AI72,2)&lt;&gt;ROUND(AI73,2)</formula>
    </cfRule>
  </conditionalFormatting>
  <conditionalFormatting sqref="AI82">
    <cfRule type="expression" dxfId="81" priority="1">
      <formula>ROUND(AI81,2)&lt;&gt;ROUND(AI82,2)</formula>
    </cfRule>
  </conditionalFormatting>
  <dataValidations count="2">
    <dataValidation type="list" allowBlank="1" sqref="B29" xr:uid="{00000000-0002-0000-1000-000000000000}">
      <formula1>"SELF,ALL,BAS,DEP,BASMEMBERS,MEMBERS,NOEXPAND,GDEP"</formula1>
    </dataValidation>
    <dataValidation type="list" allowBlank="1" sqref="B28" xr:uid="{00000000-0002-0000-1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788</v>
      </c>
      <c r="C6" s="11" t="str">
        <f>IF(_epmOfflineCondition_,"Venue 6",_xll.EVDES(B6,$B$1))</f>
        <v>Venue 6</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IF(_epmOfflineCondition_,"'Venue6'!$B$2:$B$10",_xll.EVRNG($B$2:$B$10))</f>
        <v>'Venue6'!$B$2:$B$10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IF(_epmOfflineCondition_,"'Venue6'!$O$16:$AN$18",_xll.EVRNG($O$16:$AN$18))</f>
        <v>'Venue6'!$O$16:$AN$18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IF(_epmOfflineCondition_,"'Venue6'!$H$35:$H$58",_xll.EVRNG(H35:H58))</f>
        <v>'Venue6'!$H$35:$H$58</v>
      </c>
      <c r="C19" s="11"/>
      <c r="D19" s="11"/>
      <c r="E19" s="11"/>
      <c r="F19" s="11"/>
      <c r="G19" s="67" t="str">
        <f>$B$6</f>
        <v>D2144</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D2144</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IF(_epmOfflineCondition_,"'Venue6'!$A$36:$F$44",_xll.EVRNG(A36:F44))</f>
        <v>'Venue6'!$A$36:$F$44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IF(_epmOfflineCondition_,"'Venue6'!$A$125:$B$146",_xll.EVRNG($A$125:$B$146))</f>
        <v>'Venue6'!$A$125:$B$146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6 Department",IF($N$1="",IF(_xll.EVDES(B6,$B$1)="#NODATA","",_xll.EVDES(B6,$B$1)&amp;" Department"),$N$1))</f>
        <v>Venue 6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28"/>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28"/>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28"/>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28"/>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29"/>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28"/>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28"/>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28"/>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28"/>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1">
        <f t="shared" si="6"/>
        <v>0</v>
      </c>
      <c r="AJ48" s="532">
        <f t="shared" si="7"/>
        <v>0</v>
      </c>
      <c r="AK48" s="533">
        <f t="shared" si="8"/>
        <v>0</v>
      </c>
      <c r="AL48" s="534">
        <f t="shared" si="9"/>
        <v>0</v>
      </c>
      <c r="AM48" s="535">
        <f t="shared" si="10"/>
        <v>0</v>
      </c>
      <c r="AN48" s="536">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IF(_epmOfflineCondition_,"'Venue6'!$B$2:$B$10",_xll.EVRNG($B$2:$B$10))</f>
        <v>'Venue6'!$B$2:$B$10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29"/>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IF(_epmOfflineCondition_,"'Venue6'!$O$16:$AN$18",_xll.EVRNG($O$16:$AN$18))</f>
        <v>'Venue6'!$O$16:$AN$18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28"/>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IF(_epmOfflineCondition_,"'Venue6'!$H$62:$H$70",_xll.EVRNG(H62:H70))</f>
        <v>'Venue6'!$H$62:$H$70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28"/>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28"/>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28"/>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IF(_epmOfflineCondition_,"'Venue6'!$A$69:$F$77",_xll.EVRNG(A69:F77))</f>
        <v>'Venue6'!$A$69:$F$77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28"/>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IF(_epmOfflineCondition_,"'Venue6'!$A$125:$B$146",_xll.EVRNG($A$125:$B$146))</f>
        <v>'Venue6'!$A$125:$B$146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28"/>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29"/>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28"/>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28"/>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0">
        <f>IFERROR(AA79/AA$20,0)</f>
        <v>0</v>
      </c>
      <c r="AK79" s="441">
        <f>IFERROR(AD79/AD$20,0)</f>
        <v>0</v>
      </c>
      <c r="AL79" s="442">
        <f>IFERROR(AG79/AG$20,0)</f>
        <v>0</v>
      </c>
      <c r="AM79" s="443">
        <f>+IFERROR(ROUND(($AB79-AE79)*100,2)&amp;" pts.",0)</f>
        <v>0</v>
      </c>
      <c r="AN79" s="444">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0">
        <f>IFERROR(AA80/AA$20,0)</f>
        <v>0</v>
      </c>
      <c r="AK80" s="441">
        <f>IFERROR(AD80/AD$20,0)</f>
        <v>0</v>
      </c>
      <c r="AL80" s="442">
        <f>IFERROR(AG80/AG$20,0)</f>
        <v>0</v>
      </c>
      <c r="AM80" s="443">
        <f>+IFERROR(ROUND(($AB80-AE80)*100,2)&amp;" pts.",0)</f>
        <v>0</v>
      </c>
      <c r="AN80" s="444">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IF(_epmOfflineCondition_,"'Venue6'!$B$2:$B$10",_xll.EVRNG($B$2:$B$10))</f>
        <v>'Venue6'!$B$2:$B$10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IF(_epmOfflineCondition_,"'Venue6'!$O$16:$AN$18",_xll.EVRNG($O$16:$AN$18))</f>
        <v>'Venue6'!$O$16:$AN$18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IF(_epmOfflineCondition_,"'Venue6'!$H$76:$H$77,'Venue6'!$H$79:$H$80,'Venue6'!$H$83:$H$84",_xll.EVRNG(H76:H77,H79:H80,H83:H84))</f>
        <v>'Venue6'!$H$76:$H$77,'Venue6'!$H$79:$H$80,'Venue6'!$H$83:$H$84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477">
        <f>IFERROR(AA85/AA$20,0)</f>
        <v>0</v>
      </c>
      <c r="AK85" s="478">
        <f>IFERROR(AD85/AD$20,0)</f>
        <v>0</v>
      </c>
      <c r="AL85" s="479">
        <f>IFERROR(AG85/AG$20,0)</f>
        <v>0</v>
      </c>
      <c r="AM85" s="480">
        <f>+IFERROR(ROUND(($AB85-AE85)*100,2)&amp;" pts.",0)</f>
        <v>0</v>
      </c>
      <c r="AN85" s="555">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466">
        <f>IFERROR(AA87/AA$20,0)</f>
        <v>0</v>
      </c>
      <c r="AK87" s="467">
        <f>IFERROR(AD87/AD$20,0)</f>
        <v>0</v>
      </c>
      <c r="AL87" s="468">
        <f>IFERROR(AG87/AG$20,0)</f>
        <v>0</v>
      </c>
      <c r="AM87" s="469">
        <f>+IFERROR(ROUND(($AB87-AE87)*100,2)&amp;" pts.",0)</f>
        <v>0</v>
      </c>
      <c r="AN87" s="556">
        <f>+IFERROR(ROUND(($AB87-AH87)*100,2)&amp;" pts.",0)</f>
        <v>0</v>
      </c>
      <c r="AO87" s="11"/>
    </row>
    <row r="88" spans="1:41" ht="15" thickBot="1" x14ac:dyDescent="0.4">
      <c r="A88" s="65" t="s">
        <v>7</v>
      </c>
      <c r="B88" s="66" t="str">
        <f>IF(_epmOfflineCondition_,"'Venue6'!$A$102:$F$108",_xll.EVRNG(A102:F108))</f>
        <v>'Venue6'!$A$102:$F$108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83">
        <f>IFERROR(AA88/AA$20,0)</f>
        <v>0</v>
      </c>
      <c r="AK88" s="484">
        <f>IFERROR(AD88/AD$20,0)</f>
        <v>0</v>
      </c>
      <c r="AL88" s="485">
        <f>IFERROR(AG88/AG$20,0)</f>
        <v>0</v>
      </c>
      <c r="AM88" s="486">
        <f>+IFERROR(ROUND(($AB88-AE88)*100,2)&amp;" pts.",0)</f>
        <v>0</v>
      </c>
      <c r="AN88" s="557">
        <f>+IFERROR(ROUND(($AB88-AH88)*100,2)&amp;" pts.",0)</f>
        <v>0</v>
      </c>
      <c r="AO88" s="11"/>
    </row>
    <row r="89" spans="1:41" ht="15" thickTop="1" x14ac:dyDescent="0.35">
      <c r="A89" s="65" t="s">
        <v>47</v>
      </c>
      <c r="B89" s="66" t="str">
        <f>IF(_epmOfflineCondition_,"'Venue6'!$A$125:$B$146",_xll.EVRNG($A$125:$B$146))</f>
        <v>'Venue6'!$A$125:$B$146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IF(_epmOfflineCondition_,"'Venue6'!$B$2:$B$10",_xll.EVRNG($B$2:$B$10))</f>
        <v>'Venue6'!$B$2:$B$10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IF(_epmOfflineCondition_,"'Venue6'!$O$16:$AN$18",_xll.EVRNG($O$16:$AN$18))</f>
        <v>'Venue6'!$O$16:$AN$18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IF(_epmOfflineCondition_,"'Venue6'!$H$85:$H$88",_xll.EVRNG(H85:H88))</f>
        <v>'Venue6'!$H$85:$H$88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IF(_epmOfflineCondition_,"'Venue6'!$A$125:$B$146",_xll.EVRNG($A$125:$B$146))</f>
        <v>'Venue6'!$A$125:$B$146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V5uF4b48ds8OPxvgxnf6jg/iFZS/KlBTHKjsOlvEFB1GH1txMZ+Q499zFBLkTj0PFGGiiKQ5uxcvDoye4ucajQ==" saltValue="Z0YE+FE7JeI4dgIkcr7fKA==" spinCount="100000" sheet="1" scenarios="1"/>
  <mergeCells count="2">
    <mergeCell ref="AD31:AE31"/>
    <mergeCell ref="AG31:AH31"/>
  </mergeCells>
  <dataValidations count="2">
    <dataValidation type="list" allowBlank="1" sqref="B29 B95 B62" xr:uid="{00000000-0002-0000-1100-000000000000}">
      <formula1>"SELF,ALL,BAS,DEP,BASMEMBERS,MEMBERS,NOEXPAND,GDEP"</formula1>
    </dataValidation>
    <dataValidation type="list" allowBlank="1" sqref="B28 B94 B61" xr:uid="{00000000-0002-0000-1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2449"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32449" r:id="rId7" name="FPMExcelClientSheetOptionstb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5">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Venue6!N1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788</v>
      </c>
      <c r="C6" s="11" t="str">
        <f>IF(_epmOfflineCondition_,"Venue 6",_xll.EVDES(B6,$B$1))</f>
        <v>Venue 6</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IF(_epmOfflineCondition_,"'Venue6_KPI'!$B$2:$B$10",_xll.EVRNG($B$2:$B$10))</f>
        <v>'Venue6_KPI'!$B$2:$B$10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IF(_epmOfflineCondition_,"'Venue6_KPI'!$O$16:$AI$18",_xll.EVRNG(O16:AI18))</f>
        <v>'Venue6_KPI'!$O$16:$AI$18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IF(_epmOfflineCondition_,"'Venue6_KPI'!$H$35:$H$146",_xll.EVRNG(H35:H146))</f>
        <v>'Venue6_KPI'!$H$35:$H$146</v>
      </c>
      <c r="C19" s="11"/>
      <c r="D19" s="11"/>
      <c r="E19" s="11"/>
      <c r="F19" s="11"/>
      <c r="G19" s="67" t="str">
        <f>$B$6</f>
        <v>D2144</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D2144</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IF(_epmOfflineCondition_,"'Venue6_KPI'!$A$37:$B$58",_xll.EVRNG($A$37:$B$58))</f>
        <v>'Venue6_KPI'!$A$37:$B$58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6 Department",IF($N$1="",IF(_xll.EVDES(B6,$B$1)="#NODATA","",_xll.EVDES(B6,$B$1)&amp;" Department"),$N$1))</f>
        <v>Venue 6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Pu6t96iRf+t9yo849alW+K0SwJF/VDQuJsPEyYh7HqbRu+AnMEy0l8bQxNKojP2dXux6rd7sl1aiObvWtuhdLQ==" saltValue="9eFXiKS/BsjD+v8a6V93pg==" spinCount="100000" sheet="1" scenarios="1"/>
  <mergeCells count="2">
    <mergeCell ref="AD31:AE31"/>
    <mergeCell ref="AG31:AH31"/>
  </mergeCells>
  <conditionalFormatting sqref="AD43 AF43:AG43 O43:AA43">
    <cfRule type="expression" dxfId="80" priority="15">
      <formula>ROUND(O42,2)&lt;&gt;ROUND(O43,2)</formula>
    </cfRule>
  </conditionalFormatting>
  <conditionalFormatting sqref="N43">
    <cfRule type="expression" dxfId="79" priority="14">
      <formula>$G43&lt;&gt;0</formula>
    </cfRule>
  </conditionalFormatting>
  <conditionalFormatting sqref="O53:AA53 AD53 AF53:AG53">
    <cfRule type="expression" dxfId="78" priority="13">
      <formula>ROUND(O52,2)&lt;&gt;ROUND(O53,2)</formula>
    </cfRule>
  </conditionalFormatting>
  <conditionalFormatting sqref="N53">
    <cfRule type="expression" dxfId="77" priority="12">
      <formula>$G53&lt;&gt;0</formula>
    </cfRule>
  </conditionalFormatting>
  <conditionalFormatting sqref="O63:AA63 AD63 AF63:AG63">
    <cfRule type="expression" dxfId="76" priority="11">
      <formula>ROUND(O62,2)&lt;&gt;ROUND(O63,2)</formula>
    </cfRule>
  </conditionalFormatting>
  <conditionalFormatting sqref="N63">
    <cfRule type="expression" dxfId="75" priority="10">
      <formula>$G63&lt;&gt;0</formula>
    </cfRule>
  </conditionalFormatting>
  <conditionalFormatting sqref="O73:AA73 AD73 AF73:AG73">
    <cfRule type="expression" dxfId="74" priority="9">
      <formula>ROUND(O72,2)&lt;&gt;ROUND(O73,2)</formula>
    </cfRule>
  </conditionalFormatting>
  <conditionalFormatting sqref="N73">
    <cfRule type="expression" dxfId="73" priority="8">
      <formula>$G73&lt;&gt;0</formula>
    </cfRule>
  </conditionalFormatting>
  <conditionalFormatting sqref="N82">
    <cfRule type="expression" dxfId="72" priority="7">
      <formula>$G82&lt;&gt;0</formula>
    </cfRule>
  </conditionalFormatting>
  <conditionalFormatting sqref="AD82 AF82:AG82 O82:AA82">
    <cfRule type="expression" dxfId="71" priority="6">
      <formula>ROUND(O81,2)&lt;&gt;ROUND(O82,2)</formula>
    </cfRule>
  </conditionalFormatting>
  <conditionalFormatting sqref="AI43">
    <cfRule type="expression" dxfId="70" priority="5">
      <formula>ROUND(AI42,2)&lt;&gt;ROUND(AI43,2)</formula>
    </cfRule>
  </conditionalFormatting>
  <conditionalFormatting sqref="AI53">
    <cfRule type="expression" dxfId="69" priority="4">
      <formula>ROUND(AI52,2)&lt;&gt;ROUND(AI53,2)</formula>
    </cfRule>
  </conditionalFormatting>
  <conditionalFormatting sqref="AI63">
    <cfRule type="expression" dxfId="68" priority="3">
      <formula>ROUND(AI62,2)&lt;&gt;ROUND(AI63,2)</formula>
    </cfRule>
  </conditionalFormatting>
  <conditionalFormatting sqref="AI73">
    <cfRule type="expression" dxfId="67" priority="2">
      <formula>ROUND(AI72,2)&lt;&gt;ROUND(AI73,2)</formula>
    </cfRule>
  </conditionalFormatting>
  <conditionalFormatting sqref="AI82">
    <cfRule type="expression" dxfId="66" priority="1">
      <formula>ROUND(AI81,2)&lt;&gt;ROUND(AI82,2)</formula>
    </cfRule>
  </conditionalFormatting>
  <dataValidations count="2">
    <dataValidation type="list" allowBlank="1" sqref="B28" xr:uid="{00000000-0002-0000-1200-000000000000}">
      <formula1>"ACCOUNT,BUSINESSUNIT,CATEGORY,DATASRC,DEPARTMENT,INTCO,MEASURES,RPTCURRENCY,TIME"</formula1>
    </dataValidation>
    <dataValidation type="list" allowBlank="1" sqref="B29" xr:uid="{00000000-0002-0000-12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5">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IF(_epmOfflineCondition_,"Minnow Bar",IF(OR(_xll.EVCGT($B$1,$B$6,$H$1,$H$2,$H$3,$H$4,$H$5,$H$6,$H$7,$H$8)="#RFR",_xll.EVCGT($B$1,$B$6,$H$1,$H$2,$H$3,$H$4,$H$5,$H$6,$H$7,$H$8)="#NODATA"),"",_xll.EVCGT($B$1,$B$6,$H$1,$H$2,$H$3,$H$4,$H$5,$H$6,$H$7,$H$8)))</f>
        <v>Minnow Bar</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734</v>
      </c>
      <c r="C6" s="11" t="str">
        <f>IF(_epmOfflineCondition_,"Venue (Bar)",_xll.EVDES(B6,$B$1))</f>
        <v>Venue (Bar)</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IF(_epmOfflineCondition_,"'VenueBar'!$B$2:$B$10",_xll.EVRNG($B$2:$B$10))</f>
        <v>'VenueBar'!$B$2:$B$10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IF(_epmOfflineCondition_,"'VenueBar'!$O$16:$AN$18",_xll.EVRNG($O$16:$AN$18))</f>
        <v>'VenueBar'!$O$16:$AN$18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IF(_epmOfflineCondition_,"'VenueBar'!$H$35:$H$58",_xll.EVRNG(H35:H58))</f>
        <v>'VenueBar'!$H$35:$H$58</v>
      </c>
      <c r="C19" s="11"/>
      <c r="D19" s="11"/>
      <c r="E19" s="11"/>
      <c r="F19" s="11"/>
      <c r="G19" s="67" t="str">
        <f>$B$6</f>
        <v>D2146</v>
      </c>
      <c r="H19" s="67">
        <v>400000</v>
      </c>
      <c r="I19" s="68"/>
      <c r="J19" s="68"/>
      <c r="K19" s="67"/>
      <c r="L19" s="67"/>
      <c r="M19" s="67"/>
      <c r="N19" s="67" t="str">
        <f>IF(_epmOfflineCondition_,"Total Revenue",_xll.EVDES(H19))</f>
        <v>Total Revenue</v>
      </c>
      <c r="O19" s="69">
        <f>IF(_epmOfflineCondition_,27543.78,_xll.EVGTS($B$1,1,$B$3,$B$5,$B$7,$B$9,O$16,O$17,O$18,$G$19,$H$19))</f>
        <v>27543.78</v>
      </c>
      <c r="P19" s="69">
        <f>IF(_epmOfflineCondition_,56768.16,_xll.EVGTS($B$1,1,$B$3,$B$5,$B$7,$B$9,P$16,P$17,P$18,$G$19,$H$19))</f>
        <v>56768.160000000003</v>
      </c>
      <c r="Q19" s="69">
        <f>IF(_epmOfflineCondition_,65574.6,_xll.EVGTS($B$1,1,$B$3,$B$5,$B$7,$B$9,Q$16,Q$17,Q$18,$G$19,$H$19))</f>
        <v>65574.600000000006</v>
      </c>
      <c r="R19" s="69">
        <f>IF(_epmOfflineCondition_,72183.19,_xll.EVGTS($B$1,1,$B$3,$B$5,$B$7,$B$9,R$16,R$17,R$18,$G$19,$H$19))</f>
        <v>72183.19</v>
      </c>
      <c r="S19" s="69">
        <f>IF(_epmOfflineCondition_,73692.87,_xll.EVGTS($B$1,1,$B$3,$B$5,$B$7,$B$9,S$16,S$17,S$18,$G$19,$H$19))</f>
        <v>73692.87</v>
      </c>
      <c r="T19" s="69">
        <f>IF(_epmOfflineCondition_,66356.88,_xll.EVGTS($B$1,1,$B$3,$B$5,$B$7,$B$9,T$16,T$17,T$18,$G$19,$H$19))</f>
        <v>66356.88</v>
      </c>
      <c r="U19" s="69">
        <f>IF(_epmOfflineCondition_,70141.89,_xll.EVGTS($B$1,1,$B$3,$B$5,$B$7,$B$9,U$16,U$17,U$18,$G$19,$H$19))</f>
        <v>70141.89</v>
      </c>
      <c r="V19" s="69">
        <f>IF(_epmOfflineCondition_,45522.69,_xll.EVGTS($B$1,1,$B$3,$B$5,$B$7,$B$9,V$16,V$17,V$18,$G$19,$H$19))</f>
        <v>45522.69</v>
      </c>
      <c r="W19" s="69">
        <f>IF(_epmOfflineCondition_,35288.46,_xll.EVGTS($B$1,1,$B$3,$B$5,$B$7,$B$9,W$16,W$17,W$18,$G$19,$H$19))</f>
        <v>35288.46</v>
      </c>
      <c r="X19" s="69">
        <f>IF(_epmOfflineCondition_,49503.65,_xll.EVGTS($B$1,1,$B$3,$B$5,$B$7,$B$9,X$16,X$17,X$18,$G$19,$H$19))</f>
        <v>49503.65</v>
      </c>
      <c r="Y19" s="69">
        <f>IF(_epmOfflineCondition_,55059.56,_xll.EVGTS($B$1,1,$B$3,$B$5,$B$7,$B$9,Y$16,Y$17,Y$18,$G$19,$H$19))</f>
        <v>55059.56</v>
      </c>
      <c r="Z19" s="69">
        <f>IF(_epmOfflineCondition_,51467.85,_xll.EVGTS($B$1,1,$B$3,$B$5,$B$7,$B$9,Z$16,Z$17,Z$18,$G$19,$H$19))</f>
        <v>51467.85</v>
      </c>
      <c r="AA19" s="69">
        <f>SUM(O19:Z19)</f>
        <v>669103.57999999996</v>
      </c>
      <c r="AB19" s="67"/>
      <c r="AC19" s="67"/>
      <c r="AD19" s="69">
        <f>IF(_epmOfflineCondition_,403954.306,_xll.EVGTS($B$1,1,$B$3,$B$5,$B$7,$B$9,AD$16,AD$17,AD$18,$G$19,$H$19))</f>
        <v>403954.30599999998</v>
      </c>
      <c r="AE19" s="67"/>
      <c r="AF19" s="67"/>
      <c r="AG19" s="69">
        <f>IF(_epmOfflineCondition_,178063.34,_xll.EVGTS($B$1,1,$B$3,$B$5,$B$7,$B$9,AG$16,AG$17,AG$18,$G$19,$H$19))</f>
        <v>178063.34</v>
      </c>
      <c r="AH19" s="67"/>
      <c r="AI19" s="67"/>
      <c r="AJ19" s="11"/>
      <c r="AK19" s="11"/>
      <c r="AL19" s="11"/>
      <c r="AM19" s="11"/>
      <c r="AN19" s="11"/>
      <c r="AO19" s="11"/>
    </row>
    <row r="20" spans="1:41" hidden="1" outlineLevel="1" x14ac:dyDescent="0.35">
      <c r="A20" s="65" t="s">
        <v>5</v>
      </c>
      <c r="B20" s="66"/>
      <c r="C20" s="11"/>
      <c r="D20" s="11"/>
      <c r="E20" s="11"/>
      <c r="F20" s="11"/>
      <c r="G20" s="67" t="str">
        <f>$B$6</f>
        <v>D2146</v>
      </c>
      <c r="H20" s="67">
        <v>946000</v>
      </c>
      <c r="I20" s="68"/>
      <c r="J20" s="68"/>
      <c r="K20" s="67"/>
      <c r="L20" s="68"/>
      <c r="M20" s="68"/>
      <c r="N20" s="67" t="str">
        <f>IF(_epmOfflineCondition_,"Total Customers",_xll.EVDES(H20))</f>
        <v>Total Customers</v>
      </c>
      <c r="O20" s="69">
        <f>IF(_epmOfflineCondition_,1237,_xll.EVGTS($B$1,1,$B$3,$B$5,$B$7,$B$9,O$16,O$17,O$18,$G$20,$H$20))</f>
        <v>1237</v>
      </c>
      <c r="P20" s="69">
        <f>IF(_epmOfflineCondition_,2223,_xll.EVGTS($B$1,1,$B$3,$B$5,$B$7,$B$9,P$16,P$17,P$18,$G$20,$H$20))</f>
        <v>2223</v>
      </c>
      <c r="Q20" s="69">
        <f>IF(_epmOfflineCondition_,2603,_xll.EVGTS($B$1,1,$B$3,$B$5,$B$7,$B$9,Q$16,Q$17,Q$18,$G$20,$H$20))</f>
        <v>2603</v>
      </c>
      <c r="R20" s="69">
        <f>IF(_epmOfflineCondition_,2645,_xll.EVGTS($B$1,1,$B$3,$B$5,$B$7,$B$9,R$16,R$17,R$18,$G$20,$H$20))</f>
        <v>2645</v>
      </c>
      <c r="S20" s="69">
        <f>IF(_epmOfflineCondition_,2387,_xll.EVGTS($B$1,1,$B$3,$B$5,$B$7,$B$9,S$16,S$17,S$18,$G$20,$H$20))</f>
        <v>2387</v>
      </c>
      <c r="T20" s="69">
        <f>IF(_epmOfflineCondition_,2225,_xll.EVGTS($B$1,1,$B$3,$B$5,$B$7,$B$9,T$16,T$17,T$18,$G$20,$H$20))</f>
        <v>2225</v>
      </c>
      <c r="U20" s="69">
        <f>IF(_epmOfflineCondition_,2328,_xll.EVGTS($B$1,1,$B$3,$B$5,$B$7,$B$9,U$16,U$17,U$18,$G$20,$H$20))</f>
        <v>2328</v>
      </c>
      <c r="V20" s="69">
        <f>IF(_epmOfflineCondition_,1460,_xll.EVGTS($B$1,1,$B$3,$B$5,$B$7,$B$9,V$16,V$17,V$18,$G$20,$H$20))</f>
        <v>1460</v>
      </c>
      <c r="W20" s="69">
        <f>IF(_epmOfflineCondition_,1072,_xll.EVGTS($B$1,1,$B$3,$B$5,$B$7,$B$9,W$16,W$17,W$18,$G$20,$H$20))</f>
        <v>1072</v>
      </c>
      <c r="X20" s="69">
        <f>IF(_epmOfflineCondition_,1506,_xll.EVGTS($B$1,1,$B$3,$B$5,$B$7,$B$9,X$16,X$17,X$18,$G$20,$H$20))</f>
        <v>1506</v>
      </c>
      <c r="Y20" s="69">
        <f>IF(_epmOfflineCondition_,1630,_xll.EVGTS($B$1,1,$B$3,$B$5,$B$7,$B$9,Y$16,Y$17,Y$18,$G$20,$H$20))</f>
        <v>1630</v>
      </c>
      <c r="Z20" s="69">
        <f>IF(_epmOfflineCondition_,1653,_xll.EVGTS($B$1,1,$B$3,$B$5,$B$7,$B$9,Z$16,Z$17,Z$18,$G$20,$H$20))</f>
        <v>1653</v>
      </c>
      <c r="AA20" s="69">
        <f>SUM(O20:Z20)</f>
        <v>22969</v>
      </c>
      <c r="AB20" s="67"/>
      <c r="AC20" s="67"/>
      <c r="AD20" s="69">
        <f>IF(_epmOfflineCondition_,14990,_xll.EVGTS($B$1,1,$B$3,$B$5,$B$7,$B$9,AD$16,AD$17,AD$18,$G$20,$H$20))</f>
        <v>14990</v>
      </c>
      <c r="AE20" s="67"/>
      <c r="AF20" s="67"/>
      <c r="AG20" s="69">
        <f>IF(_epmOfflineCondition_,7314,_xll.EVGTS($B$1,1,$B$3,$B$5,$B$7,$B$9,AG$16,AG$17,AG$18,$G$20,$H$20))</f>
        <v>7314</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IF(_epmOfflineCondition_,"'VenueBar'!$A$36:$F$44",_xll.EVRNG(A36:F44))</f>
        <v>'VenueBar'!$A$36:$F$44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IF(_epmOfflineCondition_,"'VenueBar'!$A$125:$B$146",_xll.EVRNG($A$125:$B$146))</f>
        <v>'VenueBar'!$A$125:$B$146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IF(_epmOfflineCondition_,"Minnow Bar",IF($N$1="",IF(_xll.EVDES(B6,$B$1)="#NODATA","",_xll.EVDES(B6,$B$1)&amp;" Department"),$N$1))</f>
        <v>Minnow Bar</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28"/>
      <c r="AD35" s="250">
        <v>20725.875</v>
      </c>
      <c r="AE35" s="436">
        <f t="shared" ref="AE35:AE58" si="3">IF(AD35=0,"",IFERROR(AD35/AD$19,""))</f>
        <v>5.1307473870571892E-2</v>
      </c>
      <c r="AF35" s="438">
        <f t="shared" ref="AF35:AF58" si="4">IF(AND($AA35="",AD35=""),"",$AA35-AD35)</f>
        <v>-20725.875</v>
      </c>
      <c r="AG35" s="250">
        <v>7024.85</v>
      </c>
      <c r="AH35" s="436">
        <f t="shared" ref="AH35:AH58" si="5">IF(AG35=0,"",IFERROR(AG35/AG$19,""))</f>
        <v>3.9451410941746909E-2</v>
      </c>
      <c r="AI35" s="439">
        <f t="shared" ref="AI35:AI58" si="6">IF(AND($AA35="",AG35=""),"",$AA35-AG35)</f>
        <v>-7024.85</v>
      </c>
      <c r="AJ35" s="440">
        <f t="shared" ref="AJ35:AJ58" si="7">IFERROR(AA35/AA$20,0)</f>
        <v>0</v>
      </c>
      <c r="AK35" s="441">
        <f t="shared" ref="AK35:AK58" si="8">IFERROR(AD35/AD$20,0)</f>
        <v>1.3826467645096732</v>
      </c>
      <c r="AL35" s="442">
        <f t="shared" ref="AL35:AL58" si="9">IFERROR(AG35/AG$20,0)</f>
        <v>0.96046622914957624</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v>6928.6</v>
      </c>
      <c r="P36" s="250">
        <v>10037</v>
      </c>
      <c r="Q36" s="250">
        <v>13662</v>
      </c>
      <c r="R36" s="250">
        <v>15626.7</v>
      </c>
      <c r="S36" s="250">
        <v>16617</v>
      </c>
      <c r="T36" s="250">
        <v>13416.5</v>
      </c>
      <c r="U36" s="250">
        <v>16679</v>
      </c>
      <c r="V36" s="250">
        <v>11439.72</v>
      </c>
      <c r="W36" s="250">
        <v>7771.86</v>
      </c>
      <c r="X36" s="250">
        <v>11581.5</v>
      </c>
      <c r="Y36" s="250">
        <v>11192</v>
      </c>
      <c r="Z36" s="250">
        <v>5525.5</v>
      </c>
      <c r="AA36" s="250">
        <f t="shared" si="1"/>
        <v>140477.38</v>
      </c>
      <c r="AB36" s="436">
        <f t="shared" si="2"/>
        <v>0.20994863007607883</v>
      </c>
      <c r="AC36" s="528"/>
      <c r="AD36" s="250">
        <v>77333.895000000004</v>
      </c>
      <c r="AE36" s="436">
        <f t="shared" si="3"/>
        <v>0.19144218504753358</v>
      </c>
      <c r="AF36" s="438">
        <f t="shared" si="4"/>
        <v>63143.485000000001</v>
      </c>
      <c r="AG36" s="250">
        <v>21171.040000000001</v>
      </c>
      <c r="AH36" s="436">
        <f t="shared" si="5"/>
        <v>0.11889611865081269</v>
      </c>
      <c r="AI36" s="439">
        <f t="shared" si="6"/>
        <v>119306.34</v>
      </c>
      <c r="AJ36" s="440">
        <f t="shared" si="7"/>
        <v>6.1159554181723195</v>
      </c>
      <c r="AK36" s="441">
        <f t="shared" si="8"/>
        <v>5.1590323549032693</v>
      </c>
      <c r="AL36" s="442">
        <f t="shared" si="9"/>
        <v>2.8945911949685534</v>
      </c>
      <c r="AM36" s="443" t="str">
        <f t="shared" si="10"/>
        <v>1.85 pts.</v>
      </c>
      <c r="AN36" s="444" t="str">
        <f t="shared" si="11"/>
        <v>9.11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v>280</v>
      </c>
      <c r="S37" s="250">
        <v>-280</v>
      </c>
      <c r="T37" s="250"/>
      <c r="U37" s="250"/>
      <c r="V37" s="250"/>
      <c r="W37" s="250"/>
      <c r="X37" s="250"/>
      <c r="Y37" s="250"/>
      <c r="Z37" s="250"/>
      <c r="AA37" s="250">
        <f t="shared" si="1"/>
        <v>0</v>
      </c>
      <c r="AB37" s="436" t="str">
        <f t="shared" si="2"/>
        <v/>
      </c>
      <c r="AC37" s="528"/>
      <c r="AD37" s="250"/>
      <c r="AE37" s="436" t="str">
        <f t="shared" si="3"/>
        <v/>
      </c>
      <c r="AF37" s="438">
        <f t="shared" si="4"/>
        <v>0</v>
      </c>
      <c r="AG37" s="250">
        <v>2300.5100000000002</v>
      </c>
      <c r="AH37" s="436">
        <f t="shared" si="5"/>
        <v>1.2919616132102208E-2</v>
      </c>
      <c r="AI37" s="439">
        <f t="shared" si="6"/>
        <v>-2300.5100000000002</v>
      </c>
      <c r="AJ37" s="440">
        <f t="shared" si="7"/>
        <v>0</v>
      </c>
      <c r="AK37" s="441">
        <f t="shared" si="8"/>
        <v>0</v>
      </c>
      <c r="AL37" s="442">
        <f t="shared" si="9"/>
        <v>0.31453513809133171</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v>1597.4</v>
      </c>
      <c r="P38" s="250">
        <v>4973.01</v>
      </c>
      <c r="Q38" s="250">
        <v>3519.5</v>
      </c>
      <c r="R38" s="250">
        <v>1230.01</v>
      </c>
      <c r="S38" s="250">
        <v>1581</v>
      </c>
      <c r="T38" s="250">
        <v>1583.2</v>
      </c>
      <c r="U38" s="250">
        <v>1077</v>
      </c>
      <c r="V38" s="250">
        <v>425.5</v>
      </c>
      <c r="W38" s="250">
        <v>548.74</v>
      </c>
      <c r="X38" s="250">
        <v>934</v>
      </c>
      <c r="Y38" s="250">
        <v>487</v>
      </c>
      <c r="Z38" s="250">
        <v>5173.95</v>
      </c>
      <c r="AA38" s="250">
        <f t="shared" si="1"/>
        <v>23130.31</v>
      </c>
      <c r="AB38" s="436">
        <f t="shared" si="2"/>
        <v>3.4569102141106471E-2</v>
      </c>
      <c r="AC38" s="528"/>
      <c r="AD38" s="250">
        <v>18066.944</v>
      </c>
      <c r="AE38" s="436">
        <f t="shared" si="3"/>
        <v>4.4725217015015556E-2</v>
      </c>
      <c r="AF38" s="438">
        <f t="shared" si="4"/>
        <v>5063.3660000000018</v>
      </c>
      <c r="AG38" s="250">
        <v>13907.5</v>
      </c>
      <c r="AH38" s="436">
        <f t="shared" si="5"/>
        <v>7.8104229652212517E-2</v>
      </c>
      <c r="AI38" s="439">
        <f t="shared" si="6"/>
        <v>9222.8100000000013</v>
      </c>
      <c r="AJ38" s="440">
        <f t="shared" si="7"/>
        <v>1.0070229439679568</v>
      </c>
      <c r="AK38" s="441">
        <f t="shared" si="8"/>
        <v>1.2052664442961973</v>
      </c>
      <c r="AL38" s="442">
        <f t="shared" si="9"/>
        <v>1.9014902925895543</v>
      </c>
      <c r="AM38" s="443" t="str">
        <f t="shared" si="10"/>
        <v>-1.02 pts.</v>
      </c>
      <c r="AN38" s="444" t="str">
        <f t="shared" si="11"/>
        <v>-4.35 pts.</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v>4050</v>
      </c>
      <c r="AH39" s="446">
        <f t="shared" si="5"/>
        <v>2.2744715447885006E-2</v>
      </c>
      <c r="AI39" s="448">
        <f t="shared" si="6"/>
        <v>-4050</v>
      </c>
      <c r="AJ39" s="449">
        <f t="shared" si="7"/>
        <v>0</v>
      </c>
      <c r="AK39" s="450">
        <f t="shared" si="8"/>
        <v>0</v>
      </c>
      <c r="AL39" s="451">
        <f t="shared" si="9"/>
        <v>0.55373256767842494</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8526</v>
      </c>
      <c r="P40" s="225">
        <v>15010.01</v>
      </c>
      <c r="Q40" s="225">
        <v>17181.5</v>
      </c>
      <c r="R40" s="225">
        <v>17136.71</v>
      </c>
      <c r="S40" s="225">
        <v>17918</v>
      </c>
      <c r="T40" s="225">
        <v>14999.7</v>
      </c>
      <c r="U40" s="225">
        <v>17756</v>
      </c>
      <c r="V40" s="225">
        <v>11865.22</v>
      </c>
      <c r="W40" s="225">
        <v>8320.6</v>
      </c>
      <c r="X40" s="225">
        <v>12515.5</v>
      </c>
      <c r="Y40" s="225">
        <v>11679</v>
      </c>
      <c r="Z40" s="225">
        <v>10699.45</v>
      </c>
      <c r="AA40" s="225">
        <f t="shared" si="1"/>
        <v>163607.69</v>
      </c>
      <c r="AB40" s="226">
        <f t="shared" si="2"/>
        <v>0.24451773221718529</v>
      </c>
      <c r="AC40" s="227"/>
      <c r="AD40" s="225">
        <v>116126.71400000001</v>
      </c>
      <c r="AE40" s="226">
        <f t="shared" si="3"/>
        <v>0.28747487593312104</v>
      </c>
      <c r="AF40" s="228">
        <f t="shared" si="4"/>
        <v>47480.975999999995</v>
      </c>
      <c r="AG40" s="225">
        <v>48453.9</v>
      </c>
      <c r="AH40" s="226">
        <f t="shared" si="5"/>
        <v>0.27211609082475935</v>
      </c>
      <c r="AI40" s="455">
        <f t="shared" si="6"/>
        <v>115153.79000000001</v>
      </c>
      <c r="AJ40" s="229">
        <f t="shared" si="7"/>
        <v>7.1229783621402758</v>
      </c>
      <c r="AK40" s="230">
        <f t="shared" si="8"/>
        <v>7.74694556370914</v>
      </c>
      <c r="AL40" s="232">
        <f t="shared" si="9"/>
        <v>6.6248154224774405</v>
      </c>
      <c r="AM40" s="427" t="str">
        <f t="shared" si="10"/>
        <v>-4.3 pts.</v>
      </c>
      <c r="AN40" s="456" t="str">
        <f t="shared" si="11"/>
        <v>-2.76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29"/>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v>110</v>
      </c>
      <c r="Z42" s="250"/>
      <c r="AA42" s="250">
        <f t="shared" si="1"/>
        <v>110</v>
      </c>
      <c r="AB42" s="436">
        <f t="shared" si="2"/>
        <v>1.6439906060583325E-4</v>
      </c>
      <c r="AC42" s="528"/>
      <c r="AD42" s="250">
        <v>2302.875</v>
      </c>
      <c r="AE42" s="436">
        <f t="shared" si="3"/>
        <v>5.7008304300635434E-3</v>
      </c>
      <c r="AF42" s="438">
        <f t="shared" si="4"/>
        <v>-2192.875</v>
      </c>
      <c r="AG42" s="250">
        <v>1016</v>
      </c>
      <c r="AH42" s="436">
        <f t="shared" si="5"/>
        <v>5.7058347889015221E-3</v>
      </c>
      <c r="AI42" s="439">
        <f t="shared" si="6"/>
        <v>-906</v>
      </c>
      <c r="AJ42" s="440">
        <f t="shared" si="7"/>
        <v>4.7890635203970567E-3</v>
      </c>
      <c r="AK42" s="441">
        <f t="shared" si="8"/>
        <v>0.15362741827885257</v>
      </c>
      <c r="AL42" s="442">
        <f t="shared" si="9"/>
        <v>0.13891167623735301</v>
      </c>
      <c r="AM42" s="443" t="str">
        <f t="shared" si="10"/>
        <v>-0.55 pts.</v>
      </c>
      <c r="AN42" s="444" t="str">
        <f t="shared" si="11"/>
        <v>-0.55 pts.</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v>9531.9500000000007</v>
      </c>
      <c r="P43" s="250">
        <v>15879.06</v>
      </c>
      <c r="Q43" s="250">
        <v>24317.8</v>
      </c>
      <c r="R43" s="250">
        <v>33636.160000000003</v>
      </c>
      <c r="S43" s="250">
        <v>36518.199999999997</v>
      </c>
      <c r="T43" s="250">
        <v>31174.5</v>
      </c>
      <c r="U43" s="250">
        <v>33557.800000000003</v>
      </c>
      <c r="V43" s="250">
        <v>24309.4</v>
      </c>
      <c r="W43" s="250">
        <v>18495.740000000002</v>
      </c>
      <c r="X43" s="250">
        <v>23641.599999999999</v>
      </c>
      <c r="Y43" s="250">
        <v>27407</v>
      </c>
      <c r="Z43" s="250">
        <v>12190.6</v>
      </c>
      <c r="AA43" s="250">
        <f t="shared" si="1"/>
        <v>290659.80999999994</v>
      </c>
      <c r="AB43" s="436">
        <f t="shared" si="2"/>
        <v>0.43440181563518154</v>
      </c>
      <c r="AC43" s="528"/>
      <c r="AD43" s="250">
        <v>126176.355</v>
      </c>
      <c r="AE43" s="436">
        <f t="shared" si="3"/>
        <v>0.31235303876176529</v>
      </c>
      <c r="AF43" s="438">
        <f t="shared" si="4"/>
        <v>164483.45499999996</v>
      </c>
      <c r="AG43" s="250">
        <v>20787</v>
      </c>
      <c r="AH43" s="436">
        <f t="shared" si="5"/>
        <v>0.11673935802844089</v>
      </c>
      <c r="AI43" s="439">
        <f t="shared" si="6"/>
        <v>269872.80999999994</v>
      </c>
      <c r="AJ43" s="440">
        <f t="shared" si="7"/>
        <v>12.654439026513995</v>
      </c>
      <c r="AK43" s="441">
        <f t="shared" si="8"/>
        <v>8.4173685790527024</v>
      </c>
      <c r="AL43" s="442">
        <f t="shared" si="9"/>
        <v>2.8420836751435603</v>
      </c>
      <c r="AM43" s="443" t="str">
        <f t="shared" si="10"/>
        <v>12.2 pts.</v>
      </c>
      <c r="AN43" s="444" t="str">
        <f t="shared" si="11"/>
        <v>31.77 pts.</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v>1023.2</v>
      </c>
      <c r="S44" s="250">
        <v>-1023.2</v>
      </c>
      <c r="T44" s="250"/>
      <c r="U44" s="250"/>
      <c r="V44" s="250"/>
      <c r="W44" s="250"/>
      <c r="X44" s="250"/>
      <c r="Y44" s="250"/>
      <c r="Z44" s="250"/>
      <c r="AA44" s="250">
        <f t="shared" si="1"/>
        <v>0</v>
      </c>
      <c r="AB44" s="436" t="str">
        <f t="shared" si="2"/>
        <v/>
      </c>
      <c r="AC44" s="528"/>
      <c r="AD44" s="250"/>
      <c r="AE44" s="436" t="str">
        <f t="shared" si="3"/>
        <v/>
      </c>
      <c r="AF44" s="438">
        <f t="shared" si="4"/>
        <v>0</v>
      </c>
      <c r="AG44" s="250">
        <v>7618</v>
      </c>
      <c r="AH44" s="436">
        <f t="shared" si="5"/>
        <v>4.2782528958515552E-2</v>
      </c>
      <c r="AI44" s="439">
        <f t="shared" si="6"/>
        <v>-7618</v>
      </c>
      <c r="AJ44" s="440">
        <f t="shared" si="7"/>
        <v>0</v>
      </c>
      <c r="AK44" s="441">
        <f t="shared" si="8"/>
        <v>0</v>
      </c>
      <c r="AL44" s="442">
        <f t="shared" si="9"/>
        <v>1.041564123598578</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v>5282.33</v>
      </c>
      <c r="P45" s="250">
        <v>17218.2</v>
      </c>
      <c r="Q45" s="250">
        <v>14521.1</v>
      </c>
      <c r="R45" s="250">
        <v>9438.7999999999993</v>
      </c>
      <c r="S45" s="250">
        <v>9294.65</v>
      </c>
      <c r="T45" s="250">
        <v>10278</v>
      </c>
      <c r="U45" s="250">
        <v>8057.34</v>
      </c>
      <c r="V45" s="250">
        <v>2340</v>
      </c>
      <c r="W45" s="250">
        <v>2986.26</v>
      </c>
      <c r="X45" s="250">
        <v>5701.5</v>
      </c>
      <c r="Y45" s="250">
        <v>7405</v>
      </c>
      <c r="Z45" s="250">
        <v>20425.05</v>
      </c>
      <c r="AA45" s="250">
        <f t="shared" si="1"/>
        <v>112948.22999999998</v>
      </c>
      <c r="AB45" s="436">
        <f t="shared" si="2"/>
        <v>0.16880529917355994</v>
      </c>
      <c r="AC45" s="528"/>
      <c r="AD45" s="250">
        <v>94851.456000000006</v>
      </c>
      <c r="AE45" s="436">
        <f t="shared" si="3"/>
        <v>0.23480738932883169</v>
      </c>
      <c r="AF45" s="438">
        <f t="shared" si="4"/>
        <v>18096.773999999976</v>
      </c>
      <c r="AG45" s="250">
        <v>69313.039999999994</v>
      </c>
      <c r="AH45" s="436">
        <f t="shared" si="5"/>
        <v>0.38926058558712867</v>
      </c>
      <c r="AI45" s="439">
        <f t="shared" si="6"/>
        <v>43635.189999999988</v>
      </c>
      <c r="AJ45" s="440">
        <f t="shared" si="7"/>
        <v>4.9174204362401488</v>
      </c>
      <c r="AK45" s="441">
        <f t="shared" si="8"/>
        <v>6.3276488325550373</v>
      </c>
      <c r="AL45" s="442">
        <f t="shared" si="9"/>
        <v>9.4767623735302156</v>
      </c>
      <c r="AM45" s="443" t="str">
        <f t="shared" si="10"/>
        <v>-6.6 pts.</v>
      </c>
      <c r="AN45" s="444" t="str">
        <f t="shared" si="11"/>
        <v>-22.05 pts.</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v>3002</v>
      </c>
      <c r="AH46" s="446">
        <f t="shared" si="5"/>
        <v>1.6859169327049579E-2</v>
      </c>
      <c r="AI46" s="448">
        <f t="shared" si="6"/>
        <v>-3002</v>
      </c>
      <c r="AJ46" s="449">
        <f t="shared" si="7"/>
        <v>0</v>
      </c>
      <c r="AK46" s="450">
        <f t="shared" si="8"/>
        <v>0</v>
      </c>
      <c r="AL46" s="451">
        <f t="shared" si="9"/>
        <v>0.41044572053595846</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v>14814.28</v>
      </c>
      <c r="P47" s="225">
        <v>33097.26</v>
      </c>
      <c r="Q47" s="225">
        <v>38838.9</v>
      </c>
      <c r="R47" s="225">
        <v>44098.16</v>
      </c>
      <c r="S47" s="225">
        <v>44789.65</v>
      </c>
      <c r="T47" s="225">
        <v>41452.5</v>
      </c>
      <c r="U47" s="225">
        <v>41615.14</v>
      </c>
      <c r="V47" s="225">
        <v>26649.4</v>
      </c>
      <c r="W47" s="225">
        <v>21482</v>
      </c>
      <c r="X47" s="225">
        <v>29343.1</v>
      </c>
      <c r="Y47" s="225">
        <v>34922</v>
      </c>
      <c r="Z47" s="225">
        <v>32615.65</v>
      </c>
      <c r="AA47" s="225">
        <f t="shared" si="1"/>
        <v>403718.04000000004</v>
      </c>
      <c r="AB47" s="226">
        <f t="shared" si="2"/>
        <v>0.60337151386934751</v>
      </c>
      <c r="AC47" s="227"/>
      <c r="AD47" s="225">
        <v>223330.68599999999</v>
      </c>
      <c r="AE47" s="226">
        <f t="shared" si="3"/>
        <v>0.55286125852066048</v>
      </c>
      <c r="AF47" s="228">
        <f t="shared" si="4"/>
        <v>180387.35400000005</v>
      </c>
      <c r="AG47" s="225">
        <v>101736.04</v>
      </c>
      <c r="AH47" s="226">
        <f t="shared" si="5"/>
        <v>0.57134747669003627</v>
      </c>
      <c r="AI47" s="455">
        <f t="shared" si="6"/>
        <v>301982.00000000006</v>
      </c>
      <c r="AJ47" s="229">
        <f t="shared" si="7"/>
        <v>17.576648526274546</v>
      </c>
      <c r="AK47" s="230">
        <f t="shared" si="8"/>
        <v>14.898644829886591</v>
      </c>
      <c r="AL47" s="232">
        <f t="shared" si="9"/>
        <v>13.909767569045664</v>
      </c>
      <c r="AM47" s="427" t="str">
        <f t="shared" si="10"/>
        <v>5.05 pts.</v>
      </c>
      <c r="AN47" s="456" t="str">
        <f t="shared" si="11"/>
        <v>3.2 pts.</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16"/>
      <c r="Q48" s="216">
        <v>-406.55</v>
      </c>
      <c r="R48" s="216"/>
      <c r="S48" s="216"/>
      <c r="T48" s="216"/>
      <c r="U48" s="216"/>
      <c r="V48" s="216"/>
      <c r="W48" s="216"/>
      <c r="X48" s="216"/>
      <c r="Y48" s="216"/>
      <c r="Z48" s="216"/>
      <c r="AA48" s="216">
        <f t="shared" si="1"/>
        <v>-406.55</v>
      </c>
      <c r="AB48" s="218">
        <f t="shared" si="2"/>
        <v>-6.0760398263001378E-4</v>
      </c>
      <c r="AC48" s="459"/>
      <c r="AD48" s="216"/>
      <c r="AE48" s="218" t="str">
        <f t="shared" si="3"/>
        <v/>
      </c>
      <c r="AF48" s="233">
        <f t="shared" si="4"/>
        <v>-406.55</v>
      </c>
      <c r="AG48" s="216">
        <v>-443.6</v>
      </c>
      <c r="AH48" s="218">
        <f t="shared" si="5"/>
        <v>-2.4912483389337753E-3</v>
      </c>
      <c r="AI48" s="531">
        <f t="shared" si="6"/>
        <v>37.050000000000011</v>
      </c>
      <c r="AJ48" s="532">
        <f t="shared" si="7"/>
        <v>-1.7699943401976576E-2</v>
      </c>
      <c r="AK48" s="533">
        <f t="shared" si="8"/>
        <v>0</v>
      </c>
      <c r="AL48" s="534">
        <f t="shared" si="9"/>
        <v>-6.0650806672135633E-2</v>
      </c>
      <c r="AM48" s="535">
        <f t="shared" si="10"/>
        <v>0</v>
      </c>
      <c r="AN48" s="536" t="str">
        <f t="shared" si="11"/>
        <v>0.19 pts.</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v>23340.28</v>
      </c>
      <c r="P49" s="225">
        <v>48107.27</v>
      </c>
      <c r="Q49" s="225">
        <v>55613.85</v>
      </c>
      <c r="R49" s="225">
        <v>61234.87</v>
      </c>
      <c r="S49" s="225">
        <v>62707.65</v>
      </c>
      <c r="T49" s="225">
        <v>56452.2</v>
      </c>
      <c r="U49" s="225">
        <v>59371.14</v>
      </c>
      <c r="V49" s="225">
        <v>38514.620000000003</v>
      </c>
      <c r="W49" s="225">
        <v>29802.6</v>
      </c>
      <c r="X49" s="225">
        <v>41858.6</v>
      </c>
      <c r="Y49" s="225">
        <v>46601</v>
      </c>
      <c r="Z49" s="225">
        <v>43315.1</v>
      </c>
      <c r="AA49" s="225">
        <f t="shared" si="1"/>
        <v>566919.17999999993</v>
      </c>
      <c r="AB49" s="226">
        <f t="shared" si="2"/>
        <v>0.84728164210390267</v>
      </c>
      <c r="AC49" s="227"/>
      <c r="AD49" s="225">
        <v>339457.4</v>
      </c>
      <c r="AE49" s="226">
        <f t="shared" si="3"/>
        <v>0.84033613445378164</v>
      </c>
      <c r="AF49" s="228">
        <f t="shared" si="4"/>
        <v>227461.77999999991</v>
      </c>
      <c r="AG49" s="225">
        <v>149746.34</v>
      </c>
      <c r="AH49" s="226">
        <f t="shared" si="5"/>
        <v>0.84097231917586179</v>
      </c>
      <c r="AI49" s="455">
        <f t="shared" si="6"/>
        <v>417172.83999999997</v>
      </c>
      <c r="AJ49" s="229">
        <f t="shared" si="7"/>
        <v>24.68192694501284</v>
      </c>
      <c r="AK49" s="230">
        <f t="shared" si="8"/>
        <v>22.645590393595732</v>
      </c>
      <c r="AL49" s="232">
        <f t="shared" si="9"/>
        <v>20.47393218485097</v>
      </c>
      <c r="AM49" s="427" t="str">
        <f t="shared" si="10"/>
        <v>0.69 pts.</v>
      </c>
      <c r="AN49" s="456" t="str">
        <f t="shared" si="11"/>
        <v>0.63 pts.</v>
      </c>
      <c r="AO49" s="11"/>
    </row>
    <row r="50" spans="1:41" x14ac:dyDescent="0.35">
      <c r="A50" s="65" t="s">
        <v>2</v>
      </c>
      <c r="B50" s="66" t="str">
        <f>IF(_epmOfflineCondition_,"'VenueBar'!$B$2:$B$10",_xll.EVRNG($B$2:$B$10))</f>
        <v>'VenueBar'!$B$2:$B$10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29"/>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IF(_epmOfflineCondition_,"'VenueBar'!$O$16:$AN$18",_xll.EVRNG($O$16:$AN$18))</f>
        <v>'VenueBar'!$O$16:$AN$18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28"/>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IF(_epmOfflineCondition_,"'VenueBar'!$H$62:$H$70",_xll.EVRNG(H62:H70))</f>
        <v>'VenueBar'!$H$62:$H$70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28"/>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28"/>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v>4203.5</v>
      </c>
      <c r="P54" s="250">
        <v>8660.89</v>
      </c>
      <c r="Q54" s="250">
        <v>9960.75</v>
      </c>
      <c r="R54" s="250">
        <v>10948.32</v>
      </c>
      <c r="S54" s="250">
        <v>10985.22</v>
      </c>
      <c r="T54" s="250">
        <v>9904.68</v>
      </c>
      <c r="U54" s="250">
        <v>10770.75</v>
      </c>
      <c r="V54" s="250">
        <v>7008.07</v>
      </c>
      <c r="W54" s="250">
        <v>5485.86</v>
      </c>
      <c r="X54" s="250">
        <v>7645.05</v>
      </c>
      <c r="Y54" s="250">
        <v>8458.56</v>
      </c>
      <c r="Z54" s="250">
        <v>8152.75</v>
      </c>
      <c r="AA54" s="250">
        <f t="shared" si="1"/>
        <v>102184.4</v>
      </c>
      <c r="AB54" s="436">
        <f t="shared" si="2"/>
        <v>0.15271835789609733</v>
      </c>
      <c r="AC54" s="528"/>
      <c r="AD54" s="250">
        <v>64496.906000000003</v>
      </c>
      <c r="AE54" s="436">
        <f t="shared" si="3"/>
        <v>0.1596638655462185</v>
      </c>
      <c r="AF54" s="438">
        <f t="shared" si="4"/>
        <v>37687.493999999992</v>
      </c>
      <c r="AG54" s="250">
        <v>27867</v>
      </c>
      <c r="AH54" s="436">
        <f t="shared" si="5"/>
        <v>0.15650049021881765</v>
      </c>
      <c r="AI54" s="439">
        <f t="shared" si="6"/>
        <v>74317.399999999994</v>
      </c>
      <c r="AJ54" s="440">
        <f t="shared" si="7"/>
        <v>4.4487962035787367</v>
      </c>
      <c r="AK54" s="441">
        <f t="shared" si="8"/>
        <v>4.3026621747831886</v>
      </c>
      <c r="AL54" s="442">
        <f t="shared" si="9"/>
        <v>3.8100902378999182</v>
      </c>
      <c r="AM54" s="443" t="str">
        <f t="shared" si="10"/>
        <v>-0.69 pts.</v>
      </c>
      <c r="AN54" s="444" t="str">
        <f t="shared" si="11"/>
        <v>-0.38 pts.</v>
      </c>
      <c r="AO54" s="11"/>
    </row>
    <row r="55" spans="1:41" x14ac:dyDescent="0.35">
      <c r="A55" s="65" t="s">
        <v>7</v>
      </c>
      <c r="B55" s="66" t="str">
        <f>IF(_epmOfflineCondition_,"'VenueBar'!$A$69:$F$77",_xll.EVRNG(A69:F77))</f>
        <v>'VenueBar'!$A$69:$F$77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28"/>
      <c r="AD55" s="250"/>
      <c r="AE55" s="436" t="str">
        <f t="shared" si="3"/>
        <v/>
      </c>
      <c r="AF55" s="438">
        <f t="shared" si="4"/>
        <v>0</v>
      </c>
      <c r="AG55" s="250">
        <v>450</v>
      </c>
      <c r="AH55" s="436">
        <f t="shared" si="5"/>
        <v>2.5271906053205562E-3</v>
      </c>
      <c r="AI55" s="439">
        <f t="shared" si="6"/>
        <v>-450</v>
      </c>
      <c r="AJ55" s="440">
        <f t="shared" si="7"/>
        <v>0</v>
      </c>
      <c r="AK55" s="441">
        <f t="shared" si="8"/>
        <v>0</v>
      </c>
      <c r="AL55" s="442">
        <f t="shared" si="9"/>
        <v>6.1525840853158327E-2</v>
      </c>
      <c r="AM55" s="443">
        <f t="shared" si="10"/>
        <v>0</v>
      </c>
      <c r="AN55" s="444">
        <f t="shared" si="11"/>
        <v>0</v>
      </c>
      <c r="AO55" s="11"/>
    </row>
    <row r="56" spans="1:41" x14ac:dyDescent="0.35">
      <c r="A56" s="65" t="s">
        <v>47</v>
      </c>
      <c r="B56" s="66" t="str">
        <f>IF(_epmOfflineCondition_,"'VenueBar'!$A$125:$B$146",_xll.EVRNG($A$125:$B$146))</f>
        <v>'VenueBar'!$A$125:$B$146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v>4203.5</v>
      </c>
      <c r="P57" s="238">
        <v>8660.89</v>
      </c>
      <c r="Q57" s="238">
        <v>9960.75</v>
      </c>
      <c r="R57" s="238">
        <v>10948.32</v>
      </c>
      <c r="S57" s="238">
        <v>10985.22</v>
      </c>
      <c r="T57" s="238">
        <v>9904.68</v>
      </c>
      <c r="U57" s="238">
        <v>10770.75</v>
      </c>
      <c r="V57" s="238">
        <v>7008.07</v>
      </c>
      <c r="W57" s="238">
        <v>5485.86</v>
      </c>
      <c r="X57" s="238">
        <v>7645.05</v>
      </c>
      <c r="Y57" s="238">
        <v>8458.56</v>
      </c>
      <c r="Z57" s="238">
        <v>8152.75</v>
      </c>
      <c r="AA57" s="238">
        <f t="shared" si="1"/>
        <v>102184.4</v>
      </c>
      <c r="AB57" s="239">
        <f t="shared" si="2"/>
        <v>0.15271835789609733</v>
      </c>
      <c r="AC57" s="240"/>
      <c r="AD57" s="238">
        <v>64496.906000000003</v>
      </c>
      <c r="AE57" s="239">
        <f t="shared" si="3"/>
        <v>0.1596638655462185</v>
      </c>
      <c r="AF57" s="241">
        <f t="shared" si="4"/>
        <v>37687.493999999992</v>
      </c>
      <c r="AG57" s="238">
        <v>28317</v>
      </c>
      <c r="AH57" s="239">
        <f t="shared" si="5"/>
        <v>0.15902768082413821</v>
      </c>
      <c r="AI57" s="464">
        <f t="shared" si="6"/>
        <v>73867.399999999994</v>
      </c>
      <c r="AJ57" s="242">
        <f t="shared" si="7"/>
        <v>4.4487962035787367</v>
      </c>
      <c r="AK57" s="243">
        <f t="shared" si="8"/>
        <v>4.3026621747831886</v>
      </c>
      <c r="AL57" s="245">
        <f t="shared" si="9"/>
        <v>3.8716160787530765</v>
      </c>
      <c r="AM57" s="431" t="str">
        <f t="shared" si="10"/>
        <v>-0.69 pts.</v>
      </c>
      <c r="AN57" s="465" t="str">
        <f t="shared" si="11"/>
        <v>-0.63 pts.</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v>27543.78</v>
      </c>
      <c r="P58" s="225">
        <v>56768.160000000003</v>
      </c>
      <c r="Q58" s="225">
        <v>65574.600000000006</v>
      </c>
      <c r="R58" s="225">
        <v>72183.19</v>
      </c>
      <c r="S58" s="225">
        <v>73692.87</v>
      </c>
      <c r="T58" s="225">
        <v>66356.88</v>
      </c>
      <c r="U58" s="225">
        <v>70141.89</v>
      </c>
      <c r="V58" s="225">
        <v>45522.69</v>
      </c>
      <c r="W58" s="225">
        <v>35288.46</v>
      </c>
      <c r="X58" s="225">
        <v>49503.65</v>
      </c>
      <c r="Y58" s="225">
        <v>55059.56</v>
      </c>
      <c r="Z58" s="225">
        <v>51467.85</v>
      </c>
      <c r="AA58" s="225">
        <f t="shared" si="1"/>
        <v>669103.57999999996</v>
      </c>
      <c r="AB58" s="226">
        <f t="shared" si="2"/>
        <v>1</v>
      </c>
      <c r="AC58" s="227"/>
      <c r="AD58" s="225">
        <v>403954.30599999998</v>
      </c>
      <c r="AE58" s="226">
        <f t="shared" si="3"/>
        <v>1</v>
      </c>
      <c r="AF58" s="228">
        <f t="shared" si="4"/>
        <v>265149.27399999998</v>
      </c>
      <c r="AG58" s="225">
        <v>178063.34</v>
      </c>
      <c r="AH58" s="226">
        <f t="shared" si="5"/>
        <v>1</v>
      </c>
      <c r="AI58" s="455">
        <f t="shared" si="6"/>
        <v>491040.24</v>
      </c>
      <c r="AJ58" s="229">
        <f t="shared" si="7"/>
        <v>29.130723148591578</v>
      </c>
      <c r="AK58" s="230">
        <f t="shared" si="8"/>
        <v>26.948252568378919</v>
      </c>
      <c r="AL58" s="232">
        <f t="shared" si="9"/>
        <v>24.345548263604048</v>
      </c>
      <c r="AM58" s="427" t="str">
        <f t="shared" si="10"/>
        <v>0 pts.</v>
      </c>
      <c r="AN58" s="456" t="str">
        <f t="shared" si="11"/>
        <v>0 pts.</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v>2642.94</v>
      </c>
      <c r="P62" s="250">
        <v>4642.88</v>
      </c>
      <c r="Q62" s="250">
        <v>5326.01</v>
      </c>
      <c r="R62" s="250">
        <v>5081.92</v>
      </c>
      <c r="S62" s="250">
        <v>5769.04</v>
      </c>
      <c r="T62" s="250">
        <v>4649.6499999999996</v>
      </c>
      <c r="U62" s="250">
        <v>5497.61</v>
      </c>
      <c r="V62" s="250">
        <v>3338.08</v>
      </c>
      <c r="W62" s="250">
        <v>2547.06</v>
      </c>
      <c r="X62" s="250">
        <v>4272.37</v>
      </c>
      <c r="Y62" s="250">
        <v>3579.19</v>
      </c>
      <c r="Z62" s="250">
        <v>3275.77</v>
      </c>
      <c r="AA62" s="250">
        <f t="shared" ref="AA62:AA70" si="13">IF($I62="B1","",SUM(O62:Z62))</f>
        <v>50622.520000000004</v>
      </c>
      <c r="AB62" s="436">
        <f>IF(_epmOfflineCondition_,0.309414062383009,IF(AA62=0,"",IFERROR(AA62/_xll.EVGTS($B$1,1,_xll.EVPRO($B$1,$H62,"COSBASIS"),$B$3,$B$5,$B$6,$B$7,$B$9,AA$16,AA$17,AA$11),"")))</f>
        <v>0.309414062383009</v>
      </c>
      <c r="AC62" s="528"/>
      <c r="AD62" s="250">
        <v>36579.9</v>
      </c>
      <c r="AE62" s="436">
        <f>IF(_epmOfflineCondition_,0.31499987160577,IF(AD62=0,"",IFERROR(AD62/_xll.EVGTS($B$1,1,_xll.EVPRO($B$1,$H62,"COSBASIS"),$B$3,$B$5,$B$6,$B$7,$B$9,AD$16,AD$17,AD$18),"")))</f>
        <v>0.31499987160576998</v>
      </c>
      <c r="AF62" s="438">
        <f t="shared" ref="AF62:AF72" si="14">IF(AND($AA62="",AD62=""),"",$AA62-AD62)</f>
        <v>14042.620000000003</v>
      </c>
      <c r="AG62" s="250">
        <v>11331.83</v>
      </c>
      <c r="AH62" s="436">
        <f>IF(_epmOfflineCondition_,0.233868274793154,IF(AG62=0,"",IFERROR(AG62/_xll.EVGTS($B$1,1,_xll.EVPRO($B$1,$H62,"COSBASIS"),$B$3,$B$5,$B$6,$B$7,$B$9,AG$16,AG$17,AG$18),"")))</f>
        <v>0.233868274793154</v>
      </c>
      <c r="AI62" s="439">
        <f t="shared" ref="AI62:AI72" si="15">IF(AND($AA62="",AG62=""),"",$AA62-AG62)</f>
        <v>39290.69</v>
      </c>
      <c r="AJ62" s="440">
        <f t="shared" ref="AJ62:AJ72" si="16">IFERROR(AA62/AA$20,0)</f>
        <v>2.2039496712960949</v>
      </c>
      <c r="AK62" s="441">
        <f t="shared" ref="AK62:AK72" si="17">IFERROR(AD62/AD$20,0)</f>
        <v>2.4402868579052703</v>
      </c>
      <c r="AL62" s="442">
        <f t="shared" ref="AL62:AL72" si="18">IFERROR(AG62/AG$20,0)</f>
        <v>1.549334153677878</v>
      </c>
      <c r="AM62" s="443" t="str">
        <f t="shared" ref="AM62:AM72" si="19">+IFERROR(ROUND(($AB62-AE62)*100,2)&amp;" pts.",0)</f>
        <v>-0.56 pts.</v>
      </c>
      <c r="AN62" s="444" t="str">
        <f t="shared" ref="AN62:AN72" si="20">+IFERROR(ROUND(($AB62-AH62)*100,2)&amp;" pts.",0)</f>
        <v>7.55 pts.</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v>3644.8</v>
      </c>
      <c r="P63" s="251">
        <v>8298.59</v>
      </c>
      <c r="Q63" s="251">
        <v>9601.68</v>
      </c>
      <c r="R63" s="251">
        <v>9719.2199999999993</v>
      </c>
      <c r="S63" s="251">
        <v>11009.51</v>
      </c>
      <c r="T63" s="251">
        <v>10207.68</v>
      </c>
      <c r="U63" s="251">
        <v>10246.65</v>
      </c>
      <c r="V63" s="251">
        <v>6852.33</v>
      </c>
      <c r="W63" s="251">
        <v>4959.88</v>
      </c>
      <c r="X63" s="251">
        <v>7193.85</v>
      </c>
      <c r="Y63" s="251">
        <v>8562.33</v>
      </c>
      <c r="Z63" s="251">
        <v>8029.95</v>
      </c>
      <c r="AA63" s="251">
        <f t="shared" si="13"/>
        <v>98326.470000000016</v>
      </c>
      <c r="AB63" s="446">
        <f>IF(_epmOfflineCondition_,0.243552331721416,IF(AA63=0,"",IFERROR(AA63/_xll.EVGTS($B$1,1,_xll.EVPRO($B$1,$H63,"COSBASIS"),$B$3,$B$5,$B$6,$B$7,$B$9,AA$16,AA$17,AA$11),"")))</f>
        <v>0.24355233172141599</v>
      </c>
      <c r="AC63" s="437"/>
      <c r="AD63" s="251">
        <v>53917.72</v>
      </c>
      <c r="AE63" s="446">
        <f>IF(_epmOfflineCondition_,0.241425488658554,IF(AD63=0,"",IFERROR(AD63/_xll.EVGTS($B$1,1,_xll.EVPRO($B$1,$H63,"COSBASIS"),$B$3,$B$5,$B$6,$B$7,$B$9,AD$16,AD$17,AD$18),"")))</f>
        <v>0.24142548865855401</v>
      </c>
      <c r="AF63" s="447">
        <f t="shared" si="14"/>
        <v>44408.750000000015</v>
      </c>
      <c r="AG63" s="251">
        <v>22067.56</v>
      </c>
      <c r="AH63" s="446">
        <f>IF(_epmOfflineCondition_,0.216909956393034,IF(AG63=0,"",IFERROR(AG63/_xll.EVGTS($B$1,1,_xll.EVPRO($B$1,$H63,"COSBASIS"),$B$3,$B$5,$B$6,$B$7,$B$9,AG$16,AG$17,AG$18),"")))</f>
        <v>0.21690995639303401</v>
      </c>
      <c r="AI63" s="448">
        <f t="shared" si="15"/>
        <v>76258.910000000018</v>
      </c>
      <c r="AJ63" s="449">
        <f t="shared" si="16"/>
        <v>4.2808337324219607</v>
      </c>
      <c r="AK63" s="450">
        <f t="shared" si="17"/>
        <v>3.5969126084056038</v>
      </c>
      <c r="AL63" s="451">
        <f t="shared" si="18"/>
        <v>3.0171670768389394</v>
      </c>
      <c r="AM63" s="452" t="str">
        <f t="shared" si="19"/>
        <v>0.21 pts.</v>
      </c>
      <c r="AN63" s="453" t="str">
        <f t="shared" si="20"/>
        <v>2.66 pts.</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v>6287.74</v>
      </c>
      <c r="P64" s="225">
        <v>12941.47</v>
      </c>
      <c r="Q64" s="225">
        <v>14927.69</v>
      </c>
      <c r="R64" s="225">
        <v>14801.14</v>
      </c>
      <c r="S64" s="225">
        <v>16778.55</v>
      </c>
      <c r="T64" s="225">
        <v>14857.33</v>
      </c>
      <c r="U64" s="225">
        <v>15744.26</v>
      </c>
      <c r="V64" s="225">
        <v>10190.41</v>
      </c>
      <c r="W64" s="225">
        <v>7506.94</v>
      </c>
      <c r="X64" s="225">
        <v>11466.22</v>
      </c>
      <c r="Y64" s="225">
        <v>12141.52</v>
      </c>
      <c r="Z64" s="225">
        <v>11305.72</v>
      </c>
      <c r="AA64" s="225">
        <f t="shared" si="13"/>
        <v>148948.99</v>
      </c>
      <c r="AB64" s="226">
        <f>IF(_epmOfflineCondition_,0.262734081425857,IF(AA64=0,"",IFERROR(AA64/_xll.EVGTS($B$1,1,_xll.EVPRO($B$1,$H64,"COSBASIS"),$B$3,$B$5,$B$6,$B$7,$B$9,AA$16,AA$17,AA$11),"")))</f>
        <v>0.26273408142585702</v>
      </c>
      <c r="AC64" s="227"/>
      <c r="AD64" s="225">
        <v>90497.62</v>
      </c>
      <c r="AE64" s="226">
        <f>IF(_epmOfflineCondition_,0.266594924723986,IF(AD64=0,"",IFERROR(AD64/_xll.EVGTS($B$1,1,_xll.EVPRO($B$1,$H64,"COSBASIS"),$B$3,$B$5,$B$6,$B$7,$B$9,AD$16,AD$17,AD$18),"")))</f>
        <v>0.26659492472398599</v>
      </c>
      <c r="AF64" s="228">
        <f t="shared" si="14"/>
        <v>58451.369999999995</v>
      </c>
      <c r="AG64" s="225">
        <v>33399.39</v>
      </c>
      <c r="AH64" s="226">
        <f>IF(_epmOfflineCondition_,0.223039775129062,IF(AG64=0,"",IFERROR(AG64/_xll.EVGTS($B$1,1,_xll.EVPRO($B$1,$H64,"COSBASIS"),$B$3,$B$5,$B$6,$B$7,$B$9,AG$16,AG$17,AG$18),"")))</f>
        <v>0.22303977512906201</v>
      </c>
      <c r="AI64" s="455">
        <f t="shared" si="15"/>
        <v>115549.59999999999</v>
      </c>
      <c r="AJ64" s="229">
        <f t="shared" si="16"/>
        <v>6.4847834037180547</v>
      </c>
      <c r="AK64" s="230">
        <f t="shared" si="17"/>
        <v>6.0371994663108737</v>
      </c>
      <c r="AL64" s="232">
        <f t="shared" si="18"/>
        <v>4.5665012305168169</v>
      </c>
      <c r="AM64" s="427" t="str">
        <f t="shared" si="19"/>
        <v>-0.39 pts.</v>
      </c>
      <c r="AN64" s="456" t="str">
        <f t="shared" si="20"/>
        <v>3.97 pts.</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29"/>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28"/>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28"/>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v>6287.74</v>
      </c>
      <c r="P70" s="225">
        <v>12941.47</v>
      </c>
      <c r="Q70" s="225">
        <v>14927.69</v>
      </c>
      <c r="R70" s="225">
        <v>14801.14</v>
      </c>
      <c r="S70" s="225">
        <v>16778.55</v>
      </c>
      <c r="T70" s="225">
        <v>14857.33</v>
      </c>
      <c r="U70" s="225">
        <v>15744.26</v>
      </c>
      <c r="V70" s="225">
        <v>10190.41</v>
      </c>
      <c r="W70" s="225">
        <v>7506.94</v>
      </c>
      <c r="X70" s="225">
        <v>11466.22</v>
      </c>
      <c r="Y70" s="225">
        <v>12141.52</v>
      </c>
      <c r="Z70" s="225">
        <v>11305.72</v>
      </c>
      <c r="AA70" s="225">
        <f t="shared" si="13"/>
        <v>148948.99</v>
      </c>
      <c r="AB70" s="226">
        <f>IF(_epmOfflineCondition_,0.22260976394716,IF(AA70=0,"",IFERROR(AA70/_xll.EVGTS($B$1,1,_xll.EVPRO($B$1,$H70,"COSBASIS"),$B$3,$B$5,$B$6,$B$7,$B$9,AA$16,AA$17,AA$11),"")))</f>
        <v>0.22260976394716001</v>
      </c>
      <c r="AC70" s="227"/>
      <c r="AD70" s="225">
        <v>90497.62</v>
      </c>
      <c r="AE70" s="226">
        <f>IF(_epmOfflineCondition_,0.224029348507551,IF(AD70=0,"",IFERROR(AD70/_xll.EVGTS($B$1,1,_xll.EVPRO($B$1,$H70,"COSBASIS"),$B$3,$B$5,$B$6,$B$7,$B$9,AD$16,AD$17,AD$18),"")))</f>
        <v>0.22402934850755099</v>
      </c>
      <c r="AF70" s="228">
        <f t="shared" si="14"/>
        <v>58451.369999999995</v>
      </c>
      <c r="AG70" s="225">
        <v>33399.39</v>
      </c>
      <c r="AH70" s="226">
        <f>IF(_epmOfflineCondition_,0.18757027695875,IF(AG70=0,"",IFERROR(AG70/_xll.EVGTS($B$1,1,_xll.EVPRO($B$1,$H70,"COSBASIS"),$B$3,$B$5,$B$6,$B$7,$B$9,AG$16,AG$17,AG$18),"")))</f>
        <v>0.18757027695875</v>
      </c>
      <c r="AI70" s="455">
        <f t="shared" si="15"/>
        <v>115549.59999999999</v>
      </c>
      <c r="AJ70" s="229">
        <f t="shared" si="16"/>
        <v>6.4847834037180547</v>
      </c>
      <c r="AK70" s="230">
        <f t="shared" si="17"/>
        <v>6.0371994663108737</v>
      </c>
      <c r="AL70" s="232">
        <f t="shared" si="18"/>
        <v>4.5665012305168169</v>
      </c>
      <c r="AM70" s="427" t="str">
        <f t="shared" si="19"/>
        <v>-0.14 pts.</v>
      </c>
      <c r="AN70" s="456" t="str">
        <f t="shared" si="20"/>
        <v>3.5 pts.</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523">
        <f t="shared" si="16"/>
        <v>0</v>
      </c>
      <c r="AK71" s="524">
        <f t="shared" si="17"/>
        <v>0</v>
      </c>
      <c r="AL71" s="525">
        <f t="shared" si="18"/>
        <v>0</v>
      </c>
      <c r="AM71" s="526">
        <f t="shared" si="19"/>
        <v>0</v>
      </c>
      <c r="AN71" s="527">
        <f t="shared" si="20"/>
        <v>0</v>
      </c>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21256.04</v>
      </c>
      <c r="P72" s="123">
        <f t="shared" si="21"/>
        <v>43826.69</v>
      </c>
      <c r="Q72" s="123">
        <f t="shared" si="21"/>
        <v>50646.91</v>
      </c>
      <c r="R72" s="123">
        <f t="shared" si="21"/>
        <v>57382.05</v>
      </c>
      <c r="S72" s="123">
        <f t="shared" si="21"/>
        <v>56914.319999999992</v>
      </c>
      <c r="T72" s="123">
        <f t="shared" si="21"/>
        <v>51499.55</v>
      </c>
      <c r="U72" s="123">
        <f t="shared" si="21"/>
        <v>54397.63</v>
      </c>
      <c r="V72" s="123">
        <f t="shared" si="21"/>
        <v>35332.28</v>
      </c>
      <c r="W72" s="123">
        <f t="shared" si="21"/>
        <v>27781.52</v>
      </c>
      <c r="X72" s="123">
        <f t="shared" si="21"/>
        <v>38037.43</v>
      </c>
      <c r="Y72" s="123">
        <f t="shared" si="21"/>
        <v>42918.039999999994</v>
      </c>
      <c r="Z72" s="123">
        <f t="shared" si="21"/>
        <v>40162.129999999997</v>
      </c>
      <c r="AA72" s="191">
        <f>IF($I72="B1","",SUM(O72:Z72))</f>
        <v>520154.58999999997</v>
      </c>
      <c r="AB72" s="192">
        <f>IF(AA72=0,"",IFERROR(AA72/AA$19,""))</f>
        <v>0.77739023605283952</v>
      </c>
      <c r="AC72" s="11"/>
      <c r="AD72" s="123">
        <f>SUMIF($H$35:$H$70,"400000",AD35:AD70)-SUMIF($H$35:$H$70,"500001",AD35:AD70)</f>
        <v>313456.68599999999</v>
      </c>
      <c r="AE72" s="192">
        <f>IF(AD72=0,"",IFERROR(AD72/AD$19,""))</f>
        <v>0.7759706514924487</v>
      </c>
      <c r="AF72" s="125">
        <f t="shared" si="14"/>
        <v>206697.90399999998</v>
      </c>
      <c r="AG72" s="123">
        <f>SUMIF($H$35:$H$70,"400000",AG35:AG70)-SUMIF($H$35:$H$70,"500001",AG35:AG70)</f>
        <v>144663.95000000001</v>
      </c>
      <c r="AH72" s="192">
        <f>IF(AG72=0,"",IFERROR(AG72/AG$19,""))</f>
        <v>0.8124297230412505</v>
      </c>
      <c r="AI72" s="125">
        <f t="shared" si="15"/>
        <v>375490.63999999996</v>
      </c>
      <c r="AJ72" s="388">
        <f t="shared" si="16"/>
        <v>22.645939744873523</v>
      </c>
      <c r="AK72" s="389">
        <f t="shared" si="17"/>
        <v>20.911053102068045</v>
      </c>
      <c r="AL72" s="390">
        <f t="shared" si="18"/>
        <v>19.779047033087231</v>
      </c>
      <c r="AM72" s="391" t="str">
        <f t="shared" si="19"/>
        <v>0.14 pts.</v>
      </c>
      <c r="AN72" s="544" t="str">
        <f t="shared" si="20"/>
        <v>-3.5 pts.</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 t="shared" ref="K76:K89" si="22">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 t="shared" ref="AA76:AA89" si="23">IF($I76="B1","",SUM(O76:Z76))</f>
        <v>0</v>
      </c>
      <c r="AB76" s="211" t="str">
        <f t="shared" ref="AB76:AB89" si="24">IF(AA76=0,"",IFERROR(AA76/AA$19,""))</f>
        <v/>
      </c>
      <c r="AC76" s="140"/>
      <c r="AD76" s="210"/>
      <c r="AE76" s="211" t="str">
        <f t="shared" ref="AE76:AE89" si="25">IF(AD76=0,"",IFERROR(AD76/AD$19,""))</f>
        <v/>
      </c>
      <c r="AF76" s="253">
        <f t="shared" ref="AF76:AF89" si="26">IF(AND($AA76="",AD76=""),"",$AA76-AD76)</f>
        <v>0</v>
      </c>
      <c r="AG76" s="210"/>
      <c r="AH76" s="211" t="str">
        <f t="shared" ref="AH76:AH89" si="27">IF(AG76=0,"",IFERROR(AG76/AG$19,""))</f>
        <v/>
      </c>
      <c r="AI76" s="253">
        <f t="shared" ref="AI76:AI89" si="28">IF(AND($AA76="",AG76=""),"",$AA76-AG76)</f>
        <v>0</v>
      </c>
      <c r="AJ76" s="440">
        <f t="shared" ref="AJ76:AJ89" si="29">IFERROR(AA76/AA$20,0)</f>
        <v>0</v>
      </c>
      <c r="AK76" s="441">
        <f t="shared" ref="AK76:AK89" si="30">IFERROR(AD76/AD$20,0)</f>
        <v>0</v>
      </c>
      <c r="AL76" s="442">
        <f t="shared" ref="AL76:AL89" si="31">IFERROR(AG76/AG$20,0)</f>
        <v>0</v>
      </c>
      <c r="AM76" s="443">
        <f t="shared" ref="AM76:AM89" si="32">+IFERROR(ROUND(($AB76-AE76)*100,2)&amp;" pts.",0)</f>
        <v>0</v>
      </c>
      <c r="AN76" s="444">
        <f t="shared" ref="AN76:AN89" si="33">+IFERROR(ROUND(($AB76-AH76)*100,2)&amp;" pts.",0)</f>
        <v>0</v>
      </c>
      <c r="AO76" s="11"/>
    </row>
    <row r="77" spans="1:41" hidden="1" x14ac:dyDescent="0.35">
      <c r="A77" s="11" t="s">
        <v>108</v>
      </c>
      <c r="B77" s="11"/>
      <c r="C77" s="196" t="s">
        <v>101</v>
      </c>
      <c r="D77" s="11" t="s">
        <v>107</v>
      </c>
      <c r="E77" s="11"/>
      <c r="F77" s="11" t="s">
        <v>99</v>
      </c>
      <c r="G77" s="11"/>
      <c r="H77" s="185"/>
      <c r="I77" s="122" t="str">
        <f>IF(_epmOfflineCondition_,"",_xll.EVPRO($B$1,$H77,"STYLE"))</f>
        <v/>
      </c>
      <c r="J77" s="122" t="str">
        <f>IF(_epmOfflineCondition_,"",_xll.EVPRO($B$1,$H77,"CALC"))</f>
        <v/>
      </c>
      <c r="K77" s="179" t="str">
        <f t="shared" si="22"/>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 t="shared" si="23"/>
        <v>0</v>
      </c>
      <c r="AB77" s="211" t="str">
        <f t="shared" si="24"/>
        <v/>
      </c>
      <c r="AC77" s="140"/>
      <c r="AD77" s="210"/>
      <c r="AE77" s="211" t="str">
        <f t="shared" si="25"/>
        <v/>
      </c>
      <c r="AF77" s="253">
        <f t="shared" si="26"/>
        <v>0</v>
      </c>
      <c r="AG77" s="210"/>
      <c r="AH77" s="211" t="str">
        <f t="shared" si="27"/>
        <v/>
      </c>
      <c r="AI77" s="253">
        <f t="shared" si="28"/>
        <v>0</v>
      </c>
      <c r="AJ77" s="440">
        <f t="shared" si="29"/>
        <v>0</v>
      </c>
      <c r="AK77" s="441">
        <f t="shared" si="30"/>
        <v>0</v>
      </c>
      <c r="AL77" s="442">
        <f t="shared" si="31"/>
        <v>0</v>
      </c>
      <c r="AM77" s="443">
        <f t="shared" si="32"/>
        <v>0</v>
      </c>
      <c r="AN77" s="444">
        <f t="shared" si="33"/>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 t="shared" si="23"/>
        <v/>
      </c>
      <c r="AB78" s="198" t="str">
        <f t="shared" si="24"/>
        <v/>
      </c>
      <c r="AC78" s="11"/>
      <c r="AD78" s="197"/>
      <c r="AE78" s="198" t="str">
        <f t="shared" si="25"/>
        <v/>
      </c>
      <c r="AF78" s="199" t="str">
        <f t="shared" si="26"/>
        <v/>
      </c>
      <c r="AG78" s="197"/>
      <c r="AH78" s="198" t="str">
        <f t="shared" si="27"/>
        <v/>
      </c>
      <c r="AI78" s="199" t="str">
        <f t="shared" si="28"/>
        <v/>
      </c>
      <c r="AJ78" s="397">
        <f t="shared" si="29"/>
        <v>0</v>
      </c>
      <c r="AK78" s="398">
        <f t="shared" si="30"/>
        <v>0</v>
      </c>
      <c r="AL78" s="399">
        <f t="shared" si="31"/>
        <v>0</v>
      </c>
      <c r="AM78" s="400">
        <f t="shared" si="32"/>
        <v>0</v>
      </c>
      <c r="AN78" s="401">
        <f t="shared" si="33"/>
        <v>0</v>
      </c>
      <c r="AO78" s="11"/>
    </row>
    <row r="79" spans="1:41" x14ac:dyDescent="0.35">
      <c r="A79" s="11"/>
      <c r="B79" s="11"/>
      <c r="C79" s="208"/>
      <c r="D79" s="11"/>
      <c r="E79" s="11"/>
      <c r="F79" s="11"/>
      <c r="G79" s="11"/>
      <c r="H79" s="88" t="s">
        <v>864</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Kitchen",IF(_xll.EVDES(H79,$B$1)="#NODATA","",_xll.EVDES(H79,$B$1)))</f>
        <v>F&amp;B Kitchen</v>
      </c>
      <c r="O79" s="216">
        <v>3244.26</v>
      </c>
      <c r="P79" s="216"/>
      <c r="Q79" s="216"/>
      <c r="R79" s="216"/>
      <c r="S79" s="216"/>
      <c r="T79" s="216"/>
      <c r="U79" s="216"/>
      <c r="V79" s="216">
        <v>4931.63</v>
      </c>
      <c r="W79" s="216">
        <v>-16351.78</v>
      </c>
      <c r="X79" s="216">
        <v>8175.89</v>
      </c>
      <c r="Y79" s="216"/>
      <c r="Z79" s="216">
        <v>247.5</v>
      </c>
      <c r="AA79" s="251">
        <f t="shared" si="23"/>
        <v>247.5</v>
      </c>
      <c r="AB79" s="218">
        <f t="shared" si="24"/>
        <v>3.6989788636312482E-4</v>
      </c>
      <c r="AC79" s="140"/>
      <c r="AD79" s="216">
        <v>38388.571428571697</v>
      </c>
      <c r="AE79" s="218">
        <f t="shared" si="25"/>
        <v>9.503196489894998E-2</v>
      </c>
      <c r="AF79" s="233">
        <f t="shared" si="26"/>
        <v>-38141.071428571697</v>
      </c>
      <c r="AG79" s="216">
        <v>4535.72</v>
      </c>
      <c r="AH79" s="218">
        <f t="shared" si="27"/>
        <v>2.5472508827476786E-2</v>
      </c>
      <c r="AI79" s="233">
        <f t="shared" si="28"/>
        <v>-4288.22</v>
      </c>
      <c r="AJ79" s="449">
        <f t="shared" si="29"/>
        <v>1.0775392920893379E-2</v>
      </c>
      <c r="AK79" s="450">
        <f t="shared" si="30"/>
        <v>2.5609453921662237</v>
      </c>
      <c r="AL79" s="451">
        <f t="shared" si="31"/>
        <v>0.6201421930544162</v>
      </c>
      <c r="AM79" s="452" t="str">
        <f t="shared" si="32"/>
        <v>-9.47 pts.</v>
      </c>
      <c r="AN79" s="453" t="str">
        <f t="shared" si="33"/>
        <v>-2.51 pts.</v>
      </c>
      <c r="AO79" s="11"/>
    </row>
    <row r="80" spans="1:41" x14ac:dyDescent="0.35">
      <c r="A80" s="61" t="str">
        <f>IF(_epmOfflineCondition_,"Evdre:Ok",_xll.EVDRE($B$1,A83:B90,A93:B99))</f>
        <v>Evdre:Ok</v>
      </c>
      <c r="B80" s="11"/>
      <c r="C80" s="11"/>
      <c r="D80" s="11"/>
      <c r="E80" s="11"/>
      <c r="F80" s="11"/>
      <c r="G80" s="11"/>
      <c r="H80" s="88" t="s">
        <v>865</v>
      </c>
      <c r="I80" s="122" t="str">
        <f>IF(_epmOfflineCondition_,"T3",_xll.EVPRO($B$1,$H80,"STYLE"))</f>
        <v>T3</v>
      </c>
      <c r="J80" s="122" t="str">
        <f>IF(_epmOfflineCondition_,"Y",_xll.EVPRO($B$1,$H80,"CALC"))</f>
        <v>Y</v>
      </c>
      <c r="K80" s="179" t="str">
        <f t="shared" si="22"/>
        <v>&gt;</v>
      </c>
      <c r="L80" s="90" t="str">
        <f>IF(_epmOfflineCondition_,"",_xll.EVPRO($B$1,H80,"JDEID"))</f>
        <v/>
      </c>
      <c r="M80" s="90" t="str">
        <f>IF(_epmOfflineCondition_,"",IF(AND(I80="N",J80="N"),_xll.EVPRO($B$1,H80,"PSFTID"),""))</f>
        <v/>
      </c>
      <c r="N80" s="90" t="str">
        <f>IF(_epmOfflineCondition_,"F&amp;B Venues",IF(_xll.EVDES(H80,$B$1)="#NODATA","",_xll.EVDES(H80,$B$1)))</f>
        <v>F&amp;B Venues</v>
      </c>
      <c r="O80" s="216">
        <v>2469.84</v>
      </c>
      <c r="P80" s="216">
        <v>2877.15</v>
      </c>
      <c r="Q80" s="216">
        <v>1808.85</v>
      </c>
      <c r="R80" s="216">
        <v>956.99</v>
      </c>
      <c r="S80" s="216">
        <v>591.4</v>
      </c>
      <c r="T80" s="216">
        <v>578.6</v>
      </c>
      <c r="U80" s="216">
        <v>149.05000000000001</v>
      </c>
      <c r="V80" s="216">
        <v>9411.5</v>
      </c>
      <c r="W80" s="216">
        <v>4470.45</v>
      </c>
      <c r="X80" s="216">
        <v>6278.85</v>
      </c>
      <c r="Y80" s="216">
        <v>661.11</v>
      </c>
      <c r="Z80" s="216">
        <v>1553.4</v>
      </c>
      <c r="AA80" s="251">
        <f t="shared" si="23"/>
        <v>31807.190000000002</v>
      </c>
      <c r="AB80" s="218">
        <f t="shared" si="24"/>
        <v>4.7537019604647762E-2</v>
      </c>
      <c r="AC80" s="140"/>
      <c r="AD80" s="216">
        <v>75852.599999998798</v>
      </c>
      <c r="AE80" s="218">
        <f t="shared" si="25"/>
        <v>0.1877751985146528</v>
      </c>
      <c r="AF80" s="233">
        <f t="shared" si="26"/>
        <v>-44045.409999998796</v>
      </c>
      <c r="AG80" s="216">
        <v>13101.78</v>
      </c>
      <c r="AH80" s="218">
        <f t="shared" si="27"/>
        <v>7.3579322953281692E-2</v>
      </c>
      <c r="AI80" s="233">
        <f t="shared" si="28"/>
        <v>18705.410000000003</v>
      </c>
      <c r="AJ80" s="449">
        <f t="shared" si="29"/>
        <v>1.3847877574121643</v>
      </c>
      <c r="AK80" s="450">
        <f t="shared" si="30"/>
        <v>5.0602134756503538</v>
      </c>
      <c r="AL80" s="451">
        <f t="shared" si="31"/>
        <v>1.7913289581624283</v>
      </c>
      <c r="AM80" s="452" t="str">
        <f t="shared" si="32"/>
        <v>-14.02 pts.</v>
      </c>
      <c r="AN80" s="453" t="str">
        <f t="shared" si="33"/>
        <v>-2.6 pts.</v>
      </c>
      <c r="AO80" s="11"/>
    </row>
    <row r="81" spans="1:41" x14ac:dyDescent="0.35">
      <c r="A81" s="11"/>
      <c r="B81" s="11"/>
      <c r="C81" s="11"/>
      <c r="D81" s="11"/>
      <c r="E81" s="11"/>
      <c r="F81" s="11"/>
      <c r="G81" s="11"/>
      <c r="H81" s="88" t="s">
        <v>848</v>
      </c>
      <c r="I81" s="188" t="str">
        <f>IF(_epmOfflineCondition_,"T2",_xll.EVPRO($B$1,$H81,"STYLE"))</f>
        <v>T2</v>
      </c>
      <c r="J81" s="188" t="str">
        <f>IF(_epmOfflineCondition_,"Y",_xll.EVPRO($B$1,$H81,"CALC"))</f>
        <v>Y</v>
      </c>
      <c r="K81" s="189" t="str">
        <f t="shared" si="22"/>
        <v/>
      </c>
      <c r="L81" s="190" t="str">
        <f>IF(_epmOfflineCondition_,"",_xll.EVPRO($B$1,H81,"JDEID"))</f>
        <v/>
      </c>
      <c r="M81" s="190" t="str">
        <f>IF(_epmOfflineCondition_,"",IF(AND(I81="N",J81="N"),_xll.EVPRO($B$1,H81,"PSFTID"),""))</f>
        <v/>
      </c>
      <c r="N81" s="190" t="str">
        <f>IF(_epmOfflineCondition_,"Total Salaries and Wages",IF(_xll.EVDES(H81,$B$1)="#NODATA","",_xll.EVDES(H81,$B$1)))</f>
        <v>Total Salaries and Wages</v>
      </c>
      <c r="O81" s="225">
        <v>5714.1</v>
      </c>
      <c r="P81" s="225">
        <v>2877.15</v>
      </c>
      <c r="Q81" s="225">
        <v>1808.85</v>
      </c>
      <c r="R81" s="225">
        <v>956.99</v>
      </c>
      <c r="S81" s="225">
        <v>591.4</v>
      </c>
      <c r="T81" s="225">
        <v>578.6</v>
      </c>
      <c r="U81" s="225">
        <v>149.05000000000001</v>
      </c>
      <c r="V81" s="225">
        <v>14343.13</v>
      </c>
      <c r="W81" s="225">
        <v>-11881.33</v>
      </c>
      <c r="X81" s="225">
        <v>14454.74</v>
      </c>
      <c r="Y81" s="225">
        <v>661.11</v>
      </c>
      <c r="Z81" s="225">
        <v>1800.9</v>
      </c>
      <c r="AA81" s="225">
        <f t="shared" si="23"/>
        <v>32054.69</v>
      </c>
      <c r="AB81" s="226">
        <f t="shared" si="24"/>
        <v>4.7906917491010885E-2</v>
      </c>
      <c r="AC81" s="227"/>
      <c r="AD81" s="225">
        <v>114241.17142857</v>
      </c>
      <c r="AE81" s="226">
        <f t="shared" si="25"/>
        <v>0.28280716341360157</v>
      </c>
      <c r="AF81" s="228">
        <f t="shared" si="26"/>
        <v>-82186.481428569998</v>
      </c>
      <c r="AG81" s="225">
        <v>17637.5</v>
      </c>
      <c r="AH81" s="226">
        <f t="shared" si="27"/>
        <v>9.9051831780758465E-2</v>
      </c>
      <c r="AI81" s="228">
        <f t="shared" si="28"/>
        <v>14417.189999999999</v>
      </c>
      <c r="AJ81" s="229">
        <f t="shared" si="29"/>
        <v>1.3955631503330574</v>
      </c>
      <c r="AK81" s="230">
        <f t="shared" si="30"/>
        <v>7.6211588678165443</v>
      </c>
      <c r="AL81" s="232">
        <f t="shared" si="31"/>
        <v>2.4114711512168445</v>
      </c>
      <c r="AM81" s="427" t="str">
        <f t="shared" si="32"/>
        <v>-23.49 pts.</v>
      </c>
      <c r="AN81" s="456" t="str">
        <f t="shared" si="33"/>
        <v>-5.11 pts.</v>
      </c>
      <c r="AO81" s="11"/>
    </row>
    <row r="82" spans="1:41" x14ac:dyDescent="0.35">
      <c r="A82" s="62" t="s">
        <v>0</v>
      </c>
      <c r="B82" s="63" t="s">
        <v>1</v>
      </c>
      <c r="C82" s="11"/>
      <c r="D82" s="11"/>
      <c r="E82" s="11"/>
      <c r="F82" s="11"/>
      <c r="G82" s="11"/>
      <c r="H82" s="88" t="s">
        <v>866</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IF(_epmOfflineCondition_,"Service Charge Distribution",IF(_xll.EVDES(H82,$B$1)="#NODATA","",_xll.EVDES(H82,$B$1)))</f>
        <v>Service Charge Distribution</v>
      </c>
      <c r="O82" s="216">
        <v>4203.5</v>
      </c>
      <c r="P82" s="216">
        <v>8660.89</v>
      </c>
      <c r="Q82" s="216">
        <v>9960.75</v>
      </c>
      <c r="R82" s="216">
        <v>10948.32</v>
      </c>
      <c r="S82" s="216">
        <v>10985.22</v>
      </c>
      <c r="T82" s="216">
        <v>9904.68</v>
      </c>
      <c r="U82" s="216">
        <v>10401.84</v>
      </c>
      <c r="V82" s="216">
        <v>7008.07</v>
      </c>
      <c r="W82" s="216">
        <v>5485.86</v>
      </c>
      <c r="X82" s="216">
        <v>7645.05</v>
      </c>
      <c r="Y82" s="216">
        <v>8458.56</v>
      </c>
      <c r="Z82" s="216">
        <v>8152.75</v>
      </c>
      <c r="AA82" s="216">
        <f t="shared" si="23"/>
        <v>101815.48999999999</v>
      </c>
      <c r="AB82" s="218">
        <f t="shared" si="24"/>
        <v>0.15216700828293281</v>
      </c>
      <c r="AC82" s="140"/>
      <c r="AD82" s="216">
        <v>64496.906000000003</v>
      </c>
      <c r="AE82" s="218">
        <f t="shared" si="25"/>
        <v>0.1596638655462185</v>
      </c>
      <c r="AF82" s="233">
        <f t="shared" si="26"/>
        <v>37318.583999999988</v>
      </c>
      <c r="AG82" s="216">
        <v>24924.720000000001</v>
      </c>
      <c r="AH82" s="218">
        <f t="shared" si="27"/>
        <v>0.13997670716498972</v>
      </c>
      <c r="AI82" s="233">
        <f t="shared" si="28"/>
        <v>76890.76999999999</v>
      </c>
      <c r="AJ82" s="532">
        <f t="shared" si="29"/>
        <v>4.432734990639557</v>
      </c>
      <c r="AK82" s="533">
        <f t="shared" si="30"/>
        <v>4.3026621747831886</v>
      </c>
      <c r="AL82" s="534">
        <f t="shared" si="31"/>
        <v>3.4078096800656277</v>
      </c>
      <c r="AM82" s="535" t="str">
        <f t="shared" si="32"/>
        <v>-0.75 pts.</v>
      </c>
      <c r="AN82" s="536" t="str">
        <f t="shared" si="33"/>
        <v>1.22 pts.</v>
      </c>
      <c r="AO82" s="11"/>
    </row>
    <row r="83" spans="1:41" x14ac:dyDescent="0.35">
      <c r="A83" s="65" t="s">
        <v>2</v>
      </c>
      <c r="B83" s="66" t="str">
        <f>IF(_epmOfflineCondition_,"'VenueBar'!$B$2:$B$10",_xll.EVRNG($B$2:$B$10))</f>
        <v>'VenueBar'!$B$2:$B$10</v>
      </c>
      <c r="C83" s="11"/>
      <c r="D83" s="11"/>
      <c r="E83" s="11"/>
      <c r="F83" s="11"/>
      <c r="G83" s="11"/>
      <c r="H83" s="88" t="s">
        <v>867</v>
      </c>
      <c r="I83" s="122" t="str">
        <f>IF(_epmOfflineCondition_,"T3",_xll.EVPRO($B$1,$H83,"STYLE"))</f>
        <v>T3</v>
      </c>
      <c r="J83" s="122" t="str">
        <f>IF(_epmOfflineCondition_,"Y",_xll.EVPRO($B$1,$H83,"CALC"))</f>
        <v>Y</v>
      </c>
      <c r="K83" s="179" t="str">
        <f t="shared" si="22"/>
        <v>&gt;</v>
      </c>
      <c r="L83" s="90" t="str">
        <f>IF(_epmOfflineCondition_,"",_xll.EVPRO($B$1,H83,"JDEID"))</f>
        <v/>
      </c>
      <c r="M83" s="90" t="str">
        <f>IF(_epmOfflineCondition_,"",IF(AND(I83="N",J83="N"),_xll.EVPRO($B$1,H83,"PSFTID"),""))</f>
        <v/>
      </c>
      <c r="N83" s="90" t="str">
        <f>IF(_epmOfflineCondition_,"Contracted &amp; Leased Labor",IF(_xll.EVDES(H83,$B$1)="#NODATA","",_xll.EVDES(H83,$B$1)))</f>
        <v>Contracted &amp; Leased Labor</v>
      </c>
      <c r="O83" s="216">
        <v>128</v>
      </c>
      <c r="P83" s="216"/>
      <c r="Q83" s="216"/>
      <c r="R83" s="216"/>
      <c r="S83" s="216"/>
      <c r="T83" s="216"/>
      <c r="U83" s="216"/>
      <c r="V83" s="216"/>
      <c r="W83" s="216"/>
      <c r="X83" s="216"/>
      <c r="Y83" s="216"/>
      <c r="Z83" s="216"/>
      <c r="AA83" s="251">
        <f t="shared" si="23"/>
        <v>128</v>
      </c>
      <c r="AB83" s="218">
        <f t="shared" si="24"/>
        <v>1.9130072506860597E-4</v>
      </c>
      <c r="AC83" s="140"/>
      <c r="AD83" s="216"/>
      <c r="AE83" s="218" t="str">
        <f t="shared" si="25"/>
        <v/>
      </c>
      <c r="AF83" s="233">
        <f t="shared" si="26"/>
        <v>128</v>
      </c>
      <c r="AG83" s="216">
        <v>350</v>
      </c>
      <c r="AH83" s="218">
        <f t="shared" si="27"/>
        <v>1.9655926930270992E-3</v>
      </c>
      <c r="AI83" s="233">
        <f t="shared" si="28"/>
        <v>-222</v>
      </c>
      <c r="AJ83" s="449">
        <f t="shared" si="29"/>
        <v>5.5727284600983933E-3</v>
      </c>
      <c r="AK83" s="450">
        <f t="shared" si="30"/>
        <v>0</v>
      </c>
      <c r="AL83" s="451">
        <f t="shared" si="31"/>
        <v>4.7853431774678698E-2</v>
      </c>
      <c r="AM83" s="452">
        <f t="shared" si="32"/>
        <v>0</v>
      </c>
      <c r="AN83" s="453" t="str">
        <f t="shared" si="33"/>
        <v>-0.18 pts.</v>
      </c>
      <c r="AO83" s="11"/>
    </row>
    <row r="84" spans="1:41" x14ac:dyDescent="0.35">
      <c r="A84" s="65" t="s">
        <v>3</v>
      </c>
      <c r="B84" s="66" t="str">
        <f>IF(_epmOfflineCondition_,"'VenueBar'!$O$16:$AN$18",_xll.EVRNG($O$16:$AN$18))</f>
        <v>'VenueBar'!$O$16:$AN$18</v>
      </c>
      <c r="C84" s="11"/>
      <c r="D84" s="11"/>
      <c r="E84" s="11"/>
      <c r="F84" s="11"/>
      <c r="G84" s="11"/>
      <c r="H84" s="88" t="s">
        <v>850</v>
      </c>
      <c r="I84" s="188" t="str">
        <f>IF(_epmOfflineCondition_,"T2",_xll.EVPRO($B$1,$H84,"STYLE"))</f>
        <v>T2</v>
      </c>
      <c r="J84" s="188" t="str">
        <f>IF(_epmOfflineCondition_,"Y",_xll.EVPRO($B$1,$H84,"CALC"))</f>
        <v>Y</v>
      </c>
      <c r="K84" s="189" t="str">
        <f t="shared" si="22"/>
        <v/>
      </c>
      <c r="L84" s="190" t="str">
        <f>IF(_epmOfflineCondition_,"",_xll.EVPRO($B$1,H84,"JDEID"))</f>
        <v/>
      </c>
      <c r="M84" s="190" t="str">
        <f>IF(_epmOfflineCondition_,"",IF(AND(I84="N",J84="N"),_xll.EVPRO($B$1,H84,"PSFTID"),""))</f>
        <v/>
      </c>
      <c r="N84" s="190" t="str">
        <f>IF(_epmOfflineCondition_,"Total Labor Expense",IF(_xll.EVDES(H84,$B$1)="#NODATA","",_xll.EVDES(H84,$B$1)))</f>
        <v>Total Labor Expense</v>
      </c>
      <c r="O84" s="225">
        <v>10045.6</v>
      </c>
      <c r="P84" s="225">
        <v>11538.04</v>
      </c>
      <c r="Q84" s="225">
        <v>11769.6</v>
      </c>
      <c r="R84" s="225">
        <v>11905.31</v>
      </c>
      <c r="S84" s="225">
        <v>11576.62</v>
      </c>
      <c r="T84" s="225">
        <v>10483.280000000001</v>
      </c>
      <c r="U84" s="225">
        <v>10550.89</v>
      </c>
      <c r="V84" s="225">
        <v>21351.200000000001</v>
      </c>
      <c r="W84" s="225">
        <v>-6395.47</v>
      </c>
      <c r="X84" s="225">
        <v>22099.79</v>
      </c>
      <c r="Y84" s="225">
        <v>9119.67</v>
      </c>
      <c r="Z84" s="225">
        <v>9953.65</v>
      </c>
      <c r="AA84" s="225">
        <f t="shared" si="23"/>
        <v>133998.18</v>
      </c>
      <c r="AB84" s="226">
        <f t="shared" si="24"/>
        <v>0.20026522649901229</v>
      </c>
      <c r="AC84" s="227"/>
      <c r="AD84" s="225">
        <v>178738.07742856999</v>
      </c>
      <c r="AE84" s="226">
        <f t="shared" si="25"/>
        <v>0.44247102895981999</v>
      </c>
      <c r="AF84" s="228">
        <f t="shared" si="26"/>
        <v>-44739.897428569995</v>
      </c>
      <c r="AG84" s="225">
        <v>42912.22</v>
      </c>
      <c r="AH84" s="226">
        <f t="shared" si="27"/>
        <v>0.24099413163877528</v>
      </c>
      <c r="AI84" s="228">
        <f t="shared" si="28"/>
        <v>91085.959999999992</v>
      </c>
      <c r="AJ84" s="229">
        <f t="shared" si="29"/>
        <v>5.8338708694327135</v>
      </c>
      <c r="AK84" s="230">
        <f t="shared" si="30"/>
        <v>11.923821042599732</v>
      </c>
      <c r="AL84" s="232">
        <f t="shared" si="31"/>
        <v>5.8671342630571512</v>
      </c>
      <c r="AM84" s="427" t="str">
        <f t="shared" si="32"/>
        <v>-24.22 pts.</v>
      </c>
      <c r="AN84" s="456" t="str">
        <f t="shared" si="33"/>
        <v>-4.07 pts.</v>
      </c>
      <c r="AO84" s="11"/>
    </row>
    <row r="85" spans="1:41" x14ac:dyDescent="0.35">
      <c r="A85" s="65" t="s">
        <v>4</v>
      </c>
      <c r="B85" s="66" t="str">
        <f>IF(_epmOfflineCondition_,"'VenueBar'!$H$76:$H$77,'VenueBar'!$H$79:$H$89,'VenueBar'!$H$92:$H$105",_xll.EVRNG(H76:H77,H79:H89,H92:H105))</f>
        <v>'VenueBar'!$H$76:$H$77,'VenueBar'!$H$79:$H$89,'VenueBar'!$H$92:$H$105</v>
      </c>
      <c r="C85" s="11"/>
      <c r="D85" s="11"/>
      <c r="E85" s="11"/>
      <c r="F85" s="11"/>
      <c r="G85" s="11"/>
      <c r="H85" s="88" t="s">
        <v>851</v>
      </c>
      <c r="I85" s="122" t="str">
        <f>IF(_epmOfflineCondition_,"T3",_xll.EVPRO($B$1,$H85,"STYLE"))</f>
        <v>T3</v>
      </c>
      <c r="J85" s="122" t="str">
        <f>IF(_epmOfflineCondition_,"Y",_xll.EVPRO($B$1,$H85,"CALC"))</f>
        <v>Y</v>
      </c>
      <c r="K85" s="179" t="str">
        <f t="shared" si="22"/>
        <v>&gt;</v>
      </c>
      <c r="L85" s="90" t="str">
        <f>IF(_epmOfflineCondition_,"",_xll.EVPRO($B$1,H85,"JDEID"))</f>
        <v/>
      </c>
      <c r="M85" s="90" t="str">
        <f>IF(_epmOfflineCondition_,"",IF(AND(I85="N",J85="N"),_xll.EVPRO($B$1,H85,"PSFTID"),""))</f>
        <v/>
      </c>
      <c r="N85" s="90" t="str">
        <f>IF(_epmOfflineCondition_,"Payroll Taxes",IF(_xll.EVDES(H85,$B$1)="#NODATA","",_xll.EVDES(H85,$B$1)))</f>
        <v>Payroll Taxes</v>
      </c>
      <c r="O85" s="216">
        <v>69.47</v>
      </c>
      <c r="P85" s="216">
        <v>1179.07</v>
      </c>
      <c r="Q85" s="216">
        <v>835.91</v>
      </c>
      <c r="R85" s="216">
        <v>427.4</v>
      </c>
      <c r="S85" s="216">
        <v>216.4</v>
      </c>
      <c r="T85" s="216">
        <v>145.75</v>
      </c>
      <c r="U85" s="216">
        <v>26.51</v>
      </c>
      <c r="V85" s="216">
        <v>-225.78</v>
      </c>
      <c r="W85" s="216"/>
      <c r="X85" s="216"/>
      <c r="Y85" s="216">
        <v>140.09</v>
      </c>
      <c r="Z85" s="216">
        <v>550.01</v>
      </c>
      <c r="AA85" s="216">
        <f t="shared" si="23"/>
        <v>3364.83</v>
      </c>
      <c r="AB85" s="218">
        <f t="shared" si="24"/>
        <v>5.0288626463484178E-3</v>
      </c>
      <c r="AC85" s="140"/>
      <c r="AD85" s="216">
        <v>12887.496621964299</v>
      </c>
      <c r="AE85" s="218">
        <f t="shared" si="25"/>
        <v>3.190335250929173E-2</v>
      </c>
      <c r="AF85" s="233">
        <f t="shared" si="26"/>
        <v>-9522.6666219642993</v>
      </c>
      <c r="AG85" s="216">
        <v>571.75</v>
      </c>
      <c r="AH85" s="218">
        <f t="shared" si="27"/>
        <v>3.2109360635378401E-3</v>
      </c>
      <c r="AI85" s="233">
        <f t="shared" si="28"/>
        <v>2793.08</v>
      </c>
      <c r="AJ85" s="532">
        <f t="shared" si="29"/>
        <v>0.14649440550306936</v>
      </c>
      <c r="AK85" s="533">
        <f t="shared" si="30"/>
        <v>0.85973960119841886</v>
      </c>
      <c r="AL85" s="534">
        <f t="shared" si="31"/>
        <v>7.8171998906207268E-2</v>
      </c>
      <c r="AM85" s="535" t="str">
        <f t="shared" si="32"/>
        <v>-2.69 pts.</v>
      </c>
      <c r="AN85" s="536" t="str">
        <f t="shared" si="33"/>
        <v>0.18 pts.</v>
      </c>
      <c r="AO85" s="11"/>
    </row>
    <row r="86" spans="1:41" x14ac:dyDescent="0.35">
      <c r="A86" s="65" t="s">
        <v>5</v>
      </c>
      <c r="B86" s="66"/>
      <c r="C86" s="11"/>
      <c r="D86" s="11"/>
      <c r="E86" s="11"/>
      <c r="F86" s="11"/>
      <c r="G86" s="11"/>
      <c r="H86" s="88" t="s">
        <v>852</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IF(_epmOfflineCondition_,"Supplemental Pay",IF(_xll.EVDES(H86,$B$1)="#NODATA","",_xll.EVDES(H86,$B$1)))</f>
        <v>Supplemental Pay</v>
      </c>
      <c r="O86" s="216"/>
      <c r="P86" s="216"/>
      <c r="Q86" s="216"/>
      <c r="R86" s="216"/>
      <c r="S86" s="216"/>
      <c r="T86" s="216"/>
      <c r="U86" s="216"/>
      <c r="V86" s="216"/>
      <c r="W86" s="216"/>
      <c r="X86" s="216"/>
      <c r="Y86" s="216"/>
      <c r="Z86" s="216"/>
      <c r="AA86" s="251">
        <f t="shared" si="23"/>
        <v>0</v>
      </c>
      <c r="AB86" s="218" t="str">
        <f t="shared" si="24"/>
        <v/>
      </c>
      <c r="AC86" s="140"/>
      <c r="AD86" s="216">
        <v>3718.8517142856999</v>
      </c>
      <c r="AE86" s="218">
        <f t="shared" si="25"/>
        <v>9.206119749310706E-3</v>
      </c>
      <c r="AF86" s="233">
        <f t="shared" si="26"/>
        <v>-3718.8517142856999</v>
      </c>
      <c r="AG86" s="216">
        <v>468.43</v>
      </c>
      <c r="AH86" s="218">
        <f t="shared" si="27"/>
        <v>2.6306931005562403E-3</v>
      </c>
      <c r="AI86" s="233">
        <f t="shared" si="28"/>
        <v>-468.43</v>
      </c>
      <c r="AJ86" s="449">
        <f t="shared" si="29"/>
        <v>0</v>
      </c>
      <c r="AK86" s="450">
        <f t="shared" si="30"/>
        <v>0.2480888401791661</v>
      </c>
      <c r="AL86" s="451">
        <f t="shared" si="31"/>
        <v>6.4045665846322125E-2</v>
      </c>
      <c r="AM86" s="452">
        <f t="shared" si="32"/>
        <v>0</v>
      </c>
      <c r="AN86" s="453">
        <f t="shared" si="33"/>
        <v>0</v>
      </c>
      <c r="AO86" s="11"/>
    </row>
    <row r="87" spans="1:41" x14ac:dyDescent="0.35">
      <c r="A87" s="65" t="s">
        <v>6</v>
      </c>
      <c r="B87" s="66"/>
      <c r="C87" s="11"/>
      <c r="D87" s="11"/>
      <c r="E87" s="11"/>
      <c r="F87" s="11"/>
      <c r="G87" s="11"/>
      <c r="H87" s="88" t="s">
        <v>853</v>
      </c>
      <c r="I87" s="122" t="str">
        <f>IF(_epmOfflineCondition_,"T3",_xll.EVPRO($B$1,$H87,"STYLE"))</f>
        <v>T3</v>
      </c>
      <c r="J87" s="122" t="str">
        <f>IF(_epmOfflineCondition_,"Y",_xll.EVPRO($B$1,$H87,"CALC"))</f>
        <v>Y</v>
      </c>
      <c r="K87" s="179" t="str">
        <f t="shared" si="22"/>
        <v>&gt;</v>
      </c>
      <c r="L87" s="90" t="str">
        <f>IF(_epmOfflineCondition_,"",_xll.EVPRO($B$1,H87,"JDEID"))</f>
        <v/>
      </c>
      <c r="M87" s="90" t="str">
        <f>IF(_epmOfflineCondition_,"",IF(AND(I87="N",J87="N"),_xll.EVPRO($B$1,H87,"PSFTID"),""))</f>
        <v/>
      </c>
      <c r="N87" s="90" t="str">
        <f>IF(_epmOfflineCondition_,"Employee Benefits",IF(_xll.EVDES(H87,$B$1)="#NODATA","",_xll.EVDES(H87,$B$1)))</f>
        <v>Employee Benefits</v>
      </c>
      <c r="O87" s="216">
        <v>0.55000000000000004</v>
      </c>
      <c r="P87" s="216"/>
      <c r="Q87" s="216">
        <v>165.06</v>
      </c>
      <c r="R87" s="216">
        <v>-634.94000000000005</v>
      </c>
      <c r="S87" s="216">
        <v>282.70999999999998</v>
      </c>
      <c r="T87" s="216">
        <v>282.70999999999998</v>
      </c>
      <c r="U87" s="216">
        <v>282.70999999999998</v>
      </c>
      <c r="V87" s="216">
        <v>516.35</v>
      </c>
      <c r="W87" s="216">
        <v>360.59</v>
      </c>
      <c r="X87" s="216">
        <v>360.59</v>
      </c>
      <c r="Y87" s="216">
        <v>360.59</v>
      </c>
      <c r="Z87" s="216">
        <v>365.24</v>
      </c>
      <c r="AA87" s="251">
        <f t="shared" si="23"/>
        <v>2342.16</v>
      </c>
      <c r="AB87" s="218">
        <f t="shared" si="24"/>
        <v>3.5004445798959855E-3</v>
      </c>
      <c r="AC87" s="140"/>
      <c r="AD87" s="216">
        <v>7344.6121771428998</v>
      </c>
      <c r="AE87" s="218">
        <f t="shared" si="25"/>
        <v>1.8181789544144383E-2</v>
      </c>
      <c r="AF87" s="233">
        <f t="shared" si="26"/>
        <v>-5002.4521771428999</v>
      </c>
      <c r="AG87" s="216">
        <v>2933.83</v>
      </c>
      <c r="AH87" s="218">
        <f t="shared" si="27"/>
        <v>1.6476328030239126E-2</v>
      </c>
      <c r="AI87" s="233">
        <f t="shared" si="28"/>
        <v>-591.67000000000007</v>
      </c>
      <c r="AJ87" s="449">
        <f t="shared" si="29"/>
        <v>0.10197048195393792</v>
      </c>
      <c r="AK87" s="450">
        <f t="shared" si="30"/>
        <v>0.48996745678071379</v>
      </c>
      <c r="AL87" s="451">
        <f t="shared" si="31"/>
        <v>0.40112523926715887</v>
      </c>
      <c r="AM87" s="452" t="str">
        <f t="shared" si="32"/>
        <v>-1.47 pts.</v>
      </c>
      <c r="AN87" s="453" t="str">
        <f t="shared" si="33"/>
        <v>-1.3 pts.</v>
      </c>
      <c r="AO87" s="11"/>
    </row>
    <row r="88" spans="1:41" x14ac:dyDescent="0.35">
      <c r="A88" s="65" t="s">
        <v>7</v>
      </c>
      <c r="B88" s="66" t="str">
        <f>IF(_epmOfflineCondition_,"'VenueBar'!$A$102:$F$108",_xll.EVRNG(A102:F108))</f>
        <v>'VenueBar'!$A$102:$F$108</v>
      </c>
      <c r="C88" s="11"/>
      <c r="D88" s="11"/>
      <c r="E88" s="11"/>
      <c r="F88" s="11"/>
      <c r="G88" s="11"/>
      <c r="H88" s="88" t="s">
        <v>854</v>
      </c>
      <c r="I88" s="188" t="str">
        <f>IF(_epmOfflineCondition_,"T2",_xll.EVPRO($B$1,$H88,"STYLE"))</f>
        <v>T2</v>
      </c>
      <c r="J88" s="188" t="str">
        <f>IF(_epmOfflineCondition_,"Y",_xll.EVPRO($B$1,$H88,"CALC"))</f>
        <v>Y</v>
      </c>
      <c r="K88" s="189" t="str">
        <f t="shared" si="22"/>
        <v/>
      </c>
      <c r="L88" s="190" t="str">
        <f>IF(_epmOfflineCondition_,"",_xll.EVPRO($B$1,H88,"JDEID"))</f>
        <v/>
      </c>
      <c r="M88" s="190" t="str">
        <f>IF(_epmOfflineCondition_,"",IF(AND(I88="N",J88="N"),_xll.EVPRO($B$1,H88,"PSFTID"),""))</f>
        <v/>
      </c>
      <c r="N88" s="190" t="str">
        <f>IF(_epmOfflineCondition_,"Total Payroll Related",IF(_xll.EVDES(H88,$B$1)="#NODATA","",_xll.EVDES(H88,$B$1)))</f>
        <v>Total Payroll Related</v>
      </c>
      <c r="O88" s="238">
        <v>70.02</v>
      </c>
      <c r="P88" s="238">
        <v>1179.07</v>
      </c>
      <c r="Q88" s="238">
        <v>1000.97</v>
      </c>
      <c r="R88" s="238">
        <v>-207.54</v>
      </c>
      <c r="S88" s="238">
        <v>499.11</v>
      </c>
      <c r="T88" s="238">
        <v>428.46</v>
      </c>
      <c r="U88" s="238">
        <v>309.22000000000003</v>
      </c>
      <c r="V88" s="238">
        <v>290.57</v>
      </c>
      <c r="W88" s="238">
        <v>360.59</v>
      </c>
      <c r="X88" s="238">
        <v>360.59</v>
      </c>
      <c r="Y88" s="238">
        <v>500.68</v>
      </c>
      <c r="Z88" s="238">
        <v>915.25</v>
      </c>
      <c r="AA88" s="238">
        <f t="shared" si="23"/>
        <v>5706.9900000000007</v>
      </c>
      <c r="AB88" s="239">
        <f t="shared" si="24"/>
        <v>8.529307226244405E-3</v>
      </c>
      <c r="AC88" s="240"/>
      <c r="AD88" s="238">
        <v>23950.9605133929</v>
      </c>
      <c r="AE88" s="239">
        <f t="shared" si="25"/>
        <v>5.9291261802746818E-2</v>
      </c>
      <c r="AF88" s="241">
        <f t="shared" si="26"/>
        <v>-18243.970513392898</v>
      </c>
      <c r="AG88" s="238">
        <v>3974.01</v>
      </c>
      <c r="AH88" s="239">
        <f t="shared" si="27"/>
        <v>2.2317957194333209E-2</v>
      </c>
      <c r="AI88" s="241">
        <f t="shared" si="28"/>
        <v>1732.9800000000005</v>
      </c>
      <c r="AJ88" s="242">
        <f t="shared" si="29"/>
        <v>0.24846488745700729</v>
      </c>
      <c r="AK88" s="243">
        <f t="shared" si="30"/>
        <v>1.5977958981582989</v>
      </c>
      <c r="AL88" s="245">
        <f t="shared" si="31"/>
        <v>0.54334290401968832</v>
      </c>
      <c r="AM88" s="431" t="str">
        <f t="shared" si="32"/>
        <v>-5.08 pts.</v>
      </c>
      <c r="AN88" s="465" t="str">
        <f t="shared" si="33"/>
        <v>-1.38 pts.</v>
      </c>
      <c r="AO88" s="11"/>
    </row>
    <row r="89" spans="1:41" x14ac:dyDescent="0.35">
      <c r="A89" s="65" t="s">
        <v>47</v>
      </c>
      <c r="B89" s="66" t="str">
        <f>IF(_epmOfflineCondition_,"'VenueBar'!$A$125:$B$146",_xll.EVRNG($A$125:$B$146))</f>
        <v>'VenueBar'!$A$125:$B$146</v>
      </c>
      <c r="C89" s="11"/>
      <c r="D89" s="11"/>
      <c r="E89" s="11"/>
      <c r="F89" s="11"/>
      <c r="G89" s="11"/>
      <c r="H89" s="88" t="s">
        <v>76</v>
      </c>
      <c r="I89" s="188" t="str">
        <f>IF(_epmOfflineCondition_,"T1",_xll.EVPRO($B$1,$H89,"STYLE"))</f>
        <v>T1</v>
      </c>
      <c r="J89" s="188" t="str">
        <f>IF(_epmOfflineCondition_,"Y",_xll.EVPRO($B$1,$H89,"CALC"))</f>
        <v>Y</v>
      </c>
      <c r="K89" s="189" t="str">
        <f t="shared" si="22"/>
        <v/>
      </c>
      <c r="L89" s="190" t="str">
        <f>IF(_epmOfflineCondition_,"600000",_xll.EVPRO($B$1,H89,"JDEID"))</f>
        <v>600000</v>
      </c>
      <c r="M89" s="190" t="str">
        <f>IF(_epmOfflineCondition_,"",IF(AND(I89="N",J89="N"),_xll.EVPRO($B$1,H89,"PSFTID"),""))</f>
        <v/>
      </c>
      <c r="N89" s="190" t="str">
        <f>IF(_epmOfflineCondition_,"Total Labor &amp; Related Exp",IF(_xll.EVDES(H89,$B$1)="#NODATA","",_xll.EVDES(H89,$B$1)))</f>
        <v>Total Labor &amp; Related Exp</v>
      </c>
      <c r="O89" s="238">
        <v>10115.620000000001</v>
      </c>
      <c r="P89" s="238">
        <v>12717.11</v>
      </c>
      <c r="Q89" s="238">
        <v>12770.57</v>
      </c>
      <c r="R89" s="238">
        <v>11697.77</v>
      </c>
      <c r="S89" s="238">
        <v>12075.73</v>
      </c>
      <c r="T89" s="238">
        <v>10911.74</v>
      </c>
      <c r="U89" s="238">
        <v>10860.11</v>
      </c>
      <c r="V89" s="238">
        <v>21641.77</v>
      </c>
      <c r="W89" s="238">
        <v>-6034.88</v>
      </c>
      <c r="X89" s="238">
        <v>22460.38</v>
      </c>
      <c r="Y89" s="238">
        <v>9620.35</v>
      </c>
      <c r="Z89" s="238">
        <v>10868.9</v>
      </c>
      <c r="AA89" s="238">
        <f t="shared" si="23"/>
        <v>139705.17000000001</v>
      </c>
      <c r="AB89" s="239">
        <f t="shared" si="24"/>
        <v>0.20879453372525675</v>
      </c>
      <c r="AC89" s="240"/>
      <c r="AD89" s="238">
        <v>202689.037941963</v>
      </c>
      <c r="AE89" s="239">
        <f t="shared" si="25"/>
        <v>0.50176229076256718</v>
      </c>
      <c r="AF89" s="241">
        <f t="shared" si="26"/>
        <v>-62983.867941962992</v>
      </c>
      <c r="AG89" s="238">
        <v>46886.23</v>
      </c>
      <c r="AH89" s="239">
        <f t="shared" si="27"/>
        <v>0.26331208883310853</v>
      </c>
      <c r="AI89" s="241">
        <f t="shared" si="28"/>
        <v>92818.94</v>
      </c>
      <c r="AJ89" s="242">
        <f t="shared" si="29"/>
        <v>6.0823357568897212</v>
      </c>
      <c r="AK89" s="243">
        <f t="shared" si="30"/>
        <v>13.521616940758038</v>
      </c>
      <c r="AL89" s="245">
        <f t="shared" si="31"/>
        <v>6.4104771670768397</v>
      </c>
      <c r="AM89" s="431" t="str">
        <f t="shared" si="32"/>
        <v>-29.3 pts.</v>
      </c>
      <c r="AN89" s="465" t="str">
        <f t="shared" si="33"/>
        <v>-5.45 pts.</v>
      </c>
      <c r="AO89" s="11"/>
    </row>
    <row r="90" spans="1:41" x14ac:dyDescent="0.35">
      <c r="A90" s="65" t="s">
        <v>8</v>
      </c>
      <c r="B90" s="66"/>
      <c r="C90" s="11"/>
      <c r="D90" s="11"/>
      <c r="E90" s="11"/>
      <c r="F90" s="11"/>
      <c r="G90" s="11"/>
      <c r="H90" s="11"/>
      <c r="I90" s="59"/>
      <c r="J90" s="59"/>
      <c r="K90" s="11"/>
      <c r="L90" s="11"/>
      <c r="M90" s="11"/>
      <c r="N90" s="11"/>
      <c r="O90" s="129"/>
      <c r="P90" s="130"/>
      <c r="Q90" s="130"/>
      <c r="R90" s="130"/>
      <c r="S90" s="130"/>
      <c r="T90" s="130"/>
      <c r="U90" s="130"/>
      <c r="V90" s="130"/>
      <c r="W90" s="130"/>
      <c r="X90" s="130"/>
      <c r="Y90" s="130"/>
      <c r="Z90" s="130"/>
      <c r="AA90" s="130"/>
      <c r="AB90" s="131"/>
      <c r="AC90" s="11"/>
      <c r="AD90" s="129"/>
      <c r="AE90" s="130"/>
      <c r="AF90" s="131"/>
      <c r="AG90" s="129"/>
      <c r="AH90" s="130"/>
      <c r="AI90" s="131"/>
      <c r="AJ90" s="11"/>
      <c r="AK90" s="11"/>
      <c r="AL90" s="11"/>
      <c r="AM90" s="11"/>
      <c r="AN90" s="11"/>
      <c r="AO90" s="11"/>
    </row>
    <row r="91" spans="1:41" x14ac:dyDescent="0.35">
      <c r="A91" s="11"/>
      <c r="B91" s="11"/>
      <c r="C91" s="11"/>
      <c r="D91" s="11"/>
      <c r="E91" s="11"/>
      <c r="F91" s="11"/>
      <c r="G91" s="76"/>
      <c r="H91" s="11" t="s">
        <v>82</v>
      </c>
      <c r="I91" s="59" t="str">
        <f>IF(_epmOfflineCondition_,"B1",_xll.EVPRO($B$1,$H91,"STYLE"))</f>
        <v>B1</v>
      </c>
      <c r="J91" s="59" t="str">
        <f>IF(_epmOfflineCondition_,"Y",_xll.EVPRO($B$1,$H91,"CALC"))</f>
        <v>Y</v>
      </c>
      <c r="K91" s="11"/>
      <c r="L91" s="11"/>
      <c r="M91" s="11"/>
      <c r="N91" s="105" t="str">
        <f>IF(_epmOfflineCondition_,"Other Expenses",IF(_xll.EVDES(H91,$B$1)="#NODATA","",_xll.EVDES(H91,$B$1)))</f>
        <v>Other Expenses</v>
      </c>
      <c r="O91" s="119"/>
      <c r="P91" s="120"/>
      <c r="Q91" s="120"/>
      <c r="R91" s="120"/>
      <c r="S91" s="120"/>
      <c r="T91" s="120"/>
      <c r="U91" s="120"/>
      <c r="V91" s="120"/>
      <c r="W91" s="120"/>
      <c r="X91" s="120"/>
      <c r="Y91" s="120"/>
      <c r="Z91" s="120"/>
      <c r="AA91" s="120"/>
      <c r="AB91" s="121"/>
      <c r="AC91" s="11"/>
      <c r="AD91" s="119"/>
      <c r="AE91" s="120"/>
      <c r="AF91" s="121"/>
      <c r="AG91" s="119"/>
      <c r="AH91" s="120"/>
      <c r="AI91" s="121"/>
      <c r="AJ91" s="11"/>
      <c r="AK91" s="11"/>
      <c r="AL91" s="11"/>
      <c r="AM91" s="11"/>
      <c r="AN91" s="11"/>
      <c r="AO91" s="11"/>
    </row>
    <row r="92" spans="1:41" x14ac:dyDescent="0.35">
      <c r="A92" s="62" t="s">
        <v>9</v>
      </c>
      <c r="B92" s="63" t="s">
        <v>10</v>
      </c>
      <c r="C92" s="11"/>
      <c r="D92" s="11"/>
      <c r="E92" s="11"/>
      <c r="F92" s="11"/>
      <c r="G92" s="11"/>
      <c r="H92" s="88" t="s">
        <v>856</v>
      </c>
      <c r="I92" s="122" t="str">
        <f>IF(_epmOfflineCondition_,"N",_xll.EVPRO($B$1,$H92,"STYLE"))</f>
        <v>N</v>
      </c>
      <c r="J92" s="122" t="str">
        <f>IF(_epmOfflineCondition_,"N",_xll.EVPRO($B$1,$H92,"CALC"))</f>
        <v>N</v>
      </c>
      <c r="K92" s="179" t="str">
        <f t="shared" ref="K92:K105" si="34">IF(AND(I92&lt;&gt;"B1",J92="Y"),"&gt;","")</f>
        <v/>
      </c>
      <c r="L92" s="90" t="str">
        <f>IF(_epmOfflineCondition_,"701300",_xll.EVPRO($B$1,H92,"JDEID"))</f>
        <v>701300</v>
      </c>
      <c r="M92" s="90" t="str">
        <f>IF(_epmOfflineCondition_,"690205",IF(AND(I92="N",J92="N"),_xll.EVPRO($B$1,H92,"PSFTID"),""))</f>
        <v>690205</v>
      </c>
      <c r="N92" s="90" t="str">
        <f>IF(_epmOfflineCondition_,"Printing &amp; Stationery",IF(_xll.EVDES(H92,$B$1)="#NODATA","",_xll.EVDES(H92,$B$1)))</f>
        <v>Printing &amp; Stationery</v>
      </c>
      <c r="O92" s="143"/>
      <c r="P92" s="143"/>
      <c r="Q92" s="143">
        <v>75.36</v>
      </c>
      <c r="R92" s="143"/>
      <c r="S92" s="143"/>
      <c r="T92" s="143"/>
      <c r="U92" s="143">
        <v>179.07</v>
      </c>
      <c r="V92" s="143"/>
      <c r="W92" s="143"/>
      <c r="X92" s="143"/>
      <c r="Y92" s="143"/>
      <c r="Z92" s="143"/>
      <c r="AA92" s="250">
        <f t="shared" ref="AA92:AA106" si="35">IF($I92="B1","",SUM(O92:Z92))</f>
        <v>254.43</v>
      </c>
      <c r="AB92" s="144">
        <f t="shared" ref="AB92:AB106" si="36">IF(AA92=0,"",IFERROR(AA92/AA$19,""))</f>
        <v>3.8025502718129234E-4</v>
      </c>
      <c r="AC92" s="140"/>
      <c r="AD92" s="143"/>
      <c r="AE92" s="144" t="str">
        <f t="shared" ref="AE92:AE106" si="37">IF(AD92=0,"",IFERROR(AD92/AD$19,""))</f>
        <v/>
      </c>
      <c r="AF92" s="145">
        <f t="shared" ref="AF92:AF106" si="38">IF(AND($AA92="",AD92=""),"",$AA92-AD92)</f>
        <v>254.43</v>
      </c>
      <c r="AG92" s="143"/>
      <c r="AH92" s="144" t="str">
        <f t="shared" ref="AH92:AH106" si="39">IF(AG92=0,"",IFERROR(AG92/AG$19,""))</f>
        <v/>
      </c>
      <c r="AI92" s="145">
        <f t="shared" ref="AI92:AI106" si="40">IF(AND($AA92="",AG92=""),"",$AA92-AG92)</f>
        <v>254.43</v>
      </c>
      <c r="AJ92" s="440">
        <f t="shared" ref="AJ92:AJ106" si="41">IFERROR(AA92/AA$20,0)</f>
        <v>1.1077103922678393E-2</v>
      </c>
      <c r="AK92" s="441">
        <f t="shared" ref="AK92:AK106" si="42">IFERROR(AD92/AD$20,0)</f>
        <v>0</v>
      </c>
      <c r="AL92" s="442">
        <f t="shared" ref="AL92:AL106" si="43">IFERROR(AG92/AG$20,0)</f>
        <v>0</v>
      </c>
      <c r="AM92" s="443">
        <f t="shared" ref="AM92:AM106" si="44">+IFERROR(ROUND(($AB92-AE92)*100,2)&amp;" pts.",0)</f>
        <v>0</v>
      </c>
      <c r="AN92" s="444">
        <f t="shared" ref="AN92:AN106" si="45">+IFERROR(ROUND(($AB92-AH92)*100,2)&amp;" pts.",0)</f>
        <v>0</v>
      </c>
      <c r="AO92" s="11"/>
    </row>
    <row r="93" spans="1:41" x14ac:dyDescent="0.35">
      <c r="A93" s="65" t="s">
        <v>11</v>
      </c>
      <c r="B93" s="66" t="s">
        <v>21</v>
      </c>
      <c r="C93" s="11"/>
      <c r="D93" s="11"/>
      <c r="E93" s="11"/>
      <c r="F93" s="11"/>
      <c r="G93" s="11"/>
      <c r="H93" s="88" t="s">
        <v>831</v>
      </c>
      <c r="I93" s="122" t="str">
        <f>IF(_epmOfflineCondition_,"T4",_xll.EVPRO($B$1,$H93,"STYLE"))</f>
        <v>T4</v>
      </c>
      <c r="J93" s="122" t="str">
        <f>IF(_epmOfflineCondition_,"Y",_xll.EVPRO($B$1,$H93,"CALC"))</f>
        <v>Y</v>
      </c>
      <c r="K93" s="179" t="str">
        <f t="shared" si="34"/>
        <v>&gt;</v>
      </c>
      <c r="L93" s="90" t="str">
        <f>IF(_epmOfflineCondition_,"701500",_xll.EVPRO($B$1,H93,"JDEID"))</f>
        <v>701500</v>
      </c>
      <c r="M93" s="90" t="str">
        <f>IF(_epmOfflineCondition_,"",IF(AND(I93="N",J93="N"),_xll.EVPRO($B$1,H93,"PSFTID"),""))</f>
        <v/>
      </c>
      <c r="N93" s="90" t="str">
        <f>IF(_epmOfflineCondition_,"Operating Supplies",IF(_xll.EVDES(H93,$B$1)="#NODATA","",_xll.EVDES(H93,$B$1)))</f>
        <v>Operating Supplies</v>
      </c>
      <c r="O93" s="143">
        <v>455</v>
      </c>
      <c r="P93" s="143">
        <v>560.98</v>
      </c>
      <c r="Q93" s="143">
        <v>622.82000000000005</v>
      </c>
      <c r="R93" s="143">
        <v>564.98</v>
      </c>
      <c r="S93" s="143">
        <v>510.7</v>
      </c>
      <c r="T93" s="143">
        <v>510</v>
      </c>
      <c r="U93" s="143">
        <v>467.1</v>
      </c>
      <c r="V93" s="143">
        <v>494</v>
      </c>
      <c r="W93" s="143">
        <v>488</v>
      </c>
      <c r="X93" s="143">
        <v>531</v>
      </c>
      <c r="Y93" s="143">
        <v>551</v>
      </c>
      <c r="Z93" s="143">
        <v>572</v>
      </c>
      <c r="AA93" s="250">
        <f t="shared" si="35"/>
        <v>6327.58</v>
      </c>
      <c r="AB93" s="144">
        <f t="shared" si="36"/>
        <v>9.4568018900750769E-3</v>
      </c>
      <c r="AC93" s="140"/>
      <c r="AD93" s="143">
        <v>6269.02</v>
      </c>
      <c r="AE93" s="144">
        <f t="shared" si="37"/>
        <v>1.5519131512859776E-2</v>
      </c>
      <c r="AF93" s="145">
        <f t="shared" si="38"/>
        <v>58.559999999999491</v>
      </c>
      <c r="AG93" s="143">
        <v>4280.07</v>
      </c>
      <c r="AH93" s="144">
        <f t="shared" si="39"/>
        <v>2.403678376469856E-2</v>
      </c>
      <c r="AI93" s="145">
        <f t="shared" si="40"/>
        <v>2047.5100000000002</v>
      </c>
      <c r="AJ93" s="440">
        <f t="shared" si="41"/>
        <v>0.27548347773085463</v>
      </c>
      <c r="AK93" s="441">
        <f t="shared" si="42"/>
        <v>0.41821347565043365</v>
      </c>
      <c r="AL93" s="442">
        <f t="shared" si="43"/>
        <v>0.58518867924528295</v>
      </c>
      <c r="AM93" s="443" t="str">
        <f t="shared" si="44"/>
        <v>-0.61 pts.</v>
      </c>
      <c r="AN93" s="444" t="str">
        <f t="shared" si="45"/>
        <v>-1.46 pts.</v>
      </c>
      <c r="AO93" s="11"/>
    </row>
    <row r="94" spans="1:41" x14ac:dyDescent="0.35">
      <c r="A94" s="65" t="s">
        <v>12</v>
      </c>
      <c r="B94" s="66" t="s">
        <v>22</v>
      </c>
      <c r="C94" s="11"/>
      <c r="D94" s="11"/>
      <c r="E94" s="11"/>
      <c r="F94" s="11"/>
      <c r="G94" s="11"/>
      <c r="H94" s="88" t="s">
        <v>857</v>
      </c>
      <c r="I94" s="122" t="str">
        <f>IF(_epmOfflineCondition_,"N",_xll.EVPRO($B$1,$H94,"STYLE"))</f>
        <v>N</v>
      </c>
      <c r="J94" s="122" t="str">
        <f>IF(_epmOfflineCondition_,"N",_xll.EVPRO($B$1,$H94,"CALC"))</f>
        <v>N</v>
      </c>
      <c r="K94" s="179" t="str">
        <f t="shared" si="34"/>
        <v/>
      </c>
      <c r="L94" s="90" t="str">
        <f>IF(_epmOfflineCondition_,"701600",_xll.EVPRO($B$1,H94,"JDEID"))</f>
        <v>701600</v>
      </c>
      <c r="M94" s="90" t="str">
        <f>IF(_epmOfflineCondition_,"590015",IF(AND(I94="N",J94="N"),_xll.EVPRO($B$1,H94,"PSFTID"),""))</f>
        <v>590015</v>
      </c>
      <c r="N94" s="90" t="str">
        <f>IF(_epmOfflineCondition_,"Cleaning Supplies",IF(_xll.EVDES(H94,$B$1)="#NODATA","",_xll.EVDES(H94,$B$1)))</f>
        <v>Cleaning Supplies</v>
      </c>
      <c r="O94" s="143"/>
      <c r="P94" s="143"/>
      <c r="Q94" s="143">
        <v>461.54</v>
      </c>
      <c r="R94" s="143">
        <v>165</v>
      </c>
      <c r="S94" s="143">
        <v>148</v>
      </c>
      <c r="T94" s="143">
        <v>134</v>
      </c>
      <c r="U94" s="143">
        <v>123</v>
      </c>
      <c r="V94" s="143">
        <v>115</v>
      </c>
      <c r="W94" s="143">
        <v>108</v>
      </c>
      <c r="X94" s="143">
        <v>160</v>
      </c>
      <c r="Y94" s="143">
        <v>185</v>
      </c>
      <c r="Z94" s="143">
        <v>210</v>
      </c>
      <c r="AA94" s="250">
        <f t="shared" si="35"/>
        <v>1809.54</v>
      </c>
      <c r="AB94" s="144">
        <f t="shared" si="36"/>
        <v>2.7044243284425409E-3</v>
      </c>
      <c r="AC94" s="140"/>
      <c r="AD94" s="143">
        <v>1798.8</v>
      </c>
      <c r="AE94" s="144">
        <f t="shared" si="37"/>
        <v>4.4529788970735715E-3</v>
      </c>
      <c r="AF94" s="145">
        <f t="shared" si="38"/>
        <v>10.740000000000009</v>
      </c>
      <c r="AG94" s="143">
        <v>437.1</v>
      </c>
      <c r="AH94" s="144">
        <f t="shared" si="39"/>
        <v>2.4547444746347005E-3</v>
      </c>
      <c r="AI94" s="145">
        <f t="shared" si="40"/>
        <v>1372.44</v>
      </c>
      <c r="AJ94" s="440">
        <f t="shared" si="41"/>
        <v>7.8781836388175361E-2</v>
      </c>
      <c r="AK94" s="441">
        <f t="shared" si="42"/>
        <v>0.12</v>
      </c>
      <c r="AL94" s="442">
        <f t="shared" si="43"/>
        <v>5.9762100082034454E-2</v>
      </c>
      <c r="AM94" s="443" t="str">
        <f t="shared" si="44"/>
        <v>-0.17 pts.</v>
      </c>
      <c r="AN94" s="444" t="str">
        <f t="shared" si="45"/>
        <v>0.02 pts.</v>
      </c>
      <c r="AO94" s="11"/>
    </row>
    <row r="95" spans="1:41" x14ac:dyDescent="0.35">
      <c r="A95" s="65" t="s">
        <v>13</v>
      </c>
      <c r="B95" s="66" t="s">
        <v>737</v>
      </c>
      <c r="C95" s="11"/>
      <c r="D95" s="11"/>
      <c r="E95" s="11"/>
      <c r="F95" s="11"/>
      <c r="G95" s="11"/>
      <c r="H95" s="88" t="s">
        <v>858</v>
      </c>
      <c r="I95" s="122" t="str">
        <f>IF(_epmOfflineCondition_,"N",_xll.EVPRO($B$1,$H95,"STYLE"))</f>
        <v>N</v>
      </c>
      <c r="J95" s="122" t="str">
        <f>IF(_epmOfflineCondition_,"N",_xll.EVPRO($B$1,$H95,"CALC"))</f>
        <v>N</v>
      </c>
      <c r="K95" s="179" t="str">
        <f t="shared" si="34"/>
        <v/>
      </c>
      <c r="L95" s="90" t="str">
        <f>IF(_epmOfflineCondition_,"701700",_xll.EVPRO($B$1,H95,"JDEID"))</f>
        <v>701700</v>
      </c>
      <c r="M95" s="90" t="str">
        <f>IF(_epmOfflineCondition_,"590026",IF(AND(I95="N",J95="N"),_xll.EVPRO($B$1,H95,"PSFTID"),""))</f>
        <v>590026</v>
      </c>
      <c r="N95" s="90" t="str">
        <f>IF(_epmOfflineCondition_,"Dishwashing Supplies",IF(_xll.EVDES(H95,$B$1)="#NODATA","",_xll.EVDES(H95,$B$1)))</f>
        <v>Dishwashing Supplies</v>
      </c>
      <c r="O95" s="143">
        <v>11</v>
      </c>
      <c r="P95" s="143">
        <v>25</v>
      </c>
      <c r="Q95" s="143">
        <v>29</v>
      </c>
      <c r="R95" s="143">
        <v>28</v>
      </c>
      <c r="S95" s="143">
        <v>25</v>
      </c>
      <c r="T95" s="143">
        <v>22</v>
      </c>
      <c r="U95" s="143">
        <v>21</v>
      </c>
      <c r="V95" s="143">
        <v>19</v>
      </c>
      <c r="W95" s="143">
        <v>18</v>
      </c>
      <c r="X95" s="143">
        <v>27</v>
      </c>
      <c r="Y95" s="143">
        <v>31</v>
      </c>
      <c r="Z95" s="143">
        <v>35</v>
      </c>
      <c r="AA95" s="250">
        <f t="shared" si="35"/>
        <v>291</v>
      </c>
      <c r="AB95" s="144">
        <f t="shared" si="36"/>
        <v>4.3491024214815889E-4</v>
      </c>
      <c r="AC95" s="140"/>
      <c r="AD95" s="143">
        <v>299.8</v>
      </c>
      <c r="AE95" s="144">
        <f t="shared" si="37"/>
        <v>7.4216314951226195E-4</v>
      </c>
      <c r="AF95" s="145">
        <f t="shared" si="38"/>
        <v>-8.8000000000000114</v>
      </c>
      <c r="AG95" s="143">
        <v>32</v>
      </c>
      <c r="AH95" s="144">
        <f t="shared" si="39"/>
        <v>1.7971133193390621E-4</v>
      </c>
      <c r="AI95" s="145">
        <f t="shared" si="40"/>
        <v>259</v>
      </c>
      <c r="AJ95" s="440">
        <f t="shared" si="41"/>
        <v>1.2669249858504941E-2</v>
      </c>
      <c r="AK95" s="441">
        <f t="shared" si="42"/>
        <v>0.02</v>
      </c>
      <c r="AL95" s="442">
        <f t="shared" si="43"/>
        <v>4.375170905113481E-3</v>
      </c>
      <c r="AM95" s="443" t="str">
        <f t="shared" si="44"/>
        <v>-0.03 pts.</v>
      </c>
      <c r="AN95" s="444" t="str">
        <f t="shared" si="45"/>
        <v>0.03 pts.</v>
      </c>
      <c r="AO95" s="11"/>
    </row>
    <row r="96" spans="1:41" x14ac:dyDescent="0.35">
      <c r="A96" s="65" t="s">
        <v>14</v>
      </c>
      <c r="B96" s="66"/>
      <c r="C96" s="11"/>
      <c r="D96" s="11"/>
      <c r="E96" s="11"/>
      <c r="F96" s="11"/>
      <c r="G96" s="11"/>
      <c r="H96" s="88" t="s">
        <v>859</v>
      </c>
      <c r="I96" s="122" t="str">
        <f>IF(_epmOfflineCondition_,"N",_xll.EVPRO($B$1,$H96,"STYLE"))</f>
        <v>N</v>
      </c>
      <c r="J96" s="122" t="str">
        <f>IF(_epmOfflineCondition_,"N",_xll.EVPRO($B$1,$H96,"CALC"))</f>
        <v>N</v>
      </c>
      <c r="K96" s="179" t="str">
        <f t="shared" si="34"/>
        <v/>
      </c>
      <c r="L96" s="90" t="str">
        <f>IF(_epmOfflineCondition_,"702000",_xll.EVPRO($B$1,H96,"JDEID"))</f>
        <v>702000</v>
      </c>
      <c r="M96" s="90" t="str">
        <f>IF(_epmOfflineCondition_,"590031",IF(AND(I96="N",J96="N"),_xll.EVPRO($B$1,H96,"PSFTID"),""))</f>
        <v>590031</v>
      </c>
      <c r="N96" s="90" t="str">
        <f>IF(_epmOfflineCondition_,"Paper and Plastics",IF(_xll.EVDES(H96,$B$1)="#NODATA","",_xll.EVDES(H96,$B$1)))</f>
        <v>Paper and Plastics</v>
      </c>
      <c r="O96" s="143">
        <v>832.32</v>
      </c>
      <c r="P96" s="143">
        <v>295.5</v>
      </c>
      <c r="Q96" s="143">
        <v>144</v>
      </c>
      <c r="R96" s="143">
        <v>138</v>
      </c>
      <c r="S96" s="143">
        <v>124</v>
      </c>
      <c r="T96" s="143">
        <v>112</v>
      </c>
      <c r="U96" s="143">
        <v>103</v>
      </c>
      <c r="V96" s="143">
        <v>96</v>
      </c>
      <c r="W96" s="143">
        <v>90</v>
      </c>
      <c r="X96" s="143">
        <v>134</v>
      </c>
      <c r="Y96" s="143">
        <v>155</v>
      </c>
      <c r="Z96" s="143">
        <v>175</v>
      </c>
      <c r="AA96" s="250">
        <f t="shared" si="35"/>
        <v>2398.8200000000002</v>
      </c>
      <c r="AB96" s="144">
        <f t="shared" si="36"/>
        <v>3.5851250414771362E-3</v>
      </c>
      <c r="AC96" s="140"/>
      <c r="AD96" s="143">
        <v>1499</v>
      </c>
      <c r="AE96" s="144">
        <f t="shared" si="37"/>
        <v>3.7108157475613099E-3</v>
      </c>
      <c r="AF96" s="145">
        <f t="shared" si="38"/>
        <v>899.82000000000016</v>
      </c>
      <c r="AG96" s="143">
        <v>1373.85</v>
      </c>
      <c r="AH96" s="144">
        <f t="shared" si="39"/>
        <v>7.7155129180436575E-3</v>
      </c>
      <c r="AI96" s="145">
        <f t="shared" si="40"/>
        <v>1024.9700000000003</v>
      </c>
      <c r="AJ96" s="440">
        <f t="shared" si="41"/>
        <v>0.10443728503635336</v>
      </c>
      <c r="AK96" s="441">
        <f t="shared" si="42"/>
        <v>0.1</v>
      </c>
      <c r="AL96" s="442">
        <f t="shared" si="43"/>
        <v>0.18783839212469236</v>
      </c>
      <c r="AM96" s="443" t="str">
        <f t="shared" si="44"/>
        <v>-0.01 pts.</v>
      </c>
      <c r="AN96" s="444" t="str">
        <f t="shared" si="45"/>
        <v>-0.41 pts.</v>
      </c>
      <c r="AO96" s="11"/>
    </row>
    <row r="97" spans="1:41" x14ac:dyDescent="0.35">
      <c r="A97" s="65" t="s">
        <v>15</v>
      </c>
      <c r="B97" s="66"/>
      <c r="C97" s="11"/>
      <c r="D97" s="11"/>
      <c r="E97" s="11"/>
      <c r="F97" s="11"/>
      <c r="G97" s="11"/>
      <c r="H97" s="88" t="s">
        <v>871</v>
      </c>
      <c r="I97" s="122" t="str">
        <f>IF(_epmOfflineCondition_,"N",_xll.EVPRO($B$1,$H97,"STYLE"))</f>
        <v>N</v>
      </c>
      <c r="J97" s="122" t="str">
        <f>IF(_epmOfflineCondition_,"N",_xll.EVPRO($B$1,$H97,"CALC"))</f>
        <v>N</v>
      </c>
      <c r="K97" s="179" t="str">
        <f t="shared" si="34"/>
        <v/>
      </c>
      <c r="L97" s="90" t="str">
        <f>IF(_epmOfflineCondition_,"702300",_xll.EVPRO($B$1,H97,"JDEID"))</f>
        <v>702300</v>
      </c>
      <c r="M97" s="90" t="str">
        <f>IF(_epmOfflineCondition_,"590040",IF(AND(I97="N",J97="N"),_xll.EVPRO($B$1,H97,"PSFTID"),""))</f>
        <v>590040</v>
      </c>
      <c r="N97" s="90" t="str">
        <f>IF(_epmOfflineCondition_,"Decorations",IF(_xll.EVDES(H97,$B$1)="#NODATA","",_xll.EVDES(H97,$B$1)))</f>
        <v>Decorations</v>
      </c>
      <c r="O97" s="143"/>
      <c r="P97" s="143"/>
      <c r="Q97" s="143">
        <v>150.43</v>
      </c>
      <c r="R97" s="143">
        <v>-102.97</v>
      </c>
      <c r="S97" s="143">
        <v>25.42</v>
      </c>
      <c r="T97" s="143"/>
      <c r="U97" s="143"/>
      <c r="V97" s="143"/>
      <c r="W97" s="143"/>
      <c r="X97" s="143">
        <v>72.89</v>
      </c>
      <c r="Y97" s="143">
        <v>-72.89</v>
      </c>
      <c r="Z97" s="143"/>
      <c r="AA97" s="250">
        <f t="shared" si="35"/>
        <v>72.88000000000001</v>
      </c>
      <c r="AB97" s="144">
        <f t="shared" si="36"/>
        <v>1.0892185033593755E-4</v>
      </c>
      <c r="AC97" s="140"/>
      <c r="AD97" s="143">
        <v>1200</v>
      </c>
      <c r="AE97" s="144">
        <f t="shared" si="37"/>
        <v>2.9706330200624229E-3</v>
      </c>
      <c r="AF97" s="145">
        <f t="shared" si="38"/>
        <v>-1127.1199999999999</v>
      </c>
      <c r="AG97" s="143">
        <v>519.57000000000005</v>
      </c>
      <c r="AH97" s="144">
        <f t="shared" si="39"/>
        <v>2.9178942729031145E-3</v>
      </c>
      <c r="AI97" s="145">
        <f t="shared" si="40"/>
        <v>-446.69000000000005</v>
      </c>
      <c r="AJ97" s="440">
        <f t="shared" si="41"/>
        <v>3.1729722669685233E-3</v>
      </c>
      <c r="AK97" s="441">
        <f t="shared" si="42"/>
        <v>8.0053368912608405E-2</v>
      </c>
      <c r="AL97" s="442">
        <f t="shared" si="43"/>
        <v>7.1037735849056607E-2</v>
      </c>
      <c r="AM97" s="443" t="str">
        <f t="shared" si="44"/>
        <v>-0.29 pts.</v>
      </c>
      <c r="AN97" s="444" t="str">
        <f t="shared" si="45"/>
        <v>-0.28 pts.</v>
      </c>
      <c r="AO97" s="11"/>
    </row>
    <row r="98" spans="1:41" x14ac:dyDescent="0.35">
      <c r="A98" s="65" t="s">
        <v>16</v>
      </c>
      <c r="B98" s="66" t="s">
        <v>78</v>
      </c>
      <c r="C98" s="11"/>
      <c r="D98" s="11"/>
      <c r="E98" s="11"/>
      <c r="F98" s="11"/>
      <c r="G98" s="11"/>
      <c r="H98" s="88" t="s">
        <v>832</v>
      </c>
      <c r="I98" s="122" t="str">
        <f>IF(_epmOfflineCondition_,"T4",_xll.EVPRO($B$1,$H98,"STYLE"))</f>
        <v>T4</v>
      </c>
      <c r="J98" s="122" t="str">
        <f>IF(_epmOfflineCondition_,"Y",_xll.EVPRO($B$1,$H98,"CALC"))</f>
        <v>Y</v>
      </c>
      <c r="K98" s="179" t="str">
        <f t="shared" si="34"/>
        <v>&gt;</v>
      </c>
      <c r="L98" s="90" t="str">
        <f>IF(_epmOfflineCondition_,"",_xll.EVPRO($B$1,H98,"JDEID"))</f>
        <v/>
      </c>
      <c r="M98" s="90" t="str">
        <f>IF(_epmOfflineCondition_,"",IF(AND(I98="N",J98="N"),_xll.EVPRO($B$1,H98,"PSFTID"),""))</f>
        <v/>
      </c>
      <c r="N98" s="90" t="str">
        <f>IF(_epmOfflineCondition_,"Contract Services",IF(_xll.EVDES(H98,$B$1)="#NODATA","",_xll.EVDES(H98,$B$1)))</f>
        <v>Contract Services</v>
      </c>
      <c r="O98" s="143"/>
      <c r="P98" s="143"/>
      <c r="Q98" s="143"/>
      <c r="R98" s="143">
        <v>300</v>
      </c>
      <c r="S98" s="143">
        <v>75</v>
      </c>
      <c r="T98" s="143"/>
      <c r="U98" s="143">
        <v>225</v>
      </c>
      <c r="V98" s="143"/>
      <c r="W98" s="143">
        <v>75</v>
      </c>
      <c r="X98" s="143">
        <v>75</v>
      </c>
      <c r="Y98" s="143">
        <v>75</v>
      </c>
      <c r="Z98" s="143">
        <v>150</v>
      </c>
      <c r="AA98" s="250">
        <f t="shared" si="35"/>
        <v>975</v>
      </c>
      <c r="AB98" s="144">
        <f t="shared" si="36"/>
        <v>1.4571734917335221E-3</v>
      </c>
      <c r="AC98" s="140"/>
      <c r="AD98" s="143">
        <v>6300</v>
      </c>
      <c r="AE98" s="144">
        <f t="shared" si="37"/>
        <v>1.5595823355327719E-2</v>
      </c>
      <c r="AF98" s="145">
        <f t="shared" si="38"/>
        <v>-5325</v>
      </c>
      <c r="AG98" s="143">
        <v>4152.9799999999996</v>
      </c>
      <c r="AH98" s="144">
        <f t="shared" si="39"/>
        <v>2.3323048977964805E-2</v>
      </c>
      <c r="AI98" s="145">
        <f t="shared" si="40"/>
        <v>-3177.9799999999996</v>
      </c>
      <c r="AJ98" s="440">
        <f t="shared" si="41"/>
        <v>4.244851756715573E-2</v>
      </c>
      <c r="AK98" s="441">
        <f t="shared" si="42"/>
        <v>0.42028018679119411</v>
      </c>
      <c r="AL98" s="442">
        <f t="shared" si="43"/>
        <v>0.56781241454744324</v>
      </c>
      <c r="AM98" s="443" t="str">
        <f t="shared" si="44"/>
        <v>-1.41 pts.</v>
      </c>
      <c r="AN98" s="444" t="str">
        <f t="shared" si="45"/>
        <v>-2.19 pts.</v>
      </c>
      <c r="AO98" s="11"/>
    </row>
    <row r="99" spans="1:41" x14ac:dyDescent="0.35">
      <c r="A99" s="65" t="s">
        <v>17</v>
      </c>
      <c r="B99" s="66"/>
      <c r="C99" s="11"/>
      <c r="D99" s="11"/>
      <c r="E99" s="11"/>
      <c r="F99" s="11"/>
      <c r="G99" s="11"/>
      <c r="H99" s="88" t="s">
        <v>874</v>
      </c>
      <c r="I99" s="122" t="str">
        <f>IF(_epmOfflineCondition_,"T4",_xll.EVPRO($B$1,$H99,"STYLE"))</f>
        <v>T4</v>
      </c>
      <c r="J99" s="122" t="str">
        <f>IF(_epmOfflineCondition_,"Y",_xll.EVPRO($B$1,$H99,"CALC"))</f>
        <v>Y</v>
      </c>
      <c r="K99" s="179" t="str">
        <f t="shared" si="34"/>
        <v>&gt;</v>
      </c>
      <c r="L99" s="90" t="str">
        <f>IF(_epmOfflineCondition_,"703000",_xll.EVPRO($B$1,H99,"JDEID"))</f>
        <v>703000</v>
      </c>
      <c r="M99" s="90" t="str">
        <f>IF(_epmOfflineCondition_,"",IF(AND(I99="N",J99="N"),_xll.EVPRO($B$1,H99,"PSFTID"),""))</f>
        <v/>
      </c>
      <c r="N99" s="90" t="str">
        <f>IF(_epmOfflineCondition_,"Complimentary Services &amp; Gifts",IF(_xll.EVDES(H99,$B$1)="#NODATA","",_xll.EVDES(H99,$B$1)))</f>
        <v>Complimentary Services &amp; Gifts</v>
      </c>
      <c r="O99" s="143"/>
      <c r="P99" s="143"/>
      <c r="Q99" s="143"/>
      <c r="R99" s="143"/>
      <c r="S99" s="143"/>
      <c r="T99" s="143"/>
      <c r="U99" s="143"/>
      <c r="V99" s="143"/>
      <c r="W99" s="143"/>
      <c r="X99" s="143"/>
      <c r="Y99" s="143"/>
      <c r="Z99" s="143"/>
      <c r="AA99" s="250">
        <f t="shared" si="35"/>
        <v>0</v>
      </c>
      <c r="AB99" s="144" t="str">
        <f t="shared" si="36"/>
        <v/>
      </c>
      <c r="AC99" s="140"/>
      <c r="AD99" s="143"/>
      <c r="AE99" s="144" t="str">
        <f t="shared" si="37"/>
        <v/>
      </c>
      <c r="AF99" s="145">
        <f t="shared" si="38"/>
        <v>0</v>
      </c>
      <c r="AG99" s="143">
        <v>4.58</v>
      </c>
      <c r="AH99" s="144">
        <f t="shared" si="39"/>
        <v>2.5721184383040326E-5</v>
      </c>
      <c r="AI99" s="145">
        <f t="shared" si="40"/>
        <v>-4.58</v>
      </c>
      <c r="AJ99" s="440">
        <f t="shared" si="41"/>
        <v>0</v>
      </c>
      <c r="AK99" s="441">
        <f t="shared" si="42"/>
        <v>0</v>
      </c>
      <c r="AL99" s="442">
        <f t="shared" si="43"/>
        <v>6.2619633579436701E-4</v>
      </c>
      <c r="AM99" s="443">
        <f t="shared" si="44"/>
        <v>0</v>
      </c>
      <c r="AN99" s="444">
        <f t="shared" si="45"/>
        <v>0</v>
      </c>
      <c r="AO99" s="11"/>
    </row>
    <row r="100" spans="1:41" x14ac:dyDescent="0.35">
      <c r="A100" s="11"/>
      <c r="B100" s="11"/>
      <c r="C100" s="11"/>
      <c r="D100" s="11"/>
      <c r="E100" s="11"/>
      <c r="F100" s="11"/>
      <c r="G100" s="11"/>
      <c r="H100" s="88" t="s">
        <v>875</v>
      </c>
      <c r="I100" s="122" t="str">
        <f>IF(_epmOfflineCondition_,"N",_xll.EVPRO($B$1,$H100,"STYLE"))</f>
        <v>N</v>
      </c>
      <c r="J100" s="122" t="str">
        <f>IF(_epmOfflineCondition_,"N",_xll.EVPRO($B$1,$H100,"CALC"))</f>
        <v>N</v>
      </c>
      <c r="K100" s="179" t="str">
        <f t="shared" si="34"/>
        <v/>
      </c>
      <c r="L100" s="90" t="str">
        <f>IF(_epmOfflineCondition_,"703200",_xll.EVPRO($B$1,H100,"JDEID"))</f>
        <v>703200</v>
      </c>
      <c r="M100" s="90" t="str">
        <f>IF(_epmOfflineCondition_,"590035",IF(AND(I100="N",J100="N"),_xll.EVPRO($B$1,H100,"PSFTID"),""))</f>
        <v>590035</v>
      </c>
      <c r="N100" s="90" t="str">
        <f>IF(_epmOfflineCondition_,"Uniform Costs",IF(_xll.EVDES(H100,$B$1)="#NODATA","",_xll.EVDES(H100,$B$1)))</f>
        <v>Uniform Costs</v>
      </c>
      <c r="O100" s="143"/>
      <c r="P100" s="143"/>
      <c r="Q100" s="143"/>
      <c r="R100" s="143"/>
      <c r="S100" s="143"/>
      <c r="T100" s="143"/>
      <c r="U100" s="143">
        <v>128.08000000000001</v>
      </c>
      <c r="V100" s="143"/>
      <c r="W100" s="143"/>
      <c r="X100" s="143"/>
      <c r="Y100" s="143"/>
      <c r="Z100" s="143"/>
      <c r="AA100" s="250">
        <f t="shared" si="35"/>
        <v>128.08000000000001</v>
      </c>
      <c r="AB100" s="144">
        <f t="shared" si="36"/>
        <v>1.9142028802177389E-4</v>
      </c>
      <c r="AC100" s="140"/>
      <c r="AD100" s="143">
        <v>600</v>
      </c>
      <c r="AE100" s="144">
        <f t="shared" si="37"/>
        <v>1.4853165100312115E-3</v>
      </c>
      <c r="AF100" s="145">
        <f t="shared" si="38"/>
        <v>-471.91999999999996</v>
      </c>
      <c r="AG100" s="143"/>
      <c r="AH100" s="144" t="str">
        <f t="shared" si="39"/>
        <v/>
      </c>
      <c r="AI100" s="145">
        <f t="shared" si="40"/>
        <v>128.08000000000001</v>
      </c>
      <c r="AJ100" s="440">
        <f t="shared" si="41"/>
        <v>5.5762114153859559E-3</v>
      </c>
      <c r="AK100" s="441">
        <f t="shared" si="42"/>
        <v>4.0026684456304203E-2</v>
      </c>
      <c r="AL100" s="442">
        <f t="shared" si="43"/>
        <v>0</v>
      </c>
      <c r="AM100" s="443" t="str">
        <f t="shared" si="44"/>
        <v>-0.13 pts.</v>
      </c>
      <c r="AN100" s="444">
        <f t="shared" si="45"/>
        <v>0</v>
      </c>
      <c r="AO100" s="11"/>
    </row>
    <row r="101" spans="1:41" x14ac:dyDescent="0.35">
      <c r="A101" s="97" t="s">
        <v>92</v>
      </c>
      <c r="B101" s="98" t="s">
        <v>93</v>
      </c>
      <c r="C101" s="98" t="s">
        <v>94</v>
      </c>
      <c r="D101" s="98" t="s">
        <v>95</v>
      </c>
      <c r="E101" s="98" t="s">
        <v>96</v>
      </c>
      <c r="F101" s="99" t="s">
        <v>97</v>
      </c>
      <c r="G101" s="11"/>
      <c r="H101" s="88" t="s">
        <v>876</v>
      </c>
      <c r="I101" s="122" t="str">
        <f>IF(_epmOfflineCondition_,"N",_xll.EVPRO($B$1,$H101,"STYLE"))</f>
        <v>N</v>
      </c>
      <c r="J101" s="122" t="str">
        <f>IF(_epmOfflineCondition_,"N",_xll.EVPRO($B$1,$H101,"CALC"))</f>
        <v>N</v>
      </c>
      <c r="K101" s="179" t="str">
        <f t="shared" si="34"/>
        <v/>
      </c>
      <c r="L101" s="90" t="str">
        <f>IF(_epmOfflineCondition_,"703300",_xll.EVPRO($B$1,H101,"JDEID"))</f>
        <v>703300</v>
      </c>
      <c r="M101" s="90" t="str">
        <f>IF(_epmOfflineCondition_,"590115",IF(AND(I101="N",J101="N"),_xll.EVPRO($B$1,H101,"PSFTID"),""))</f>
        <v>590115</v>
      </c>
      <c r="N101" s="90" t="str">
        <f>IF(_epmOfflineCondition_,"Uniforms Laundry",IF(_xll.EVDES(H101,$B$1)="#NODATA","",_xll.EVDES(H101,$B$1)))</f>
        <v>Uniforms Laundry</v>
      </c>
      <c r="O101" s="143"/>
      <c r="P101" s="143"/>
      <c r="Q101" s="143"/>
      <c r="R101" s="143">
        <v>247.4</v>
      </c>
      <c r="S101" s="143"/>
      <c r="T101" s="143"/>
      <c r="U101" s="143"/>
      <c r="V101" s="143"/>
      <c r="W101" s="143"/>
      <c r="X101" s="143"/>
      <c r="Y101" s="143"/>
      <c r="Z101" s="143"/>
      <c r="AA101" s="250">
        <f t="shared" si="35"/>
        <v>247.4</v>
      </c>
      <c r="AB101" s="144">
        <f t="shared" si="36"/>
        <v>3.6974843267166503E-4</v>
      </c>
      <c r="AC101" s="140"/>
      <c r="AD101" s="143">
        <v>1798.8</v>
      </c>
      <c r="AE101" s="144">
        <f t="shared" si="37"/>
        <v>4.4529788970735715E-3</v>
      </c>
      <c r="AF101" s="145">
        <f t="shared" si="38"/>
        <v>-1551.3999999999999</v>
      </c>
      <c r="AG101" s="143">
        <v>940.9</v>
      </c>
      <c r="AH101" s="144">
        <f t="shared" si="39"/>
        <v>5.2840747567691358E-3</v>
      </c>
      <c r="AI101" s="145">
        <f t="shared" si="40"/>
        <v>-693.5</v>
      </c>
      <c r="AJ101" s="440">
        <f t="shared" si="41"/>
        <v>1.0771039226783926E-2</v>
      </c>
      <c r="AK101" s="441">
        <f t="shared" si="42"/>
        <v>0.12</v>
      </c>
      <c r="AL101" s="442">
        <f t="shared" si="43"/>
        <v>0.1286436970194148</v>
      </c>
      <c r="AM101" s="443" t="str">
        <f t="shared" si="44"/>
        <v>-0.41 pts.</v>
      </c>
      <c r="AN101" s="444" t="str">
        <f t="shared" si="45"/>
        <v>-0.49 pts.</v>
      </c>
      <c r="AO101" s="11"/>
    </row>
    <row r="102" spans="1:41" x14ac:dyDescent="0.35">
      <c r="A102" s="11"/>
      <c r="B102" s="11"/>
      <c r="C102" s="11"/>
      <c r="D102" s="11"/>
      <c r="E102" s="11"/>
      <c r="F102" s="11"/>
      <c r="G102" s="11"/>
      <c r="H102" s="88" t="s">
        <v>861</v>
      </c>
      <c r="I102" s="122" t="str">
        <f>IF(_epmOfflineCondition_,"N",_xll.EVPRO($B$1,$H102,"STYLE"))</f>
        <v>N</v>
      </c>
      <c r="J102" s="122" t="str">
        <f>IF(_epmOfflineCondition_,"N",_xll.EVPRO($B$1,$H102,"CALC"))</f>
        <v>N</v>
      </c>
      <c r="K102" s="179" t="str">
        <f t="shared" si="34"/>
        <v/>
      </c>
      <c r="L102" s="90" t="str">
        <f>IF(_epmOfflineCondition_,"703500",_xll.EVPRO($B$1,H102,"JDEID"))</f>
        <v>703500</v>
      </c>
      <c r="M102" s="90" t="str">
        <f>IF(_epmOfflineCondition_,"590004",IF(AND(I102="N",J102="N"),_xll.EVPRO($B$1,H102,"PSFTID"),""))</f>
        <v>590004</v>
      </c>
      <c r="N102" s="90" t="str">
        <f>IF(_epmOfflineCondition_,"China",IF(_xll.EVDES(H102,$B$1)="#NODATA","",_xll.EVDES(H102,$B$1)))</f>
        <v>China</v>
      </c>
      <c r="O102" s="143"/>
      <c r="P102" s="143"/>
      <c r="Q102" s="143"/>
      <c r="R102" s="143">
        <v>297.06</v>
      </c>
      <c r="S102" s="143"/>
      <c r="T102" s="143"/>
      <c r="U102" s="143"/>
      <c r="V102" s="143"/>
      <c r="W102" s="143"/>
      <c r="X102" s="143"/>
      <c r="Y102" s="143"/>
      <c r="Z102" s="143"/>
      <c r="AA102" s="250">
        <f t="shared" si="35"/>
        <v>297.06</v>
      </c>
      <c r="AB102" s="144">
        <f t="shared" si="36"/>
        <v>4.4396713585062575E-4</v>
      </c>
      <c r="AC102" s="140"/>
      <c r="AD102" s="143"/>
      <c r="AE102" s="144" t="str">
        <f t="shared" si="37"/>
        <v/>
      </c>
      <c r="AF102" s="145">
        <f t="shared" si="38"/>
        <v>297.06</v>
      </c>
      <c r="AG102" s="143"/>
      <c r="AH102" s="144" t="str">
        <f t="shared" si="39"/>
        <v/>
      </c>
      <c r="AI102" s="145">
        <f t="shared" si="40"/>
        <v>297.06</v>
      </c>
      <c r="AJ102" s="440">
        <f t="shared" si="41"/>
        <v>1.2933083721537725E-2</v>
      </c>
      <c r="AK102" s="441">
        <f t="shared" si="42"/>
        <v>0</v>
      </c>
      <c r="AL102" s="442">
        <f t="shared" si="43"/>
        <v>0</v>
      </c>
      <c r="AM102" s="443">
        <f t="shared" si="44"/>
        <v>0</v>
      </c>
      <c r="AN102" s="444">
        <f t="shared" si="45"/>
        <v>0</v>
      </c>
      <c r="AO102" s="11"/>
    </row>
    <row r="103" spans="1:41" x14ac:dyDescent="0.35">
      <c r="A103" s="11" t="s">
        <v>108</v>
      </c>
      <c r="B103" s="11"/>
      <c r="C103" s="104" t="s">
        <v>101</v>
      </c>
      <c r="D103" s="11" t="s">
        <v>106</v>
      </c>
      <c r="E103" s="11"/>
      <c r="F103" s="11" t="s">
        <v>98</v>
      </c>
      <c r="G103" s="11"/>
      <c r="H103" s="88" t="s">
        <v>879</v>
      </c>
      <c r="I103" s="122" t="str">
        <f>IF(_epmOfflineCondition_,"N",_xll.EVPRO($B$1,$H103,"STYLE"))</f>
        <v>N</v>
      </c>
      <c r="J103" s="122" t="str">
        <f>IF(_epmOfflineCondition_,"N",_xll.EVPRO($B$1,$H103,"CALC"))</f>
        <v>N</v>
      </c>
      <c r="K103" s="179" t="str">
        <f t="shared" si="34"/>
        <v/>
      </c>
      <c r="L103" s="90" t="str">
        <f>IF(_epmOfflineCondition_,"703700",_xll.EVPRO($B$1,H103,"JDEID"))</f>
        <v>703700</v>
      </c>
      <c r="M103" s="90" t="str">
        <f>IF(_epmOfflineCondition_,"590046",IF(AND(I103="N",J103="N"),_xll.EVPRO($B$1,H103,"PSFTID"),""))</f>
        <v>590046</v>
      </c>
      <c r="N103" s="90" t="str">
        <f>IF(_epmOfflineCondition_,"Menus and Beverage Lists",IF(_xll.EVDES(H103,$B$1)="#NODATA","",_xll.EVDES(H103,$B$1)))</f>
        <v>Menus and Beverage Lists</v>
      </c>
      <c r="O103" s="143"/>
      <c r="P103" s="143"/>
      <c r="Q103" s="143">
        <v>75.36</v>
      </c>
      <c r="R103" s="143"/>
      <c r="S103" s="143"/>
      <c r="T103" s="143"/>
      <c r="U103" s="143"/>
      <c r="V103" s="143"/>
      <c r="W103" s="143"/>
      <c r="X103" s="143"/>
      <c r="Y103" s="143"/>
      <c r="Z103" s="143"/>
      <c r="AA103" s="250">
        <f t="shared" si="35"/>
        <v>75.36</v>
      </c>
      <c r="AB103" s="144">
        <f t="shared" si="36"/>
        <v>1.1262830188414177E-4</v>
      </c>
      <c r="AC103" s="140"/>
      <c r="AD103" s="143"/>
      <c r="AE103" s="144" t="str">
        <f t="shared" si="37"/>
        <v/>
      </c>
      <c r="AF103" s="145">
        <f t="shared" si="38"/>
        <v>75.36</v>
      </c>
      <c r="AG103" s="143">
        <v>384.68</v>
      </c>
      <c r="AH103" s="144">
        <f t="shared" si="39"/>
        <v>2.1603548490104702E-3</v>
      </c>
      <c r="AI103" s="145">
        <f t="shared" si="40"/>
        <v>-309.32</v>
      </c>
      <c r="AJ103" s="440">
        <f t="shared" si="41"/>
        <v>3.2809438808829292E-3</v>
      </c>
      <c r="AK103" s="441">
        <f t="shared" si="42"/>
        <v>0</v>
      </c>
      <c r="AL103" s="442">
        <f t="shared" si="43"/>
        <v>5.2595023243095437E-2</v>
      </c>
      <c r="AM103" s="443">
        <f t="shared" si="44"/>
        <v>0</v>
      </c>
      <c r="AN103" s="444" t="str">
        <f t="shared" si="45"/>
        <v>-0.2 pts.</v>
      </c>
      <c r="AO103" s="11"/>
    </row>
    <row r="104" spans="1:41" x14ac:dyDescent="0.35">
      <c r="A104" s="11" t="s">
        <v>100</v>
      </c>
      <c r="B104" s="11"/>
      <c r="C104" s="53" t="s">
        <v>101</v>
      </c>
      <c r="D104" s="11" t="s">
        <v>106</v>
      </c>
      <c r="E104" s="11"/>
      <c r="F104" s="11" t="s">
        <v>98</v>
      </c>
      <c r="G104" s="11"/>
      <c r="H104" s="88" t="s">
        <v>880</v>
      </c>
      <c r="I104" s="122" t="str">
        <f>IF(_epmOfflineCondition_,"N",_xll.EVPRO($B$1,$H104,"STYLE"))</f>
        <v>N</v>
      </c>
      <c r="J104" s="122" t="str">
        <f>IF(_epmOfflineCondition_,"N",_xll.EVPRO($B$1,$H104,"CALC"))</f>
        <v>N</v>
      </c>
      <c r="K104" s="179" t="str">
        <f t="shared" si="34"/>
        <v/>
      </c>
      <c r="L104" s="90" t="str">
        <f>IF(_epmOfflineCondition_,"704100",_xll.EVPRO($B$1,H104,"JDEID"))</f>
        <v>704100</v>
      </c>
      <c r="M104" s="90" t="str">
        <f>IF(_epmOfflineCondition_,"690241",IF(AND(I104="N",J104="N"),_xll.EVPRO($B$1,H104,"PSFTID"),""))</f>
        <v>690241</v>
      </c>
      <c r="N104" s="90" t="str">
        <f>IF(_epmOfflineCondition_,"Music and Entertainment",IF(_xll.EVDES(H104,$B$1)="#NODATA","",_xll.EVDES(H104,$B$1)))</f>
        <v>Music and Entertainment</v>
      </c>
      <c r="O104" s="143"/>
      <c r="P104" s="143"/>
      <c r="Q104" s="143"/>
      <c r="R104" s="143"/>
      <c r="S104" s="143"/>
      <c r="T104" s="143"/>
      <c r="U104" s="143"/>
      <c r="V104" s="143"/>
      <c r="W104" s="143"/>
      <c r="X104" s="143"/>
      <c r="Y104" s="143"/>
      <c r="Z104" s="143"/>
      <c r="AA104" s="250">
        <f t="shared" si="35"/>
        <v>0</v>
      </c>
      <c r="AB104" s="144" t="str">
        <f t="shared" si="36"/>
        <v/>
      </c>
      <c r="AC104" s="140"/>
      <c r="AD104" s="143"/>
      <c r="AE104" s="144" t="str">
        <f t="shared" si="37"/>
        <v/>
      </c>
      <c r="AF104" s="145">
        <f t="shared" si="38"/>
        <v>0</v>
      </c>
      <c r="AG104" s="143">
        <v>75</v>
      </c>
      <c r="AH104" s="144">
        <f t="shared" si="39"/>
        <v>4.2119843422009268E-4</v>
      </c>
      <c r="AI104" s="145">
        <f t="shared" si="40"/>
        <v>-75</v>
      </c>
      <c r="AJ104" s="440">
        <f t="shared" si="41"/>
        <v>0</v>
      </c>
      <c r="AK104" s="441">
        <f t="shared" si="42"/>
        <v>0</v>
      </c>
      <c r="AL104" s="442">
        <f t="shared" si="43"/>
        <v>1.0254306808859722E-2</v>
      </c>
      <c r="AM104" s="443">
        <f t="shared" si="44"/>
        <v>0</v>
      </c>
      <c r="AN104" s="444">
        <f t="shared" si="45"/>
        <v>0</v>
      </c>
      <c r="AO104" s="11"/>
    </row>
    <row r="105" spans="1:41" x14ac:dyDescent="0.35">
      <c r="A105" s="11" t="s">
        <v>109</v>
      </c>
      <c r="B105" s="11"/>
      <c r="C105" s="106" t="s">
        <v>101</v>
      </c>
      <c r="D105" s="11" t="s">
        <v>106</v>
      </c>
      <c r="E105" s="11"/>
      <c r="F105" s="11" t="s">
        <v>98</v>
      </c>
      <c r="G105" s="76"/>
      <c r="H105" s="88" t="s">
        <v>841</v>
      </c>
      <c r="I105" s="122" t="str">
        <f>IF(_epmOfflineCondition_,"N",_xll.EVPRO($B$1,$H105,"STYLE"))</f>
        <v>N</v>
      </c>
      <c r="J105" s="122" t="str">
        <f>IF(_epmOfflineCondition_,"N",_xll.EVPRO($B$1,$H105,"CALC"))</f>
        <v>N</v>
      </c>
      <c r="K105" s="179" t="str">
        <f t="shared" si="34"/>
        <v/>
      </c>
      <c r="L105" s="90" t="str">
        <f>IF(_epmOfflineCondition_,"705500",_xll.EVPRO($B$1,H105,"JDEID"))</f>
        <v>705500</v>
      </c>
      <c r="M105" s="90" t="str">
        <f>IF(_epmOfflineCondition_,"690105",IF(AND(I105="N",J105="N"),_xll.EVPRO($B$1,H105,"PSFTID"),""))</f>
        <v>690105</v>
      </c>
      <c r="N105" s="90" t="str">
        <f>IF(_epmOfflineCondition_,"Licenses &amp; Permits",IF(_xll.EVDES(H105,$B$1)="#NODATA","",_xll.EVDES(H105,$B$1)))</f>
        <v>Licenses &amp; Permits</v>
      </c>
      <c r="O105" s="143"/>
      <c r="P105" s="143"/>
      <c r="Q105" s="143">
        <v>323</v>
      </c>
      <c r="R105" s="143"/>
      <c r="S105" s="143"/>
      <c r="T105" s="143"/>
      <c r="U105" s="143"/>
      <c r="V105" s="143"/>
      <c r="W105" s="143"/>
      <c r="X105" s="143"/>
      <c r="Y105" s="143"/>
      <c r="Z105" s="143"/>
      <c r="AA105" s="250">
        <f t="shared" si="35"/>
        <v>323</v>
      </c>
      <c r="AB105" s="144">
        <f t="shared" si="36"/>
        <v>4.8273542341531039E-4</v>
      </c>
      <c r="AC105" s="140"/>
      <c r="AD105" s="143"/>
      <c r="AE105" s="144" t="str">
        <f t="shared" si="37"/>
        <v/>
      </c>
      <c r="AF105" s="145">
        <f t="shared" si="38"/>
        <v>323</v>
      </c>
      <c r="AG105" s="143"/>
      <c r="AH105" s="144" t="str">
        <f t="shared" si="39"/>
        <v/>
      </c>
      <c r="AI105" s="145">
        <f t="shared" si="40"/>
        <v>323</v>
      </c>
      <c r="AJ105" s="440">
        <f t="shared" si="41"/>
        <v>1.406243197352954E-2</v>
      </c>
      <c r="AK105" s="441">
        <f t="shared" si="42"/>
        <v>0</v>
      </c>
      <c r="AL105" s="442">
        <f t="shared" si="43"/>
        <v>0</v>
      </c>
      <c r="AM105" s="443">
        <f t="shared" si="44"/>
        <v>0</v>
      </c>
      <c r="AN105" s="444">
        <f t="shared" si="45"/>
        <v>0</v>
      </c>
      <c r="AO105" s="11"/>
    </row>
    <row r="106" spans="1:41" x14ac:dyDescent="0.35">
      <c r="A106" s="11" t="s">
        <v>109</v>
      </c>
      <c r="B106" s="11"/>
      <c r="C106" s="196" t="s">
        <v>101</v>
      </c>
      <c r="D106" s="11" t="s">
        <v>107</v>
      </c>
      <c r="E106" s="11"/>
      <c r="F106" s="11" t="s">
        <v>99</v>
      </c>
      <c r="G106" s="11"/>
      <c r="H106" s="88" t="s">
        <v>79</v>
      </c>
      <c r="I106" s="136" t="str">
        <f>IF(_epmOfflineCondition_,"T3",_xll.EVPRO($B$1,$H106,"STYLE"))</f>
        <v>T3</v>
      </c>
      <c r="J106" s="136" t="str">
        <f>IF(_epmOfflineCondition_,"Y",_xll.EVPRO($B$1,$H106,"CALC"))</f>
        <v>Y</v>
      </c>
      <c r="K106" s="104"/>
      <c r="L106" s="104"/>
      <c r="M106" s="104"/>
      <c r="N106" s="106" t="str">
        <f>IF(_epmOfflineCondition_,"Total Operations Expense",IF(_xll.EVDES(H106,$B$1)="#NODATA","",_xll.EVDES(H106,$B$1)))</f>
        <v>Total Operations Expense</v>
      </c>
      <c r="O106" s="154">
        <v>1298.32</v>
      </c>
      <c r="P106" s="154">
        <v>881.48</v>
      </c>
      <c r="Q106" s="154">
        <v>1881.51</v>
      </c>
      <c r="R106" s="154">
        <v>1637.47</v>
      </c>
      <c r="S106" s="154">
        <v>908.12</v>
      </c>
      <c r="T106" s="154">
        <v>778</v>
      </c>
      <c r="U106" s="154">
        <v>1246.25</v>
      </c>
      <c r="V106" s="154">
        <v>724</v>
      </c>
      <c r="W106" s="154">
        <v>779</v>
      </c>
      <c r="X106" s="154">
        <v>999.89</v>
      </c>
      <c r="Y106" s="154">
        <v>924.11</v>
      </c>
      <c r="Z106" s="154">
        <v>1142</v>
      </c>
      <c r="AA106" s="154">
        <f t="shared" si="35"/>
        <v>13200.150000000001</v>
      </c>
      <c r="AB106" s="155">
        <f t="shared" si="36"/>
        <v>1.9728111453237183E-2</v>
      </c>
      <c r="AC106" s="140"/>
      <c r="AD106" s="154">
        <v>19765.419999999998</v>
      </c>
      <c r="AE106" s="155">
        <f t="shared" si="37"/>
        <v>4.8929841089501838E-2</v>
      </c>
      <c r="AF106" s="156">
        <f t="shared" si="38"/>
        <v>-6565.2699999999968</v>
      </c>
      <c r="AG106" s="154">
        <v>12200.73</v>
      </c>
      <c r="AH106" s="155">
        <f t="shared" si="39"/>
        <v>6.8519044964561487E-2</v>
      </c>
      <c r="AI106" s="156">
        <f t="shared" si="40"/>
        <v>999.42000000000189</v>
      </c>
      <c r="AJ106" s="477">
        <f t="shared" si="41"/>
        <v>0.5746941529888111</v>
      </c>
      <c r="AK106" s="478">
        <f t="shared" si="42"/>
        <v>1.3185737158105402</v>
      </c>
      <c r="AL106" s="479">
        <f t="shared" si="43"/>
        <v>1.6681337161607874</v>
      </c>
      <c r="AM106" s="480" t="str">
        <f t="shared" si="44"/>
        <v>-2.92 pts.</v>
      </c>
      <c r="AN106" s="555" t="str">
        <f t="shared" si="45"/>
        <v>-4.88 pts.</v>
      </c>
      <c r="AO106" s="11"/>
    </row>
    <row r="107" spans="1:41" x14ac:dyDescent="0.35">
      <c r="A107" s="11" t="s">
        <v>110</v>
      </c>
      <c r="B107" s="11"/>
      <c r="C107" s="106" t="s">
        <v>101</v>
      </c>
      <c r="D107" s="11" t="s">
        <v>106</v>
      </c>
      <c r="E107" s="11"/>
      <c r="F107" s="11" t="s">
        <v>98</v>
      </c>
      <c r="G107" s="11"/>
      <c r="H107" s="11"/>
      <c r="I107" s="59"/>
      <c r="J107" s="59"/>
      <c r="K107" s="11"/>
      <c r="L107" s="11"/>
      <c r="M107" s="11"/>
      <c r="N107" s="11"/>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1"/>
    </row>
    <row r="108" spans="1:41" x14ac:dyDescent="0.35">
      <c r="A108" s="11" t="s">
        <v>110</v>
      </c>
      <c r="B108" s="11"/>
      <c r="C108" s="109" t="s">
        <v>101</v>
      </c>
      <c r="D108" s="11" t="s">
        <v>107</v>
      </c>
      <c r="E108" s="11"/>
      <c r="F108" s="11" t="s">
        <v>99</v>
      </c>
      <c r="G108" s="11"/>
      <c r="H108" s="88" t="s">
        <v>80</v>
      </c>
      <c r="I108" s="136" t="str">
        <f>IF(_epmOfflineCondition_,"T3",_xll.EVPRO($B$1,$H108,"STYLE"))</f>
        <v>T3</v>
      </c>
      <c r="J108" s="136" t="str">
        <f>IF(_epmOfflineCondition_,"Y",_xll.EVPRO($B$1,$H108,"CALC"))</f>
        <v>Y</v>
      </c>
      <c r="K108" s="106"/>
      <c r="L108" s="106"/>
      <c r="M108" s="106"/>
      <c r="N108" s="106" t="str">
        <f>IF(_epmOfflineCondition_,"Total Expenses",IF(_xll.EVDES(H108,$B$1)="#NODATA","",_xll.EVDES(H108,$B$1)))</f>
        <v>Total Expenses</v>
      </c>
      <c r="O108" s="238">
        <v>11413.94</v>
      </c>
      <c r="P108" s="238">
        <v>13598.59</v>
      </c>
      <c r="Q108" s="238">
        <v>14652.08</v>
      </c>
      <c r="R108" s="238">
        <v>13335.24</v>
      </c>
      <c r="S108" s="238">
        <v>12983.85</v>
      </c>
      <c r="T108" s="238">
        <v>11689.74</v>
      </c>
      <c r="U108" s="238">
        <v>12106.36</v>
      </c>
      <c r="V108" s="238">
        <v>22365.77</v>
      </c>
      <c r="W108" s="238">
        <v>-5255.88</v>
      </c>
      <c r="X108" s="238">
        <v>23460.27</v>
      </c>
      <c r="Y108" s="238">
        <v>10544.46</v>
      </c>
      <c r="Z108" s="238">
        <v>12010.9</v>
      </c>
      <c r="AA108" s="238">
        <f>IF($I108="B1","",SUM(O108:Z108))</f>
        <v>152905.32</v>
      </c>
      <c r="AB108" s="239">
        <f>IF(AA108=0,"",IFERROR(AA108/AA$19,""))</f>
        <v>0.22852264517849391</v>
      </c>
      <c r="AC108" s="140"/>
      <c r="AD108" s="238">
        <v>222454.45794196299</v>
      </c>
      <c r="AE108" s="239">
        <f>IF(AD108=0,"",IFERROR(AD108/AD$19,""))</f>
        <v>0.55069213185206889</v>
      </c>
      <c r="AF108" s="254">
        <f>IF(AND($AA108="",AD108=""),"",$AA108-AD108)</f>
        <v>-69549.137941962981</v>
      </c>
      <c r="AG108" s="255">
        <v>59086.96</v>
      </c>
      <c r="AH108" s="256">
        <f>IF(AG108=0,"",IFERROR(AG108/AG$19,""))</f>
        <v>0.33183113379766999</v>
      </c>
      <c r="AI108" s="254">
        <f>IF(AND($AA108="",AG108=""),"",$AA108-AG108)</f>
        <v>93818.360000000015</v>
      </c>
      <c r="AJ108" s="466">
        <f>IFERROR(AA108/AA$20,0)</f>
        <v>6.6570299098785322</v>
      </c>
      <c r="AK108" s="467">
        <f>IFERROR(AD108/AD$20,0)</f>
        <v>14.840190656568579</v>
      </c>
      <c r="AL108" s="468">
        <f>IFERROR(AG108/AG$20,0)</f>
        <v>8.0786108832376264</v>
      </c>
      <c r="AM108" s="469" t="str">
        <f>+IFERROR(ROUND(($AB108-AE108)*100,2)&amp;" pts.",0)</f>
        <v>-32.22 pts.</v>
      </c>
      <c r="AN108" s="556" t="str">
        <f>+IFERROR(ROUND(($AB108-AH108)*100,2)&amp;" pts.",0)</f>
        <v>-10.33 pts.</v>
      </c>
      <c r="AO108" s="11"/>
    </row>
    <row r="109" spans="1:41" ht="15" thickBot="1" x14ac:dyDescent="0.4">
      <c r="A109" s="11"/>
      <c r="B109" s="11"/>
      <c r="C109" s="208"/>
      <c r="D109" s="11"/>
      <c r="E109" s="11"/>
      <c r="F109" s="11"/>
      <c r="G109" s="11"/>
      <c r="H109" s="88" t="s">
        <v>81</v>
      </c>
      <c r="I109" s="136" t="str">
        <f>IF(_epmOfflineCondition_,"T3",_xll.EVPRO($B$1,$H109,"STYLE"))</f>
        <v>T3</v>
      </c>
      <c r="J109" s="136" t="str">
        <f>IF(_epmOfflineCondition_,"Y",_xll.EVPRO($B$1,$H109,"CALC"))</f>
        <v>Y</v>
      </c>
      <c r="K109" s="106"/>
      <c r="L109" s="106"/>
      <c r="M109" s="106"/>
      <c r="N109" s="106" t="str">
        <f>IF(_epmOfflineCondition_,"Department Profit (Loss)",IF(_xll.EVDES(H109,$B$1)="#NODATA","",_xll.EVDES(H109,$B$1)))</f>
        <v>Department Profit (Loss)</v>
      </c>
      <c r="O109" s="169">
        <v>9842.1</v>
      </c>
      <c r="P109" s="169">
        <v>30228.1</v>
      </c>
      <c r="Q109" s="169">
        <v>35994.83</v>
      </c>
      <c r="R109" s="169">
        <v>44046.81</v>
      </c>
      <c r="S109" s="169">
        <v>43930.47</v>
      </c>
      <c r="T109" s="169">
        <v>39809.81</v>
      </c>
      <c r="U109" s="169">
        <v>42291.27</v>
      </c>
      <c r="V109" s="169">
        <v>12966.51</v>
      </c>
      <c r="W109" s="169">
        <v>33037.4</v>
      </c>
      <c r="X109" s="169">
        <v>14577.16</v>
      </c>
      <c r="Y109" s="169">
        <v>32373.58</v>
      </c>
      <c r="Z109" s="169">
        <v>28151.23</v>
      </c>
      <c r="AA109" s="169">
        <f>IF($I109="B1","",SUM(O109:Z109))</f>
        <v>367249.26999999996</v>
      </c>
      <c r="AB109" s="170">
        <f>IF(AA109=0,"",IFERROR(AA109/AA$19,""))</f>
        <v>0.54886759087434567</v>
      </c>
      <c r="AC109" s="140"/>
      <c r="AD109" s="169">
        <v>91002.228058036606</v>
      </c>
      <c r="AE109" s="170">
        <f>IF(AD109=0,"",IFERROR(AD109/AD$19,""))</f>
        <v>0.22527851964037884</v>
      </c>
      <c r="AF109" s="171">
        <f>IF(AND($AA109="",AD109=""),"",$AA109-AD109)</f>
        <v>276247.04194196337</v>
      </c>
      <c r="AG109" s="169">
        <v>85576.99</v>
      </c>
      <c r="AH109" s="170">
        <f>IF(AG109=0,"",IFERROR(AG109/AG$19,""))</f>
        <v>0.48059858924358045</v>
      </c>
      <c r="AI109" s="171">
        <f>IF(AND($AA109="",AG109=""),"",$AA109-AG109)</f>
        <v>281672.27999999997</v>
      </c>
      <c r="AJ109" s="483">
        <f>IFERROR(AA109/AA$20,0)</f>
        <v>15.988909834994992</v>
      </c>
      <c r="AK109" s="484">
        <f>IFERROR(AD109/AD$20,0)</f>
        <v>6.07086244549944</v>
      </c>
      <c r="AL109" s="485">
        <f>IFERROR(AG109/AG$20,0)</f>
        <v>11.700436149849605</v>
      </c>
      <c r="AM109" s="486" t="str">
        <f>+IFERROR(ROUND(($AB109-AE109)*100,2)&amp;" pts.",0)</f>
        <v>32.36 pts.</v>
      </c>
      <c r="AN109" s="557" t="str">
        <f>+IFERROR(ROUND(($AB109-AH109)*100,2)&amp;" pts.",0)</f>
        <v>6.83 pts.</v>
      </c>
      <c r="AO109" s="11"/>
    </row>
    <row r="110" spans="1:41" ht="15" thickTop="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11"/>
      <c r="I111" s="59"/>
      <c r="J111" s="59"/>
      <c r="K111" s="11"/>
      <c r="L111" s="11"/>
      <c r="M111" s="11"/>
      <c r="N111" s="104" t="str">
        <f>N108&amp;" - Check"</f>
        <v>Total Expenses - Check</v>
      </c>
      <c r="O111" s="209">
        <f t="shared" ref="O111:AA111" si="46">SUMIF($H$35:$H$109,"600000",O$35:O$109)+SUMIF($H$35:$H$109,"700000",O$35:O$109)-SUMIF($H$35:$H$109,"TOTDEPTEXP",O$35:O$109)</f>
        <v>0</v>
      </c>
      <c r="P111" s="209">
        <f t="shared" si="46"/>
        <v>0</v>
      </c>
      <c r="Q111" s="209">
        <f t="shared" si="46"/>
        <v>0</v>
      </c>
      <c r="R111" s="209">
        <f t="shared" si="46"/>
        <v>0</v>
      </c>
      <c r="S111" s="209">
        <f t="shared" si="46"/>
        <v>0</v>
      </c>
      <c r="T111" s="209">
        <f t="shared" si="46"/>
        <v>0</v>
      </c>
      <c r="U111" s="209">
        <f t="shared" si="46"/>
        <v>0</v>
      </c>
      <c r="V111" s="209">
        <f t="shared" si="46"/>
        <v>0</v>
      </c>
      <c r="W111" s="209">
        <f t="shared" si="46"/>
        <v>0</v>
      </c>
      <c r="X111" s="209">
        <f t="shared" si="46"/>
        <v>0</v>
      </c>
      <c r="Y111" s="209">
        <f t="shared" si="46"/>
        <v>0</v>
      </c>
      <c r="Z111" s="209">
        <f t="shared" si="46"/>
        <v>0</v>
      </c>
      <c r="AA111" s="209">
        <f t="shared" si="46"/>
        <v>0</v>
      </c>
      <c r="AB111" s="100"/>
      <c r="AC111" s="11"/>
      <c r="AD111" s="209">
        <f>SUMIF($H$35:$H$109,"600000",AD$35:AD$109)+SUMIF($H$35:$H$109,"700000",AD$35:AD$109)-SUMIF($H$35:$H$109,"TOTDEPTEXP",AD$35:AD$109)</f>
        <v>0</v>
      </c>
      <c r="AE111" s="100"/>
      <c r="AF111" s="91"/>
      <c r="AG111" s="209">
        <f>SUMIF($H$35:$H$109,"600000",AG$35:AG$109)+SUMIF($H$35:$H$109,"700000",AG$35:AG$109)-SUMIF($H$35:$H$109,"TOTDEPTEXP",AG$35:AG$109)</f>
        <v>0</v>
      </c>
      <c r="AH111" s="100"/>
      <c r="AI111" s="9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04" t="str">
        <f>N109&amp;" - Check"</f>
        <v>Department Profit (Loss) - Check</v>
      </c>
      <c r="O112" s="209">
        <f t="shared" ref="O112:AA112" si="47">SUMIF($H$35:$H$109,"KPI_GP",O$35:O$109)-SUMIF($H$35:$H$109,"TOTDEPTEXP",O$35:O$109)-SUMIF($H$35:$H$109,"TOTDEPTPL",O$35:O$109)</f>
        <v>0</v>
      </c>
      <c r="P112" s="209">
        <f t="shared" si="47"/>
        <v>0</v>
      </c>
      <c r="Q112" s="209">
        <f t="shared" si="47"/>
        <v>0</v>
      </c>
      <c r="R112" s="209">
        <f t="shared" si="47"/>
        <v>0</v>
      </c>
      <c r="S112" s="209">
        <f t="shared" si="47"/>
        <v>0</v>
      </c>
      <c r="T112" s="209">
        <f t="shared" si="47"/>
        <v>0</v>
      </c>
      <c r="U112" s="209">
        <f t="shared" si="47"/>
        <v>0</v>
      </c>
      <c r="V112" s="209">
        <f t="shared" si="47"/>
        <v>0</v>
      </c>
      <c r="W112" s="209">
        <f t="shared" si="47"/>
        <v>0</v>
      </c>
      <c r="X112" s="209">
        <f t="shared" si="47"/>
        <v>0</v>
      </c>
      <c r="Y112" s="209">
        <f t="shared" si="47"/>
        <v>0</v>
      </c>
      <c r="Z112" s="209">
        <f t="shared" si="47"/>
        <v>0</v>
      </c>
      <c r="AA112" s="209">
        <f t="shared" si="47"/>
        <v>0</v>
      </c>
      <c r="AB112" s="100"/>
      <c r="AC112" s="11"/>
      <c r="AD112" s="209">
        <f>SUMIF($H$35:$H$109,"KPI_GP",AD$35:AD$109)-SUMIF($H$35:$H$109,"TOTDEPTEXP",AD$35:AD$109)-SUMIF($H$35:$H$109,"TOTDEPTPL",AD$35:AD$109)</f>
        <v>3.92901711165905E-10</v>
      </c>
      <c r="AE112" s="100"/>
      <c r="AF112" s="91"/>
      <c r="AG112" s="209">
        <f>SUMIF($H$35:$H$109,"KPI_GP",AG$35:AG$109)-SUMIF($H$35:$H$109,"TOTDEPTEXP",AG$35:AG$109)-SUMIF($H$35:$H$109,"TOTDEPTPL",AG$35:AG$109)</f>
        <v>0</v>
      </c>
      <c r="AH112" s="100"/>
      <c r="AI112" s="91"/>
      <c r="AJ112" s="11"/>
      <c r="AK112" s="11"/>
      <c r="AL112" s="11"/>
      <c r="AM112" s="11"/>
      <c r="AN112" s="11"/>
      <c r="AO112" s="11"/>
    </row>
    <row r="113" spans="1:41" x14ac:dyDescent="0.3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IF(_epmOfflineCondition_,"'VenueBar'!$B$2:$B$10",_xll.EVRNG($B$2:$B$10))</f>
        <v>'VenueBar'!$B$2:$B$10</v>
      </c>
      <c r="C114" s="11"/>
      <c r="D114" s="11"/>
      <c r="E114" s="11"/>
      <c r="F114" s="11"/>
      <c r="G114" s="11"/>
      <c r="H114" s="11"/>
      <c r="I114" s="59"/>
      <c r="J114" s="59"/>
      <c r="K114" s="11"/>
      <c r="L114" s="11"/>
      <c r="M114" s="11"/>
      <c r="N114" s="11"/>
      <c r="O114" s="137"/>
      <c r="P114" s="137"/>
      <c r="Q114" s="137"/>
      <c r="R114" s="137"/>
      <c r="S114" s="137"/>
      <c r="T114" s="137"/>
      <c r="U114" s="137"/>
      <c r="V114" s="137"/>
      <c r="W114" s="137"/>
      <c r="X114" s="137"/>
      <c r="Y114" s="137"/>
      <c r="Z114" s="137"/>
      <c r="AA114" s="137"/>
      <c r="AB114" s="11"/>
      <c r="AC114" s="11"/>
      <c r="AD114" s="137"/>
      <c r="AE114" s="11"/>
      <c r="AF114" s="11"/>
      <c r="AG114" s="137"/>
      <c r="AH114" s="11"/>
      <c r="AI114" s="11"/>
      <c r="AJ114" s="11"/>
      <c r="AK114" s="11"/>
      <c r="AL114" s="11"/>
      <c r="AM114" s="11"/>
      <c r="AN114" s="11"/>
      <c r="AO114" s="11"/>
    </row>
    <row r="115" spans="1:41" x14ac:dyDescent="0.35">
      <c r="A115" s="65" t="s">
        <v>3</v>
      </c>
      <c r="B115" s="66" t="str">
        <f>IF(_epmOfflineCondition_,"'VenueBar'!$O$16:$AN$18",_xll.EVRNG($O$16:$AN$18))</f>
        <v>'VenueBar'!$O$16:$AN$18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IF(_epmOfflineCondition_,"'VenueBar'!$H$106:$H$109",_xll.EVRNG(H106:H109))</f>
        <v>'VenueBar'!$H$106:$H$109</v>
      </c>
      <c r="C116" s="11"/>
      <c r="D116" s="11"/>
      <c r="E116" s="11"/>
      <c r="F116" s="11"/>
      <c r="G116" s="11"/>
      <c r="H116" s="11"/>
      <c r="I116" s="59"/>
      <c r="J116" s="59"/>
      <c r="K116" s="11"/>
      <c r="L116" s="11"/>
      <c r="M116" s="11"/>
      <c r="N116" s="11"/>
      <c r="O116" s="137"/>
      <c r="P116" s="137"/>
      <c r="Q116" s="137"/>
      <c r="R116" s="137"/>
      <c r="S116" s="137"/>
      <c r="T116" s="137"/>
      <c r="U116" s="137"/>
      <c r="V116" s="137"/>
      <c r="W116" s="137"/>
      <c r="X116" s="137"/>
      <c r="Y116" s="137"/>
      <c r="Z116" s="137"/>
      <c r="AA116" s="137"/>
      <c r="AB116" s="11"/>
      <c r="AC116" s="11"/>
      <c r="AD116" s="137"/>
      <c r="AE116" s="11"/>
      <c r="AF116" s="11"/>
      <c r="AG116" s="137"/>
      <c r="AH116" s="11"/>
      <c r="AI116" s="11"/>
      <c r="AJ116" s="11"/>
      <c r="AK116" s="11"/>
      <c r="AL116" s="11"/>
      <c r="AM116" s="11"/>
      <c r="AN116" s="11"/>
      <c r="AO116" s="11"/>
    </row>
    <row r="117" spans="1:41" x14ac:dyDescent="0.3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IF(_epmOfflineCondition_,"'VenueBar'!$A$125:$B$146",_xll.EVRNG($A$125:$B$146))</f>
        <v>'VenueBar'!$A$125:$B$146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267"/>
      <c r="J182" s="11"/>
      <c r="K182" s="267"/>
      <c r="L182" s="267"/>
      <c r="M182" s="267"/>
      <c r="N182" s="11"/>
      <c r="O182" s="267"/>
      <c r="P182" s="267"/>
      <c r="Q182" s="267"/>
      <c r="R182" s="267"/>
      <c r="S182" s="267"/>
      <c r="T182" s="267"/>
      <c r="U182" s="267"/>
      <c r="V182" s="267"/>
      <c r="W182" s="267"/>
      <c r="X182" s="267"/>
      <c r="Y182" s="267"/>
      <c r="Z182" s="267"/>
      <c r="AA182" s="267"/>
      <c r="AB182" s="11"/>
      <c r="AC182" s="11"/>
      <c r="AD182" s="267"/>
      <c r="AE182" s="11"/>
      <c r="AF182" s="267"/>
      <c r="AG182" s="11"/>
      <c r="AH182" s="267"/>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267"/>
      <c r="J186" s="11"/>
      <c r="K186" s="267"/>
      <c r="L186" s="267"/>
      <c r="M186" s="267"/>
      <c r="N186" s="11"/>
      <c r="O186" s="267"/>
      <c r="P186" s="267"/>
      <c r="Q186" s="267"/>
      <c r="R186" s="267"/>
      <c r="S186" s="267"/>
      <c r="T186" s="267"/>
      <c r="U186" s="267"/>
      <c r="V186" s="267"/>
      <c r="W186" s="267"/>
      <c r="X186" s="267"/>
      <c r="Y186" s="267"/>
      <c r="Z186" s="267"/>
      <c r="AA186" s="267"/>
      <c r="AB186" s="11"/>
      <c r="AC186" s="11"/>
      <c r="AD186" s="267"/>
      <c r="AE186" s="11"/>
      <c r="AF186" s="267"/>
      <c r="AG186" s="11"/>
      <c r="AH186" s="267"/>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D868kwWA7+eS/D8N3FcVMIREJRZJoaYJGBHwVFhg8L3ctSzW2rDgNxrZ99YuSixKZMFOEQbvjywiECKMu/eSJw==" saltValue="+8vMg/Qz3kCvJW3M0YSFUA==" spinCount="100000" sheet="1" scenarios="1"/>
  <mergeCells count="2">
    <mergeCell ref="AD31:AE31"/>
    <mergeCell ref="AG31:AH31"/>
  </mergeCells>
  <dataValidations disablePrompts="1" count="2">
    <dataValidation type="list" allowBlank="1" sqref="B29 B62 B95" xr:uid="{00000000-0002-0000-1300-000000000000}">
      <formula1>"SELF,ALL,BAS,DEP,BASMEMBERS,MEMBERS,NOEXPAND,GDEP"</formula1>
    </dataValidation>
    <dataValidation type="list" allowBlank="1" sqref="B28 B61 B94" xr:uid="{00000000-0002-0000-13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9">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VenueBar!N1</f>
        <v>Minnow Bar</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734</v>
      </c>
      <c r="C6" s="11" t="str">
        <f>IF(_epmOfflineCondition_,"Venue (Bar)",_xll.EVDES(B6,$B$1))</f>
        <v>Venue (Bar)</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IF(_epmOfflineCondition_,"'VenueBar_KPI'!$B$2:$B$10",_xll.EVRNG($B$2:$B$10))</f>
        <v>'VenueBar_KPI'!$B$2:$B$10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IF(_epmOfflineCondition_,"'VenueBar_KPI'!$O$16:$AI$18",_xll.EVRNG(O16:AI18))</f>
        <v>'VenueBar_KPI'!$O$16:$AI$18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IF(_epmOfflineCondition_,"'VenueBar_KPI'!$H$35:$H$146",_xll.EVRNG(H35:H146))</f>
        <v>'VenueBar_KPI'!$H$35:$H$146</v>
      </c>
      <c r="C19" s="11"/>
      <c r="D19" s="11"/>
      <c r="E19" s="11"/>
      <c r="F19" s="11"/>
      <c r="G19" s="67" t="str">
        <f>$B$6</f>
        <v>D2146</v>
      </c>
      <c r="H19" s="67" t="s">
        <v>273</v>
      </c>
      <c r="I19" s="68"/>
      <c r="J19" s="68"/>
      <c r="K19" s="67"/>
      <c r="L19" s="67"/>
      <c r="M19" s="67"/>
      <c r="N19" s="67" t="str">
        <f>IF(_epmOfflineCondition_,"Total Food &amp; Beverage Revenue",_xll.EVDES(H19))</f>
        <v>Total Food &amp; Beverage Revenue</v>
      </c>
      <c r="O19" s="69">
        <f>IF(_epmOfflineCondition_,23340.28,_xll.EVGTS($B$1,1,$B$3,$B$5,$B$7,$B$9,O$16,O$17,O$18,$G$19,$H$19))</f>
        <v>23340.28</v>
      </c>
      <c r="P19" s="69">
        <f>IF(_epmOfflineCondition_,48107.27,_xll.EVGTS($B$1,1,$B$3,$B$5,$B$7,$B$9,P$16,P$17,P$18,$G$19,$H$19))</f>
        <v>48107.27</v>
      </c>
      <c r="Q19" s="69">
        <f>IF(_epmOfflineCondition_,55613.85,_xll.EVGTS($B$1,1,$B$3,$B$5,$B$7,$B$9,Q$16,Q$17,Q$18,$G$19,$H$19))</f>
        <v>55613.85</v>
      </c>
      <c r="R19" s="69">
        <f>IF(_epmOfflineCondition_,61234.87,_xll.EVGTS($B$1,1,$B$3,$B$5,$B$7,$B$9,R$16,R$17,R$18,$G$19,$H$19))</f>
        <v>61234.87</v>
      </c>
      <c r="S19" s="69">
        <f>IF(_epmOfflineCondition_,62707.65,_xll.EVGTS($B$1,1,$B$3,$B$5,$B$7,$B$9,S$16,S$17,S$18,$G$19,$H$19))</f>
        <v>62707.65</v>
      </c>
      <c r="T19" s="69">
        <f>IF(_epmOfflineCondition_,56452.2,_xll.EVGTS($B$1,1,$B$3,$B$5,$B$7,$B$9,T$16,T$17,T$18,$G$19,$H$19))</f>
        <v>56452.2</v>
      </c>
      <c r="U19" s="69">
        <f>IF(_epmOfflineCondition_,59371.14,_xll.EVGTS($B$1,1,$B$3,$B$5,$B$7,$B$9,U$16,U$17,U$18,$G$19,$H$19))</f>
        <v>59371.14</v>
      </c>
      <c r="V19" s="69">
        <f>IF(_epmOfflineCondition_,38514.62,_xll.EVGTS($B$1,1,$B$3,$B$5,$B$7,$B$9,V$16,V$17,V$18,$G$19,$H$19))</f>
        <v>38514.620000000003</v>
      </c>
      <c r="W19" s="69">
        <f>IF(_epmOfflineCondition_,29802.6,_xll.EVGTS($B$1,1,$B$3,$B$5,$B$7,$B$9,W$16,W$17,W$18,$G$19,$H$19))</f>
        <v>29802.6</v>
      </c>
      <c r="X19" s="69">
        <f>IF(_epmOfflineCondition_,41858.6,_xll.EVGTS($B$1,1,$B$3,$B$5,$B$7,$B$9,X$16,X$17,X$18,$G$19,$H$19))</f>
        <v>41858.6</v>
      </c>
      <c r="Y19" s="69">
        <f>IF(_epmOfflineCondition_,46601,_xll.EVGTS($B$1,1,$B$3,$B$5,$B$7,$B$9,Y$16,Y$17,Y$18,$G$19,$H$19))</f>
        <v>46601</v>
      </c>
      <c r="Z19" s="69">
        <f>IF(_epmOfflineCondition_,43315.1,_xll.EVGTS($B$1,1,$B$3,$B$5,$B$7,$B$9,Z$16,Z$17,Z$18,$G$19,$H$19))</f>
        <v>43315.1</v>
      </c>
      <c r="AA19" s="69">
        <f>SUM(O19:Z19)</f>
        <v>566919.17999999993</v>
      </c>
      <c r="AB19" s="67"/>
      <c r="AC19" s="67"/>
      <c r="AD19" s="69">
        <f>IF(_epmOfflineCondition_,339457.4,_xll.EVGTS($B$1,1,$B$3,$B$5,$B$7,$B$9,AD$16,AD$17,AD$18,$G$19,$H$19))</f>
        <v>339457.4</v>
      </c>
      <c r="AE19" s="67"/>
      <c r="AF19" s="67"/>
      <c r="AG19" s="69">
        <f>IF(_epmOfflineCondition_,149746.34,_xll.EVGTS($B$1,1,$B$3,$B$5,$B$7,$B$9,AG$16,AG$17,AG$18,$G$19,$H$19))</f>
        <v>149746.34</v>
      </c>
      <c r="AH19" s="67"/>
      <c r="AI19" s="67"/>
    </row>
    <row r="20" spans="1:35" hidden="1" outlineLevel="1" x14ac:dyDescent="0.35">
      <c r="A20" s="65" t="s">
        <v>5</v>
      </c>
      <c r="B20" s="66"/>
      <c r="C20" s="11"/>
      <c r="D20" s="11"/>
      <c r="E20" s="11"/>
      <c r="F20" s="11"/>
      <c r="G20" s="67" t="str">
        <f>$B$6</f>
        <v>D2146</v>
      </c>
      <c r="H20" s="67">
        <v>946000</v>
      </c>
      <c r="I20" s="68"/>
      <c r="J20" s="68"/>
      <c r="K20" s="67"/>
      <c r="L20" s="67"/>
      <c r="M20" s="67"/>
      <c r="N20" s="67" t="str">
        <f>IF(_epmOfflineCondition_,"Total Customers",_xll.EVDES(H20))</f>
        <v>Total Customers</v>
      </c>
      <c r="O20" s="69">
        <f>IF(_epmOfflineCondition_,1237,_xll.EVGTS($B$1,1,$B$3,$B$5,$B$7,$B$9,O$16,O$17,O$18,$G$20,$H$20))</f>
        <v>1237</v>
      </c>
      <c r="P20" s="69">
        <f>IF(_epmOfflineCondition_,2223,_xll.EVGTS($B$1,1,$B$3,$B$5,$B$7,$B$9,P$16,P$17,P$18,$G$20,$H$20))</f>
        <v>2223</v>
      </c>
      <c r="Q20" s="69">
        <f>IF(_epmOfflineCondition_,2603,_xll.EVGTS($B$1,1,$B$3,$B$5,$B$7,$B$9,Q$16,Q$17,Q$18,$G$20,$H$20))</f>
        <v>2603</v>
      </c>
      <c r="R20" s="69">
        <f>IF(_epmOfflineCondition_,2645,_xll.EVGTS($B$1,1,$B$3,$B$5,$B$7,$B$9,R$16,R$17,R$18,$G$20,$H$20))</f>
        <v>2645</v>
      </c>
      <c r="S20" s="69">
        <f>IF(_epmOfflineCondition_,2387,_xll.EVGTS($B$1,1,$B$3,$B$5,$B$7,$B$9,S$16,S$17,S$18,$G$20,$H$20))</f>
        <v>2387</v>
      </c>
      <c r="T20" s="69">
        <f>IF(_epmOfflineCondition_,2225,_xll.EVGTS($B$1,1,$B$3,$B$5,$B$7,$B$9,T$16,T$17,T$18,$G$20,$H$20))</f>
        <v>2225</v>
      </c>
      <c r="U20" s="69">
        <f>IF(_epmOfflineCondition_,2328,_xll.EVGTS($B$1,1,$B$3,$B$5,$B$7,$B$9,U$16,U$17,U$18,$G$20,$H$20))</f>
        <v>2328</v>
      </c>
      <c r="V20" s="69">
        <f>IF(_epmOfflineCondition_,1460,_xll.EVGTS($B$1,1,$B$3,$B$5,$B$7,$B$9,V$16,V$17,V$18,$G$20,$H$20))</f>
        <v>1460</v>
      </c>
      <c r="W20" s="69">
        <f>IF(_epmOfflineCondition_,1072,_xll.EVGTS($B$1,1,$B$3,$B$5,$B$7,$B$9,W$16,W$17,W$18,$G$20,$H$20))</f>
        <v>1072</v>
      </c>
      <c r="X20" s="69">
        <f>IF(_epmOfflineCondition_,1506,_xll.EVGTS($B$1,1,$B$3,$B$5,$B$7,$B$9,X$16,X$17,X$18,$G$20,$H$20))</f>
        <v>1506</v>
      </c>
      <c r="Y20" s="69">
        <f>IF(_epmOfflineCondition_,1630,_xll.EVGTS($B$1,1,$B$3,$B$5,$B$7,$B$9,Y$16,Y$17,Y$18,$G$20,$H$20))</f>
        <v>1630</v>
      </c>
      <c r="Z20" s="69">
        <f>IF(_epmOfflineCondition_,1653,_xll.EVGTS($B$1,1,$B$3,$B$5,$B$7,$B$9,Z$16,Z$17,Z$18,$G$20,$H$20))</f>
        <v>1653</v>
      </c>
      <c r="AA20" s="69">
        <f>SUM(O20:Z20)</f>
        <v>22969</v>
      </c>
      <c r="AB20" s="67"/>
      <c r="AC20" s="67"/>
      <c r="AD20" s="69">
        <f>IF(_epmOfflineCondition_,14990,_xll.EVGTS($B$1,1,$B$3,$B$5,$B$7,$B$9,AD$16,AD$17,AD$18,$G$20,$H$20))</f>
        <v>14990</v>
      </c>
      <c r="AE20" s="67"/>
      <c r="AF20" s="67"/>
      <c r="AG20" s="69">
        <f>IF(_epmOfflineCondition_,7314,_xll.EVGTS($B$1,1,$B$3,$B$5,$B$7,$B$9,AG$16,AG$17,AG$18,$G$20,$H$20))</f>
        <v>7314</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IF(_epmOfflineCondition_,"'VenueBar_KPI'!$A$37:$B$58",_xll.EVRNG($A$37:$B$58))</f>
        <v>'VenueBar_KPI'!$A$37:$B$58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IF(_epmOfflineCondition_,"Minnow Bar",IF($N$1="",IF(_xll.EVDES(B6,$B$1)="#NODATA","",_xll.EVDES(B6,$B$1)&amp;" Department"),$N$1))</f>
        <v>Minnow Bar</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v>20725.875</v>
      </c>
      <c r="AE35" s="144">
        <f>IF(AD35=0,"",IFERROR(AD35/AD$19,""))</f>
        <v>6.1055893905980541E-2</v>
      </c>
      <c r="AF35" s="145">
        <f t="shared" ref="AF35:AF42" si="1">IF(AND($AA35="",AD35=""),"",$AA35-AD35)</f>
        <v>-20725.875</v>
      </c>
      <c r="AG35" s="143">
        <v>7024.85</v>
      </c>
      <c r="AH35" s="144">
        <f>IF(AG35=0,"",IFERROR(AG35/AG$19,""))</f>
        <v>4.6911664084744911E-2</v>
      </c>
      <c r="AI35" s="145">
        <f t="shared" ref="AI35:AI42" si="2">IF(AND($AA35="",AG35=""),"",$AA35-AG35)</f>
        <v>-7024.85</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v>1151.4375</v>
      </c>
      <c r="AE36" s="144">
        <f>IF(AD36=0,"",IFERROR(AD36/AD$19,""))</f>
        <v>3.3919941058878078E-3</v>
      </c>
      <c r="AF36" s="145">
        <f t="shared" si="1"/>
        <v>-1151.4375</v>
      </c>
      <c r="AG36" s="143">
        <v>633</v>
      </c>
      <c r="AH36" s="144">
        <f>IF(AG36=0,"",IFERROR(AG36/AG$19,""))</f>
        <v>4.2271483897369381E-3</v>
      </c>
      <c r="AI36" s="145">
        <f t="shared" si="2"/>
        <v>-633</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v>35</v>
      </c>
      <c r="AH37" s="144">
        <f>IF(AG37=0,"",IFERROR(AG37/AG$19,""))</f>
        <v>2.3372858395069956E-4</v>
      </c>
      <c r="AI37" s="145">
        <f t="shared" si="2"/>
        <v>-35</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v>110</v>
      </c>
      <c r="Z38" s="217"/>
      <c r="AA38" s="217">
        <f t="shared" si="0"/>
        <v>110</v>
      </c>
      <c r="AB38" s="219">
        <f>IF(AA38=0,"",IFERROR(AA38/AA$19,""))</f>
        <v>1.9403118448029931E-4</v>
      </c>
      <c r="AC38" s="140"/>
      <c r="AD38" s="217">
        <v>1151.4375</v>
      </c>
      <c r="AE38" s="219">
        <f>IF(AD38=0,"",IFERROR(AD38/AD$19,""))</f>
        <v>3.3919941058878078E-3</v>
      </c>
      <c r="AF38" s="220">
        <f t="shared" si="1"/>
        <v>-1041.4375</v>
      </c>
      <c r="AG38" s="217">
        <v>348</v>
      </c>
      <c r="AH38" s="219">
        <f>IF(AG38=0,"",IFERROR(AG38/AG$19,""))</f>
        <v>2.3239299204240987E-3</v>
      </c>
      <c r="AI38" s="220">
        <f t="shared" si="2"/>
        <v>-238</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v>110</v>
      </c>
      <c r="Z39" s="166"/>
      <c r="AA39" s="166">
        <f t="shared" si="0"/>
        <v>110</v>
      </c>
      <c r="AB39" s="167">
        <f>IF(AA39=0,"",IFERROR(AA39/AA$19,""))</f>
        <v>1.9403118448029931E-4</v>
      </c>
      <c r="AC39" s="140"/>
      <c r="AD39" s="166">
        <v>23028.75</v>
      </c>
      <c r="AE39" s="167">
        <f>IF(AD39=0,"",IFERROR(AD39/AD$19,""))</f>
        <v>6.7839882117756156E-2</v>
      </c>
      <c r="AF39" s="168">
        <f t="shared" si="1"/>
        <v>-22918.75</v>
      </c>
      <c r="AG39" s="166">
        <v>8040.85</v>
      </c>
      <c r="AH39" s="167">
        <f>IF(AG39=0,"",IFERROR(AG39/AG$19,""))</f>
        <v>5.3696470978856652E-2</v>
      </c>
      <c r="AI39" s="168">
        <f t="shared" si="2"/>
        <v>-7930.85</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v>1</v>
      </c>
      <c r="Z40" s="210"/>
      <c r="AA40" s="210">
        <f t="shared" si="0"/>
        <v>1</v>
      </c>
      <c r="AB40" s="211"/>
      <c r="AC40" s="140"/>
      <c r="AD40" s="210">
        <v>365</v>
      </c>
      <c r="AE40" s="211"/>
      <c r="AF40" s="253">
        <f t="shared" si="1"/>
        <v>-364</v>
      </c>
      <c r="AG40" s="210">
        <v>52</v>
      </c>
      <c r="AH40" s="211"/>
      <c r="AI40" s="253">
        <f t="shared" si="2"/>
        <v>-51</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v>1035</v>
      </c>
      <c r="AE41" s="211">
        <f>IF(AD41=0,"",IFERROR(AD41/AD$87,""))</f>
        <v>6.9046030687124754E-2</v>
      </c>
      <c r="AF41" s="253">
        <f t="shared" si="1"/>
        <v>-1035</v>
      </c>
      <c r="AG41" s="210">
        <v>456</v>
      </c>
      <c r="AH41" s="211">
        <f>IF(AG41=0,"",IFERROR(AG41/AG$87,""))</f>
        <v>6.2346185397867106E-2</v>
      </c>
      <c r="AI41" s="253">
        <f t="shared" si="2"/>
        <v>-456</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v>22.25</v>
      </c>
      <c r="AE42" s="495"/>
      <c r="AF42" s="496" t="e">
        <f t="shared" si="1"/>
        <v>#VALUE!</v>
      </c>
      <c r="AG42" s="495">
        <v>17.633442982456099</v>
      </c>
      <c r="AH42" s="495"/>
      <c r="AI42" s="496" t="e">
        <f t="shared" si="2"/>
        <v>#VALUE!</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22.25</v>
      </c>
      <c r="AE43" s="498"/>
      <c r="AF43" s="159"/>
      <c r="AG43" s="497">
        <f>ROUND(IFERROR(AG39/AG41,0),2)</f>
        <v>17.63</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v>6928.6</v>
      </c>
      <c r="P45" s="143">
        <v>10037</v>
      </c>
      <c r="Q45" s="143">
        <v>13662</v>
      </c>
      <c r="R45" s="143">
        <v>15626.7</v>
      </c>
      <c r="S45" s="143">
        <v>16617</v>
      </c>
      <c r="T45" s="143">
        <v>13416.5</v>
      </c>
      <c r="U45" s="143">
        <v>16679</v>
      </c>
      <c r="V45" s="143">
        <v>11439.72</v>
      </c>
      <c r="W45" s="143">
        <v>7771.86</v>
      </c>
      <c r="X45" s="143">
        <v>11581.5</v>
      </c>
      <c r="Y45" s="143">
        <v>11192</v>
      </c>
      <c r="Z45" s="143">
        <v>5525.5</v>
      </c>
      <c r="AA45" s="143">
        <f t="shared" ref="AA45:AA51" si="5">SUM(O45:Z45)</f>
        <v>140477.38</v>
      </c>
      <c r="AB45" s="144">
        <f>IF(AA45=0,"",IFERROR(AA45/AA$19,""))</f>
        <v>0.24779084030990101</v>
      </c>
      <c r="AC45" s="140"/>
      <c r="AD45" s="143">
        <v>77333.895000000004</v>
      </c>
      <c r="AE45" s="144">
        <f>IF(AD45=0,"",IFERROR(AD45/AD$19,""))</f>
        <v>0.22781620020656496</v>
      </c>
      <c r="AF45" s="145">
        <f t="shared" ref="AF45:AF52" si="6">IF(AND($AA45="",AD45=""),"",$AA45-AD45)</f>
        <v>63143.485000000001</v>
      </c>
      <c r="AG45" s="143">
        <v>21171.040000000001</v>
      </c>
      <c r="AH45" s="144">
        <f>IF(AG45=0,"",IFERROR(AG45/AG$19,""))</f>
        <v>0.14137934857038911</v>
      </c>
      <c r="AI45" s="145">
        <f t="shared" ref="AI45:AI52" si="7">IF(AND($AA45="",AG45=""),"",$AA45-AG45)</f>
        <v>119306.34</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v>8069.15</v>
      </c>
      <c r="P46" s="143">
        <v>12996.06</v>
      </c>
      <c r="Q46" s="143">
        <v>19916.8</v>
      </c>
      <c r="R46" s="143">
        <v>28066.36</v>
      </c>
      <c r="S46" s="143">
        <v>30038.2</v>
      </c>
      <c r="T46" s="143">
        <v>27383.3</v>
      </c>
      <c r="U46" s="143">
        <v>28717.8</v>
      </c>
      <c r="V46" s="143">
        <v>21253.4</v>
      </c>
      <c r="W46" s="143">
        <v>15764</v>
      </c>
      <c r="X46" s="143">
        <v>19133</v>
      </c>
      <c r="Y46" s="143">
        <v>20358</v>
      </c>
      <c r="Z46" s="143">
        <v>8000.6</v>
      </c>
      <c r="AA46" s="143">
        <f t="shared" si="5"/>
        <v>239696.66999999998</v>
      </c>
      <c r="AB46" s="144">
        <f>IF(AA46=0,"",IFERROR(AA46/AA$19,""))</f>
        <v>0.4228057163280311</v>
      </c>
      <c r="AC46" s="140"/>
      <c r="AD46" s="143">
        <v>83439.202499999999</v>
      </c>
      <c r="AE46" s="144">
        <f>IF(AD46=0,"",IFERROR(AD46/AD$19,""))</f>
        <v>0.24580168969655689</v>
      </c>
      <c r="AF46" s="145">
        <f t="shared" si="6"/>
        <v>156257.46749999997</v>
      </c>
      <c r="AG46" s="143">
        <v>16258</v>
      </c>
      <c r="AH46" s="144">
        <f>IF(AG46=0,"",IFERROR(AG46/AG$19,""))</f>
        <v>0.10857026622487068</v>
      </c>
      <c r="AI46" s="145">
        <f t="shared" si="7"/>
        <v>223438.66999999998</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v>612.79999999999995</v>
      </c>
      <c r="P47" s="143">
        <v>1124</v>
      </c>
      <c r="Q47" s="143">
        <v>1737</v>
      </c>
      <c r="R47" s="143">
        <v>2501.1999999999998</v>
      </c>
      <c r="S47" s="143">
        <v>2542</v>
      </c>
      <c r="T47" s="143">
        <v>1899.2</v>
      </c>
      <c r="U47" s="143">
        <v>2056</v>
      </c>
      <c r="V47" s="143">
        <v>1536</v>
      </c>
      <c r="W47" s="143">
        <v>1152</v>
      </c>
      <c r="X47" s="143">
        <v>2200.6</v>
      </c>
      <c r="Y47" s="143">
        <v>2798</v>
      </c>
      <c r="Z47" s="143">
        <v>1282</v>
      </c>
      <c r="AA47" s="143">
        <f t="shared" si="5"/>
        <v>21440.799999999999</v>
      </c>
      <c r="AB47" s="144">
        <f>IF(AA47=0,"",IFERROR(AA47/AA$19,""))</f>
        <v>3.7819852910956374E-2</v>
      </c>
      <c r="AC47" s="140"/>
      <c r="AD47" s="143">
        <v>24421.23</v>
      </c>
      <c r="AE47" s="144">
        <f>IF(AD47=0,"",IFERROR(AD47/AD$19,""))</f>
        <v>7.194195795996787E-2</v>
      </c>
      <c r="AF47" s="145">
        <f t="shared" si="6"/>
        <v>-2980.4300000000003</v>
      </c>
      <c r="AG47" s="143">
        <v>2345</v>
      </c>
      <c r="AH47" s="144">
        <f>IF(AG47=0,"",IFERROR(AG47/AG$19,""))</f>
        <v>1.5659815124696871E-2</v>
      </c>
      <c r="AI47" s="145">
        <f t="shared" si="7"/>
        <v>19095.8</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v>850</v>
      </c>
      <c r="P48" s="217">
        <v>1759</v>
      </c>
      <c r="Q48" s="217">
        <v>2664</v>
      </c>
      <c r="R48" s="217">
        <v>3068.6</v>
      </c>
      <c r="S48" s="217">
        <v>3938</v>
      </c>
      <c r="T48" s="217">
        <v>1892</v>
      </c>
      <c r="U48" s="217">
        <v>2784</v>
      </c>
      <c r="V48" s="217">
        <v>1520</v>
      </c>
      <c r="W48" s="217">
        <v>1579.74</v>
      </c>
      <c r="X48" s="217">
        <v>2308</v>
      </c>
      <c r="Y48" s="217">
        <v>4251</v>
      </c>
      <c r="Z48" s="217">
        <v>2908</v>
      </c>
      <c r="AA48" s="217">
        <f t="shared" si="5"/>
        <v>29522.34</v>
      </c>
      <c r="AB48" s="219">
        <f>IF(AA48=0,"",IFERROR(AA48/AA$19,""))</f>
        <v>5.2075041807546539E-2</v>
      </c>
      <c r="AC48" s="140"/>
      <c r="AD48" s="217">
        <v>18315.922500000001</v>
      </c>
      <c r="AE48" s="219">
        <f>IF(AD48=0,"",IFERROR(AD48/AD$19,""))</f>
        <v>5.3956468469975906E-2</v>
      </c>
      <c r="AF48" s="220">
        <f t="shared" si="6"/>
        <v>11206.4175</v>
      </c>
      <c r="AG48" s="217">
        <v>2184</v>
      </c>
      <c r="AH48" s="219">
        <f>IF(AG48=0,"",IFERROR(AG48/AG$19,""))</f>
        <v>1.4584663638523654E-2</v>
      </c>
      <c r="AI48" s="220">
        <f t="shared" si="7"/>
        <v>27338.34</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v>16460.55</v>
      </c>
      <c r="P49" s="166">
        <v>25916.06</v>
      </c>
      <c r="Q49" s="166">
        <v>37979.800000000003</v>
      </c>
      <c r="R49" s="166">
        <v>49262.86</v>
      </c>
      <c r="S49" s="166">
        <v>53135.199999999997</v>
      </c>
      <c r="T49" s="166">
        <v>44591</v>
      </c>
      <c r="U49" s="166">
        <v>50236.800000000003</v>
      </c>
      <c r="V49" s="166">
        <v>35749.120000000003</v>
      </c>
      <c r="W49" s="166">
        <v>26267.599999999999</v>
      </c>
      <c r="X49" s="166">
        <v>35223.1</v>
      </c>
      <c r="Y49" s="166">
        <v>38599</v>
      </c>
      <c r="Z49" s="166">
        <v>17716.099999999999</v>
      </c>
      <c r="AA49" s="166">
        <f t="shared" si="5"/>
        <v>431137.18999999994</v>
      </c>
      <c r="AB49" s="167">
        <f>IF(AA49=0,"",IFERROR(AA49/AA$19,""))</f>
        <v>0.76049145135643492</v>
      </c>
      <c r="AC49" s="140"/>
      <c r="AD49" s="166">
        <v>203510.25</v>
      </c>
      <c r="AE49" s="167">
        <f>IF(AD49=0,"",IFERROR(AD49/AD$19,""))</f>
        <v>0.59951631633306557</v>
      </c>
      <c r="AF49" s="168">
        <f t="shared" si="6"/>
        <v>227626.93999999994</v>
      </c>
      <c r="AG49" s="166">
        <v>41958.04</v>
      </c>
      <c r="AH49" s="167">
        <f>IF(AG49=0,"",IFERROR(AG49/AG$19,""))</f>
        <v>0.28019409355848029</v>
      </c>
      <c r="AI49" s="168">
        <f t="shared" si="7"/>
        <v>389179.14999999997</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v>23</v>
      </c>
      <c r="P50" s="210">
        <v>25</v>
      </c>
      <c r="Q50" s="210">
        <v>31</v>
      </c>
      <c r="R50" s="210">
        <v>30</v>
      </c>
      <c r="S50" s="210">
        <v>31</v>
      </c>
      <c r="T50" s="210">
        <v>30</v>
      </c>
      <c r="U50" s="210">
        <v>31</v>
      </c>
      <c r="V50" s="210">
        <v>31</v>
      </c>
      <c r="W50" s="210">
        <v>30</v>
      </c>
      <c r="X50" s="210">
        <v>31</v>
      </c>
      <c r="Y50" s="210">
        <v>30</v>
      </c>
      <c r="Z50" s="210">
        <v>13</v>
      </c>
      <c r="AA50" s="210">
        <f t="shared" si="5"/>
        <v>336</v>
      </c>
      <c r="AB50" s="211"/>
      <c r="AC50" s="140"/>
      <c r="AD50" s="210">
        <v>365</v>
      </c>
      <c r="AE50" s="211"/>
      <c r="AF50" s="253">
        <f t="shared" si="6"/>
        <v>-29</v>
      </c>
      <c r="AG50" s="210">
        <v>72</v>
      </c>
      <c r="AH50" s="211"/>
      <c r="AI50" s="253">
        <f t="shared" si="7"/>
        <v>264</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v>838</v>
      </c>
      <c r="P51" s="210">
        <v>1208</v>
      </c>
      <c r="Q51" s="210">
        <v>1746</v>
      </c>
      <c r="R51" s="210">
        <v>2170</v>
      </c>
      <c r="S51" s="210">
        <v>2027</v>
      </c>
      <c r="T51" s="210">
        <v>1768</v>
      </c>
      <c r="U51" s="210">
        <v>1926</v>
      </c>
      <c r="V51" s="210">
        <v>1340</v>
      </c>
      <c r="W51" s="210">
        <v>944</v>
      </c>
      <c r="X51" s="210">
        <v>1255</v>
      </c>
      <c r="Y51" s="210">
        <v>1359</v>
      </c>
      <c r="Z51" s="210">
        <v>765</v>
      </c>
      <c r="AA51" s="210">
        <f t="shared" si="5"/>
        <v>17346</v>
      </c>
      <c r="AB51" s="211">
        <f>IF(AA51=0,"",IFERROR(AA51/AA$87,""))</f>
        <v>0.75519178022552136</v>
      </c>
      <c r="AC51" s="140"/>
      <c r="AD51" s="210">
        <v>8985</v>
      </c>
      <c r="AE51" s="211">
        <f>IF(AD51=0,"",IFERROR(AD51/AD$87,""))</f>
        <v>0.59939959973315549</v>
      </c>
      <c r="AF51" s="253">
        <f t="shared" si="6"/>
        <v>8361</v>
      </c>
      <c r="AG51" s="210">
        <v>2120</v>
      </c>
      <c r="AH51" s="211">
        <f>IF(AG51=0,"",IFERROR(AG51/AG$87,""))</f>
        <v>0.28985507246376813</v>
      </c>
      <c r="AI51" s="253">
        <f t="shared" si="7"/>
        <v>15226</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19.642661097851999</v>
      </c>
      <c r="P52" s="495">
        <v>21.453692052980099</v>
      </c>
      <c r="Q52" s="495">
        <v>21.7524627720504</v>
      </c>
      <c r="R52" s="495">
        <v>22.7017788018433</v>
      </c>
      <c r="S52" s="495">
        <v>26.2137148495313</v>
      </c>
      <c r="T52" s="495">
        <v>25.221153846153801</v>
      </c>
      <c r="U52" s="495">
        <v>26.083489096573199</v>
      </c>
      <c r="V52" s="495">
        <v>26.678447761194001</v>
      </c>
      <c r="W52" s="495">
        <v>27.825847457627098</v>
      </c>
      <c r="X52" s="495">
        <v>28.0662151394422</v>
      </c>
      <c r="Y52" s="495">
        <v>28.402501839587899</v>
      </c>
      <c r="Z52" s="495">
        <v>23.1583006535948</v>
      </c>
      <c r="AA52" s="495">
        <f>IFERROR(AA49/AA51,"")</f>
        <v>24.855136054421767</v>
      </c>
      <c r="AB52" s="495"/>
      <c r="AC52" s="140"/>
      <c r="AD52" s="495">
        <v>22.65</v>
      </c>
      <c r="AE52" s="495"/>
      <c r="AF52" s="496">
        <f t="shared" si="6"/>
        <v>2.205136054421768</v>
      </c>
      <c r="AG52" s="495">
        <v>19.7915283018868</v>
      </c>
      <c r="AH52" s="495"/>
      <c r="AI52" s="496">
        <f t="shared" si="7"/>
        <v>5.063607752534967</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19.64</v>
      </c>
      <c r="P53" s="498">
        <f t="shared" si="8"/>
        <v>21.45</v>
      </c>
      <c r="Q53" s="498">
        <f t="shared" si="8"/>
        <v>21.75</v>
      </c>
      <c r="R53" s="498">
        <f t="shared" si="8"/>
        <v>22.7</v>
      </c>
      <c r="S53" s="498">
        <f t="shared" si="8"/>
        <v>26.21</v>
      </c>
      <c r="T53" s="498">
        <f t="shared" si="8"/>
        <v>25.22</v>
      </c>
      <c r="U53" s="498">
        <f t="shared" si="8"/>
        <v>26.08</v>
      </c>
      <c r="V53" s="498">
        <f t="shared" si="8"/>
        <v>26.68</v>
      </c>
      <c r="W53" s="498">
        <f t="shared" si="8"/>
        <v>27.83</v>
      </c>
      <c r="X53" s="498">
        <f t="shared" si="8"/>
        <v>28.07</v>
      </c>
      <c r="Y53" s="498">
        <f t="shared" si="8"/>
        <v>28.4</v>
      </c>
      <c r="Z53" s="498">
        <f t="shared" si="8"/>
        <v>23.16</v>
      </c>
      <c r="AA53" s="498">
        <f t="shared" si="8"/>
        <v>24.86</v>
      </c>
      <c r="AB53" s="499"/>
      <c r="AC53" s="140"/>
      <c r="AD53" s="497">
        <f>ROUND(IFERROR(AD49/AD51,0),2)</f>
        <v>22.65</v>
      </c>
      <c r="AE53" s="498"/>
      <c r="AF53" s="159"/>
      <c r="AG53" s="497">
        <f>ROUND(IFERROR(AG49/AG51,0),2)</f>
        <v>19.79</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v>280</v>
      </c>
      <c r="S55" s="143">
        <v>-280</v>
      </c>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v>2300.5100000000002</v>
      </c>
      <c r="AH55" s="144">
        <f>IF(AG55=0,"",IFERROR(AG55/AG$19,""))</f>
        <v>1.5362712704697827E-2</v>
      </c>
      <c r="AI55" s="145">
        <f t="shared" ref="AI55:AI62" si="12">IF(AND($AA55="",AG55=""),"",$AA55-AG55)</f>
        <v>-2300.5100000000002</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v>899.2</v>
      </c>
      <c r="S56" s="143">
        <v>-899.2</v>
      </c>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v>6852</v>
      </c>
      <c r="AH56" s="144">
        <f>IF(AG56=0,"",IFERROR(AG56/AG$19,""))</f>
        <v>4.5757378778005529E-2</v>
      </c>
      <c r="AI56" s="145">
        <f t="shared" si="12"/>
        <v>-6852</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v>36</v>
      </c>
      <c r="S57" s="143">
        <v>-36</v>
      </c>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v>308</v>
      </c>
      <c r="AH57" s="144">
        <f>IF(AG57=0,"",IFERROR(AG57/AG$19,""))</f>
        <v>2.0568115387661562E-3</v>
      </c>
      <c r="AI57" s="145">
        <f t="shared" si="12"/>
        <v>-308</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v>88</v>
      </c>
      <c r="S58" s="217">
        <v>-88</v>
      </c>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v>458</v>
      </c>
      <c r="AH58" s="219">
        <f>IF(AG58=0,"",IFERROR(AG58/AG$19,""))</f>
        <v>3.0585054699834402E-3</v>
      </c>
      <c r="AI58" s="220">
        <f t="shared" si="12"/>
        <v>-458</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v>1303.2</v>
      </c>
      <c r="S59" s="166">
        <v>-1303.2</v>
      </c>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v>9918.51</v>
      </c>
      <c r="AH59" s="167">
        <f>IF(AG59=0,"",IFERROR(AG59/AG$19,""))</f>
        <v>6.6235408491452943E-2</v>
      </c>
      <c r="AI59" s="168">
        <f t="shared" si="12"/>
        <v>-9918.51</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v>3</v>
      </c>
      <c r="S60" s="210">
        <v>-3</v>
      </c>
      <c r="T60" s="210"/>
      <c r="U60" s="210"/>
      <c r="V60" s="210"/>
      <c r="W60" s="210"/>
      <c r="X60" s="210"/>
      <c r="Y60" s="210"/>
      <c r="Z60" s="210"/>
      <c r="AA60" s="210">
        <f t="shared" si="10"/>
        <v>0</v>
      </c>
      <c r="AB60" s="211"/>
      <c r="AC60" s="140"/>
      <c r="AD60" s="210"/>
      <c r="AE60" s="211"/>
      <c r="AF60" s="253">
        <f t="shared" si="11"/>
        <v>0</v>
      </c>
      <c r="AG60" s="210">
        <v>17</v>
      </c>
      <c r="AH60" s="211"/>
      <c r="AI60" s="253">
        <f t="shared" si="12"/>
        <v>-17</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v>57</v>
      </c>
      <c r="S61" s="210">
        <v>-57</v>
      </c>
      <c r="T61" s="210"/>
      <c r="U61" s="210"/>
      <c r="V61" s="210"/>
      <c r="W61" s="210">
        <v>1</v>
      </c>
      <c r="X61" s="210"/>
      <c r="Y61" s="210"/>
      <c r="Z61" s="210"/>
      <c r="AA61" s="210">
        <f t="shared" si="10"/>
        <v>1</v>
      </c>
      <c r="AB61" s="211">
        <f>IF(AA61=0,"",IFERROR(AA61/AA$87,""))</f>
        <v>4.3536941094518698E-5</v>
      </c>
      <c r="AC61" s="140"/>
      <c r="AD61" s="210"/>
      <c r="AE61" s="211" t="str">
        <f>IF(AD61=0,"",IFERROR(AD61/AD$87,""))</f>
        <v/>
      </c>
      <c r="AF61" s="253">
        <f t="shared" si="11"/>
        <v>1</v>
      </c>
      <c r="AG61" s="210">
        <v>491</v>
      </c>
      <c r="AH61" s="211">
        <f>IF(AG61=0,"",IFERROR(AG61/AG$87,""))</f>
        <v>6.713152857533497E-2</v>
      </c>
      <c r="AI61" s="253">
        <f t="shared" si="12"/>
        <v>-490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v>22.863157894736801</v>
      </c>
      <c r="S62" s="495">
        <v>22.863157894736801</v>
      </c>
      <c r="T62" s="495"/>
      <c r="U62" s="495"/>
      <c r="V62" s="495"/>
      <c r="W62" s="495"/>
      <c r="X62" s="495"/>
      <c r="Y62" s="495"/>
      <c r="Z62" s="495"/>
      <c r="AA62" s="495">
        <f>IFERROR(AA59/AA61,"")</f>
        <v>0</v>
      </c>
      <c r="AB62" s="495"/>
      <c r="AC62" s="140"/>
      <c r="AD62" s="495"/>
      <c r="AE62" s="495"/>
      <c r="AF62" s="496">
        <f t="shared" si="11"/>
        <v>0</v>
      </c>
      <c r="AG62" s="495">
        <v>20.200631364562099</v>
      </c>
      <c r="AH62" s="495"/>
      <c r="AI62" s="496">
        <f t="shared" si="12"/>
        <v>-20.200631364562099</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22.86</v>
      </c>
      <c r="S63" s="498">
        <f t="shared" si="13"/>
        <v>22.86</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20.2</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v>1597.4</v>
      </c>
      <c r="P65" s="143">
        <v>4973.01</v>
      </c>
      <c r="Q65" s="143">
        <v>3519.5</v>
      </c>
      <c r="R65" s="143">
        <v>1230.01</v>
      </c>
      <c r="S65" s="143">
        <v>1581</v>
      </c>
      <c r="T65" s="143">
        <v>1583.2</v>
      </c>
      <c r="U65" s="143">
        <v>1077</v>
      </c>
      <c r="V65" s="143">
        <v>425.5</v>
      </c>
      <c r="W65" s="143">
        <v>548.74</v>
      </c>
      <c r="X65" s="143">
        <v>934</v>
      </c>
      <c r="Y65" s="143">
        <v>487</v>
      </c>
      <c r="Z65" s="143">
        <v>5173.95</v>
      </c>
      <c r="AA65" s="143">
        <f t="shared" ref="AA65:AA71" si="15">SUM(O65:Z65)</f>
        <v>23130.31</v>
      </c>
      <c r="AB65" s="144">
        <f>IF(AA65=0,"",IFERROR(AA65/AA$19,""))</f>
        <v>4.0800013151786475E-2</v>
      </c>
      <c r="AC65" s="140"/>
      <c r="AD65" s="143">
        <v>18066.944</v>
      </c>
      <c r="AE65" s="144">
        <f>IF(AD65=0,"",IFERROR(AD65/AD$19,""))</f>
        <v>5.3223008247868506E-2</v>
      </c>
      <c r="AF65" s="145">
        <f t="shared" ref="AF65:AF72" si="16">IF(AND($AA65="",AD65=""),"",$AA65-AD65)</f>
        <v>5063.3660000000018</v>
      </c>
      <c r="AG65" s="143">
        <v>13907.5</v>
      </c>
      <c r="AH65" s="144">
        <f>IF(AG65=0,"",IFERROR(AG65/AG$19,""))</f>
        <v>9.2873722322695834E-2</v>
      </c>
      <c r="AI65" s="145">
        <f t="shared" ref="AI65:AI72" si="17">IF(AND($AA65="",AG65=""),"",$AA65-AG65)</f>
        <v>9222.8100000000013</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v>4090</v>
      </c>
      <c r="P66" s="143">
        <v>13699</v>
      </c>
      <c r="Q66" s="143">
        <v>11935.2</v>
      </c>
      <c r="R66" s="143">
        <v>7631.8</v>
      </c>
      <c r="S66" s="143">
        <v>7830.65</v>
      </c>
      <c r="T66" s="143">
        <v>8912</v>
      </c>
      <c r="U66" s="143">
        <v>6891.34</v>
      </c>
      <c r="V66" s="143">
        <v>1999</v>
      </c>
      <c r="W66" s="143">
        <v>2578.2600000000002</v>
      </c>
      <c r="X66" s="143">
        <v>4742</v>
      </c>
      <c r="Y66" s="143">
        <v>5236</v>
      </c>
      <c r="Z66" s="143">
        <v>15177.47</v>
      </c>
      <c r="AA66" s="143">
        <f t="shared" si="15"/>
        <v>90722.72</v>
      </c>
      <c r="AB66" s="144">
        <f>IF(AA66=0,"",IFERROR(AA66/AA$19,""))</f>
        <v>0.16002760746249581</v>
      </c>
      <c r="AC66" s="140"/>
      <c r="AD66" s="143">
        <v>64363.487999999998</v>
      </c>
      <c r="AE66" s="144">
        <f>IF(AD66=0,"",IFERROR(AD66/AD$19,""))</f>
        <v>0.18960696688303155</v>
      </c>
      <c r="AF66" s="145">
        <f t="shared" si="16"/>
        <v>26359.232000000004</v>
      </c>
      <c r="AG66" s="143">
        <v>47348.84</v>
      </c>
      <c r="AH66" s="144">
        <f>IF(AG66=0,"",IFERROR(AG66/AG$19,""))</f>
        <v>0.31619363785452115</v>
      </c>
      <c r="AI66" s="145">
        <f t="shared" si="17"/>
        <v>43373.880000000005</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v>391</v>
      </c>
      <c r="P67" s="143">
        <v>1022</v>
      </c>
      <c r="Q67" s="143">
        <v>946.9</v>
      </c>
      <c r="R67" s="143">
        <v>678</v>
      </c>
      <c r="S67" s="143">
        <v>634</v>
      </c>
      <c r="T67" s="143">
        <v>438</v>
      </c>
      <c r="U67" s="143">
        <v>431</v>
      </c>
      <c r="V67" s="143">
        <v>145</v>
      </c>
      <c r="W67" s="143">
        <v>151</v>
      </c>
      <c r="X67" s="143">
        <v>295</v>
      </c>
      <c r="Y67" s="143">
        <v>614</v>
      </c>
      <c r="Z67" s="143">
        <v>1743.58</v>
      </c>
      <c r="AA67" s="143">
        <f t="shared" si="15"/>
        <v>7489.48</v>
      </c>
      <c r="AB67" s="144">
        <f>IF(AA67=0,"",IFERROR(AA67/AA$19,""))</f>
        <v>1.3210842504922837E-2</v>
      </c>
      <c r="AC67" s="140"/>
      <c r="AD67" s="143">
        <v>10162.656000000001</v>
      </c>
      <c r="AE67" s="144">
        <f>IF(AD67=0,"",IFERROR(AD67/AD$19,""))</f>
        <v>2.9937942139426039E-2</v>
      </c>
      <c r="AF67" s="145">
        <f t="shared" si="16"/>
        <v>-2673.1760000000013</v>
      </c>
      <c r="AG67" s="143">
        <v>7586.51</v>
      </c>
      <c r="AH67" s="144">
        <f>IF(AG67=0,"",IFERROR(AG67/AG$19,""))</f>
        <v>5.0662406840794913E-2</v>
      </c>
      <c r="AI67" s="145">
        <f t="shared" si="17"/>
        <v>-97.030000000000655</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v>801.33</v>
      </c>
      <c r="P68" s="217">
        <v>2497.1999999999998</v>
      </c>
      <c r="Q68" s="217">
        <v>1639</v>
      </c>
      <c r="R68" s="217">
        <v>1129</v>
      </c>
      <c r="S68" s="217">
        <v>830</v>
      </c>
      <c r="T68" s="217">
        <v>928</v>
      </c>
      <c r="U68" s="217">
        <v>735</v>
      </c>
      <c r="V68" s="217">
        <v>196</v>
      </c>
      <c r="W68" s="217">
        <v>257</v>
      </c>
      <c r="X68" s="217">
        <v>664.5</v>
      </c>
      <c r="Y68" s="217">
        <v>1555</v>
      </c>
      <c r="Z68" s="217">
        <v>3504</v>
      </c>
      <c r="AA68" s="217">
        <f t="shared" si="15"/>
        <v>14736.029999999999</v>
      </c>
      <c r="AB68" s="219">
        <f>IF(AA68=0,"",IFERROR(AA68/AA$19,""))</f>
        <v>2.5993175958520225E-2</v>
      </c>
      <c r="AC68" s="140"/>
      <c r="AD68" s="217">
        <v>20325.312000000002</v>
      </c>
      <c r="AE68" s="219">
        <f>IF(AD68=0,"",IFERROR(AD68/AD$19,""))</f>
        <v>5.9875884278852078E-2</v>
      </c>
      <c r="AF68" s="220">
        <f t="shared" si="16"/>
        <v>-5589.2820000000029</v>
      </c>
      <c r="AG68" s="217">
        <v>14377.69</v>
      </c>
      <c r="AH68" s="219">
        <f>IF(AG68=0,"",IFERROR(AG68/AG$19,""))</f>
        <v>9.6013632119489531E-2</v>
      </c>
      <c r="AI68" s="220">
        <f t="shared" si="17"/>
        <v>358.33999999999833</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v>6879.73</v>
      </c>
      <c r="P69" s="166">
        <v>22191.21</v>
      </c>
      <c r="Q69" s="166">
        <v>18040.599999999999</v>
      </c>
      <c r="R69" s="166">
        <v>10668.81</v>
      </c>
      <c r="S69" s="166">
        <v>10875.65</v>
      </c>
      <c r="T69" s="166">
        <v>11861.2</v>
      </c>
      <c r="U69" s="166">
        <v>9134.34</v>
      </c>
      <c r="V69" s="166">
        <v>2765.5</v>
      </c>
      <c r="W69" s="166">
        <v>3535</v>
      </c>
      <c r="X69" s="166">
        <v>6635.5</v>
      </c>
      <c r="Y69" s="166">
        <v>7892</v>
      </c>
      <c r="Z69" s="166">
        <v>25599</v>
      </c>
      <c r="AA69" s="166">
        <f t="shared" si="15"/>
        <v>136078.53999999998</v>
      </c>
      <c r="AB69" s="167">
        <f>IF(AA69=0,"",IFERROR(AA69/AA$19,""))</f>
        <v>0.24003163907772532</v>
      </c>
      <c r="AC69" s="140"/>
      <c r="AD69" s="166">
        <v>112918.39999999999</v>
      </c>
      <c r="AE69" s="167">
        <f>IF(AD69=0,"",IFERROR(AD69/AD$19,""))</f>
        <v>0.33264380154917816</v>
      </c>
      <c r="AF69" s="168">
        <f t="shared" si="16"/>
        <v>23160.139999999985</v>
      </c>
      <c r="AG69" s="166">
        <v>83220.539999999994</v>
      </c>
      <c r="AH69" s="167">
        <f>IF(AG69=0,"",IFERROR(AG69/AG$19,""))</f>
        <v>0.55574339913750148</v>
      </c>
      <c r="AI69" s="168">
        <f t="shared" si="17"/>
        <v>52857.999999999985</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v>21</v>
      </c>
      <c r="P70" s="210">
        <v>25</v>
      </c>
      <c r="Q70" s="210">
        <v>24</v>
      </c>
      <c r="R70" s="210">
        <v>24</v>
      </c>
      <c r="S70" s="210">
        <v>25</v>
      </c>
      <c r="T70" s="210">
        <v>22</v>
      </c>
      <c r="U70" s="210">
        <v>23</v>
      </c>
      <c r="V70" s="210">
        <v>20</v>
      </c>
      <c r="W70" s="210">
        <v>14</v>
      </c>
      <c r="X70" s="210">
        <v>23</v>
      </c>
      <c r="Y70" s="210">
        <v>28</v>
      </c>
      <c r="Z70" s="210">
        <v>31</v>
      </c>
      <c r="AA70" s="210">
        <f t="shared" si="15"/>
        <v>280</v>
      </c>
      <c r="AB70" s="211"/>
      <c r="AC70" s="140"/>
      <c r="AD70" s="210">
        <v>365</v>
      </c>
      <c r="AE70" s="211"/>
      <c r="AF70" s="253">
        <f t="shared" si="16"/>
        <v>-85</v>
      </c>
      <c r="AG70" s="210">
        <v>96</v>
      </c>
      <c r="AH70" s="211"/>
      <c r="AI70" s="253">
        <f t="shared" si="17"/>
        <v>184</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v>399</v>
      </c>
      <c r="P71" s="210">
        <v>1015</v>
      </c>
      <c r="Q71" s="210">
        <v>857</v>
      </c>
      <c r="R71" s="210">
        <v>418</v>
      </c>
      <c r="S71" s="210">
        <v>417</v>
      </c>
      <c r="T71" s="210">
        <v>457</v>
      </c>
      <c r="U71" s="210">
        <v>402</v>
      </c>
      <c r="V71" s="210">
        <v>120</v>
      </c>
      <c r="W71" s="210">
        <v>127</v>
      </c>
      <c r="X71" s="210">
        <v>251</v>
      </c>
      <c r="Y71" s="210">
        <v>271</v>
      </c>
      <c r="Z71" s="210">
        <v>888</v>
      </c>
      <c r="AA71" s="210">
        <f t="shared" si="15"/>
        <v>5622</v>
      </c>
      <c r="AB71" s="211">
        <f>IF(AA71=0,"",IFERROR(AA71/AA$87,""))</f>
        <v>0.24476468283338412</v>
      </c>
      <c r="AC71" s="140"/>
      <c r="AD71" s="210">
        <v>4970</v>
      </c>
      <c r="AE71" s="211">
        <f>IF(AD71=0,"",IFERROR(AD71/AD$87,""))</f>
        <v>0.33155436957971979</v>
      </c>
      <c r="AF71" s="253">
        <f t="shared" si="16"/>
        <v>652</v>
      </c>
      <c r="AG71" s="210">
        <v>4097</v>
      </c>
      <c r="AH71" s="211">
        <f>IF(AG71=0,"",IFERROR(AG71/AG$87,""))</f>
        <v>0.56015859994531036</v>
      </c>
      <c r="AI71" s="253">
        <f t="shared" si="17"/>
        <v>1525</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v>17.242431077694199</v>
      </c>
      <c r="P72" s="495">
        <v>21.863261083743801</v>
      </c>
      <c r="Q72" s="495">
        <v>21.050875145857599</v>
      </c>
      <c r="R72" s="495">
        <v>25.5234688995215</v>
      </c>
      <c r="S72" s="495">
        <v>26.080695443645102</v>
      </c>
      <c r="T72" s="495">
        <v>25.954485776805299</v>
      </c>
      <c r="U72" s="495">
        <v>22.7222388059702</v>
      </c>
      <c r="V72" s="495">
        <v>23.045833333333299</v>
      </c>
      <c r="W72" s="495">
        <v>27.834645669291302</v>
      </c>
      <c r="X72" s="495">
        <v>26.436254980079699</v>
      </c>
      <c r="Y72" s="495">
        <v>29.121771217712201</v>
      </c>
      <c r="Z72" s="495">
        <v>28.827702702702702</v>
      </c>
      <c r="AA72" s="495">
        <f>IFERROR(AA69/AA71,"")</f>
        <v>24.204649590892917</v>
      </c>
      <c r="AB72" s="495"/>
      <c r="AC72" s="140"/>
      <c r="AD72" s="495">
        <v>22.72</v>
      </c>
      <c r="AE72" s="495"/>
      <c r="AF72" s="496">
        <f t="shared" si="16"/>
        <v>1.4846495908929178</v>
      </c>
      <c r="AG72" s="495">
        <v>20.3125555284354</v>
      </c>
      <c r="AH72" s="495"/>
      <c r="AI72" s="496">
        <f t="shared" si="17"/>
        <v>3.8920940624575167</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17.239999999999998</v>
      </c>
      <c r="P73" s="498">
        <f t="shared" si="18"/>
        <v>21.86</v>
      </c>
      <c r="Q73" s="498">
        <f t="shared" si="18"/>
        <v>21.05</v>
      </c>
      <c r="R73" s="498">
        <f t="shared" si="18"/>
        <v>25.52</v>
      </c>
      <c r="S73" s="498">
        <f t="shared" si="18"/>
        <v>26.08</v>
      </c>
      <c r="T73" s="498">
        <f t="shared" si="18"/>
        <v>25.95</v>
      </c>
      <c r="U73" s="498">
        <f t="shared" si="18"/>
        <v>22.72</v>
      </c>
      <c r="V73" s="498">
        <f t="shared" si="18"/>
        <v>23.05</v>
      </c>
      <c r="W73" s="498">
        <f t="shared" si="18"/>
        <v>27.83</v>
      </c>
      <c r="X73" s="498">
        <f t="shared" si="18"/>
        <v>26.44</v>
      </c>
      <c r="Y73" s="498">
        <f t="shared" si="18"/>
        <v>29.12</v>
      </c>
      <c r="Z73" s="498">
        <f t="shared" si="18"/>
        <v>28.83</v>
      </c>
      <c r="AA73" s="498">
        <f t="shared" si="18"/>
        <v>24.2</v>
      </c>
      <c r="AB73" s="499"/>
      <c r="AC73" s="140"/>
      <c r="AD73" s="497">
        <f>ROUND(IFERROR(AD69/AD71,0),2)</f>
        <v>22.72</v>
      </c>
      <c r="AE73" s="498"/>
      <c r="AF73" s="159"/>
      <c r="AG73" s="497">
        <f>ROUND(IFERROR(AG69/AG71,0),2)</f>
        <v>20.309999999999999</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b">
        <f t="shared" si="19"/>
        <v>1</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v>4050</v>
      </c>
      <c r="AH75" s="144">
        <f>IF(AG75=0,"",IFERROR(AG75/AG$19,""))</f>
        <v>2.7045736142866664E-2</v>
      </c>
      <c r="AI75" s="145">
        <f t="shared" ref="AI75:AI81" si="22">IF(AND($AA75="",AG75=""),"",$AA75-AG75)</f>
        <v>-4050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v>2214</v>
      </c>
      <c r="AH76" s="144">
        <f>IF(AG76=0,"",IFERROR(AG76/AG$19,""))</f>
        <v>1.4785002424767111E-2</v>
      </c>
      <c r="AI76" s="145">
        <f t="shared" si="22"/>
        <v>-2214</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v>748</v>
      </c>
      <c r="AH77" s="144">
        <f>IF(AG77=0,"",IFERROR(AG77/AG$19,""))</f>
        <v>4.9951137370035223E-3</v>
      </c>
      <c r="AI77" s="145">
        <f t="shared" si="22"/>
        <v>-748</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v>40</v>
      </c>
      <c r="AH78" s="219">
        <f>IF(AG78=0,"",IFERROR(AG78/AG$19,""))</f>
        <v>2.6711838165794234E-4</v>
      </c>
      <c r="AI78" s="220">
        <f t="shared" si="22"/>
        <v>-40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v>7052</v>
      </c>
      <c r="AH79" s="167">
        <f>IF(AG79=0,"",IFERROR(AG79/AG$19,""))</f>
        <v>4.7092970686295241E-2</v>
      </c>
      <c r="AI79" s="168">
        <f t="shared" si="22"/>
        <v>-7052</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v>150</v>
      </c>
      <c r="AH80" s="211">
        <f>IF(AG80=0,"",IFERROR(AG80/AG$87,""))</f>
        <v>2.0508613617719443E-2</v>
      </c>
      <c r="AI80" s="253">
        <f t="shared" si="22"/>
        <v>-150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v>47.0133333333333</v>
      </c>
      <c r="AH81" s="495"/>
      <c r="AI81" s="496" t="e">
        <f t="shared" si="22"/>
        <v>#VALUE!</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47.01</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v>-406.55</v>
      </c>
      <c r="R83" s="143"/>
      <c r="S83" s="143"/>
      <c r="T83" s="143"/>
      <c r="U83" s="143"/>
      <c r="V83" s="143"/>
      <c r="W83" s="143"/>
      <c r="X83" s="143"/>
      <c r="Y83" s="143"/>
      <c r="Z83" s="143"/>
      <c r="AA83" s="143">
        <f>SUM(O83:Z83)</f>
        <v>-406.55</v>
      </c>
      <c r="AB83" s="144">
        <f>IF(AA83=0,"",IFERROR(AA83/AA$19,""))</f>
        <v>-7.1712161864059712E-4</v>
      </c>
      <c r="AC83" s="140"/>
      <c r="AD83" s="143"/>
      <c r="AE83" s="144" t="str">
        <f>IF(AD83=0,"",IFERROR(AD83/AD$19,""))</f>
        <v/>
      </c>
      <c r="AF83" s="145">
        <f>IF(AND($AA83="",AD83=""),"",$AA83-AD83)</f>
        <v>-406.55</v>
      </c>
      <c r="AG83" s="143">
        <v>-443.6</v>
      </c>
      <c r="AH83" s="144">
        <f>IF(AG83=0,"",IFERROR(AG83/AG$19,""))</f>
        <v>-2.9623428525865809E-3</v>
      </c>
      <c r="AI83" s="145">
        <f>IF(AND($AA83="",AG83=""),"",$AA83-AG83)</f>
        <v>37.050000000000011</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23340.28</v>
      </c>
      <c r="P85" s="507">
        <v>48107.27</v>
      </c>
      <c r="Q85" s="507">
        <v>55613.85</v>
      </c>
      <c r="R85" s="507">
        <v>61234.87</v>
      </c>
      <c r="S85" s="507">
        <v>62707.65</v>
      </c>
      <c r="T85" s="507">
        <v>56452.2</v>
      </c>
      <c r="U85" s="507">
        <v>59371.14</v>
      </c>
      <c r="V85" s="507">
        <v>38514.620000000003</v>
      </c>
      <c r="W85" s="507">
        <v>29802.6</v>
      </c>
      <c r="X85" s="507">
        <v>41858.6</v>
      </c>
      <c r="Y85" s="507">
        <v>46601</v>
      </c>
      <c r="Z85" s="507">
        <v>43315.1</v>
      </c>
      <c r="AA85" s="507">
        <f>SUM(O85:Z85)</f>
        <v>566919.17999999993</v>
      </c>
      <c r="AB85" s="508">
        <f>IF(AA85=0,"",IFERROR(AA85/AA$19,""))</f>
        <v>1</v>
      </c>
      <c r="AC85" s="140"/>
      <c r="AD85" s="507">
        <v>339457.4</v>
      </c>
      <c r="AE85" s="508">
        <f>IF(AD85=0,"",IFERROR(AD85/AD$19,""))</f>
        <v>1</v>
      </c>
      <c r="AF85" s="509">
        <f>IF(AND($AA85="",AD85=""),"",$AA85-AD85)</f>
        <v>227461.77999999991</v>
      </c>
      <c r="AG85" s="507">
        <v>149746.34</v>
      </c>
      <c r="AH85" s="508">
        <f>IF(AG85=0,"",IFERROR(AG85/AG$19,""))</f>
        <v>1</v>
      </c>
      <c r="AI85" s="509">
        <f>IF(AND($AA85="",AG85=""),"",$AA85-AG85)</f>
        <v>417172.83999999997</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v>55</v>
      </c>
      <c r="P86" s="507">
        <v>55</v>
      </c>
      <c r="Q86" s="507">
        <v>55</v>
      </c>
      <c r="R86" s="507">
        <v>55</v>
      </c>
      <c r="S86" s="507">
        <v>55</v>
      </c>
      <c r="T86" s="507">
        <v>55</v>
      </c>
      <c r="U86" s="507">
        <v>55</v>
      </c>
      <c r="V86" s="507">
        <v>55</v>
      </c>
      <c r="W86" s="507">
        <v>55</v>
      </c>
      <c r="X86" s="507">
        <v>55</v>
      </c>
      <c r="Y86" s="507">
        <v>55</v>
      </c>
      <c r="Z86" s="507">
        <v>55</v>
      </c>
      <c r="AA86" s="507">
        <f>SUM(O86:Z86)</f>
        <v>660</v>
      </c>
      <c r="AB86" s="508"/>
      <c r="AC86" s="140"/>
      <c r="AD86" s="507"/>
      <c r="AE86" s="508"/>
      <c r="AF86" s="509">
        <f>IF(AND($AA86="",AD86=""),"",$AA86-AD86)</f>
        <v>660</v>
      </c>
      <c r="AG86" s="507">
        <v>385</v>
      </c>
      <c r="AH86" s="508"/>
      <c r="AI86" s="509">
        <f>IF(AND($AA86="",AG86=""),"",$AA86-AG86)</f>
        <v>275</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1237</v>
      </c>
      <c r="P87" s="507">
        <v>2223</v>
      </c>
      <c r="Q87" s="507">
        <v>2603</v>
      </c>
      <c r="R87" s="507">
        <v>2645</v>
      </c>
      <c r="S87" s="507">
        <v>2387</v>
      </c>
      <c r="T87" s="507">
        <v>2225</v>
      </c>
      <c r="U87" s="507">
        <v>2328</v>
      </c>
      <c r="V87" s="507">
        <v>1460</v>
      </c>
      <c r="W87" s="507">
        <v>1072</v>
      </c>
      <c r="X87" s="507">
        <v>1506</v>
      </c>
      <c r="Y87" s="507">
        <v>1630</v>
      </c>
      <c r="Z87" s="507">
        <v>1653</v>
      </c>
      <c r="AA87" s="507">
        <f>SUM(O87:Z87)</f>
        <v>22969</v>
      </c>
      <c r="AB87" s="508">
        <f>IF(AA87=0,"",IFERROR(AA87/AA$20,""))</f>
        <v>1</v>
      </c>
      <c r="AC87" s="140"/>
      <c r="AD87" s="507">
        <v>14990</v>
      </c>
      <c r="AE87" s="508">
        <f>IF(AD87=0,"",IFERROR(AD87/AD$20,""))</f>
        <v>1</v>
      </c>
      <c r="AF87" s="509">
        <f>IF(AND($AA87="",AD87=""),"",$AA87-AD87)</f>
        <v>7979</v>
      </c>
      <c r="AG87" s="507">
        <v>7314</v>
      </c>
      <c r="AH87" s="508">
        <f>IF(AG87=0,"",IFERROR(AG87/AG$20,""))</f>
        <v>1</v>
      </c>
      <c r="AI87" s="509">
        <f>IF(AND($AA87="",AG87=""),"",$AA87-AG87)</f>
        <v>15655</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18.8684559417947</v>
      </c>
      <c r="P88" s="495">
        <v>21.640697255960401</v>
      </c>
      <c r="Q88" s="495">
        <v>21.365290049942399</v>
      </c>
      <c r="R88" s="495">
        <v>23.151179584121</v>
      </c>
      <c r="S88" s="495">
        <v>26.2704859656473</v>
      </c>
      <c r="T88" s="495">
        <v>25.371775280898898</v>
      </c>
      <c r="U88" s="495">
        <v>25.503067010309302</v>
      </c>
      <c r="V88" s="495">
        <v>26.379876712328802</v>
      </c>
      <c r="W88" s="495">
        <v>27.800932835820898</v>
      </c>
      <c r="X88" s="495">
        <v>27.794555112881799</v>
      </c>
      <c r="Y88" s="495">
        <v>28.589570552147201</v>
      </c>
      <c r="Z88" s="495">
        <v>26.203932244404101</v>
      </c>
      <c r="AA88" s="495">
        <f>IFERROR(AA85/AA87,"")</f>
        <v>24.68192694501284</v>
      </c>
      <c r="AB88" s="495"/>
      <c r="AC88" s="140"/>
      <c r="AD88" s="495">
        <v>22.6455903935957</v>
      </c>
      <c r="AE88" s="495"/>
      <c r="AF88" s="496">
        <f>IF(AND($AA88="",AD88=""),"",$AA88-AD88)</f>
        <v>2.0363365514171399</v>
      </c>
      <c r="AG88" s="495">
        <v>20.473932184851002</v>
      </c>
      <c r="AH88" s="495"/>
      <c r="AI88" s="496">
        <f>IF(AND($AA88="",AG88=""),"",$AA88-AG88)</f>
        <v>4.2079947601618386</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v>3040.0000000002001</v>
      </c>
      <c r="AE91" s="144"/>
      <c r="AF91" s="145">
        <f>IF(AND($AA91="",AD91=""),"",$AA91-AD91)</f>
        <v>-3040.0000000002001</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v>60.75</v>
      </c>
      <c r="P92" s="143">
        <v>391</v>
      </c>
      <c r="Q92" s="143">
        <v>283.95</v>
      </c>
      <c r="R92" s="143">
        <v>171.75</v>
      </c>
      <c r="S92" s="143">
        <v>106.75</v>
      </c>
      <c r="T92" s="143">
        <v>95</v>
      </c>
      <c r="U92" s="143">
        <v>18.5</v>
      </c>
      <c r="V92" s="143"/>
      <c r="W92" s="143"/>
      <c r="X92" s="143"/>
      <c r="Y92" s="143">
        <v>75.75</v>
      </c>
      <c r="Z92" s="143">
        <v>218.3</v>
      </c>
      <c r="AA92" s="143">
        <f>SUM(O92:Z92)</f>
        <v>1421.75</v>
      </c>
      <c r="AB92" s="144"/>
      <c r="AC92" s="140"/>
      <c r="AD92" s="143">
        <v>8887.4285714291</v>
      </c>
      <c r="AE92" s="144"/>
      <c r="AF92" s="145">
        <f>IF(AND($AA92="",AD92=""),"",$AA92-AD92)</f>
        <v>-7465.6785714291</v>
      </c>
      <c r="AG92" s="143">
        <v>877</v>
      </c>
      <c r="AH92" s="144"/>
      <c r="AI92" s="145">
        <f>IF(AND($AA92="",AG92=""),"",$AA92-AG92)</f>
        <v>544.75</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f>IFERROR(AD$87/AD91,"")</f>
        <v>4.9309210526312546</v>
      </c>
      <c r="AE93" s="511"/>
      <c r="AF93" s="214" t="e">
        <f>IF(AND($AA93="",AD93=""),"",$AA93-AD93)</f>
        <v>#VALUE!</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f t="shared" ref="O94:AA94" si="26">IFERROR(O$87/O92,"")</f>
        <v>20.362139917695472</v>
      </c>
      <c r="P94" s="510">
        <f t="shared" si="26"/>
        <v>5.6854219948849103</v>
      </c>
      <c r="Q94" s="510">
        <f t="shared" si="26"/>
        <v>9.1671068850149684</v>
      </c>
      <c r="R94" s="510">
        <f t="shared" si="26"/>
        <v>15.400291120815139</v>
      </c>
      <c r="S94" s="510">
        <f t="shared" si="26"/>
        <v>22.360655737704917</v>
      </c>
      <c r="T94" s="510">
        <f t="shared" si="26"/>
        <v>23.421052631578949</v>
      </c>
      <c r="U94" s="510">
        <f t="shared" si="26"/>
        <v>125.83783783783784</v>
      </c>
      <c r="V94" s="510" t="str">
        <f t="shared" si="26"/>
        <v/>
      </c>
      <c r="W94" s="510" t="str">
        <f t="shared" si="26"/>
        <v/>
      </c>
      <c r="X94" s="510" t="str">
        <f t="shared" si="26"/>
        <v/>
      </c>
      <c r="Y94" s="510">
        <f t="shared" si="26"/>
        <v>21.518151815181518</v>
      </c>
      <c r="Z94" s="510">
        <f t="shared" si="26"/>
        <v>7.5721484196060462</v>
      </c>
      <c r="AA94" s="510">
        <f t="shared" si="26"/>
        <v>16.155442236680148</v>
      </c>
      <c r="AB94" s="511"/>
      <c r="AC94" s="140"/>
      <c r="AD94" s="510">
        <f>IFERROR(AD$87/AD92,"")</f>
        <v>1.6866520928437241</v>
      </c>
      <c r="AE94" s="511"/>
      <c r="AF94" s="214">
        <f>IF(AND($AA94="",AD94=""),"",$AA94-AD94)</f>
        <v>14.468790143836424</v>
      </c>
      <c r="AG94" s="510">
        <f>IFERROR(AG$87/AG92,"")</f>
        <v>8.339794754846066</v>
      </c>
      <c r="AH94" s="511"/>
      <c r="AI94" s="214">
        <f>IF(AND($AA94="",AG94=""),"",$AA94-AG94)</f>
        <v>7.8156474818340822</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v>1151.4375</v>
      </c>
      <c r="AE98" s="144">
        <f t="shared" ref="AE98:AE103" si="29">IF(AD98=0,"",IFERROR(AD98/AD$19,""))</f>
        <v>3.3919941058878078E-3</v>
      </c>
      <c r="AF98" s="145">
        <f t="shared" ref="AF98:AF103" si="30">IF(AND($AA98="",AD98=""),"",$AA98-AD98)</f>
        <v>-1151.4375</v>
      </c>
      <c r="AG98" s="143">
        <v>633</v>
      </c>
      <c r="AH98" s="144">
        <f t="shared" ref="AH98:AH103" si="31">IF(AG98=0,"",IFERROR(AG98/AG$19,""))</f>
        <v>4.2271483897369381E-3</v>
      </c>
      <c r="AI98" s="145">
        <f t="shared" ref="AI98:AI103" si="32">IF(AND($AA98="",AG98=""),"",$AA98-AG98)</f>
        <v>-633</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v>8069.15</v>
      </c>
      <c r="P99" s="143">
        <v>12996.06</v>
      </c>
      <c r="Q99" s="143">
        <v>19916.8</v>
      </c>
      <c r="R99" s="143">
        <v>28066.36</v>
      </c>
      <c r="S99" s="143">
        <v>30038.2</v>
      </c>
      <c r="T99" s="143">
        <v>27383.3</v>
      </c>
      <c r="U99" s="143">
        <v>28717.8</v>
      </c>
      <c r="V99" s="143">
        <v>21253.4</v>
      </c>
      <c r="W99" s="143">
        <v>15764</v>
      </c>
      <c r="X99" s="143">
        <v>19133</v>
      </c>
      <c r="Y99" s="143">
        <v>20358</v>
      </c>
      <c r="Z99" s="143">
        <v>8000.6</v>
      </c>
      <c r="AA99" s="143">
        <f t="shared" si="27"/>
        <v>239696.66999999998</v>
      </c>
      <c r="AB99" s="144">
        <f t="shared" si="28"/>
        <v>0.4228057163280311</v>
      </c>
      <c r="AC99" s="140"/>
      <c r="AD99" s="143">
        <v>83439.202499999999</v>
      </c>
      <c r="AE99" s="144">
        <f t="shared" si="29"/>
        <v>0.24580168969655689</v>
      </c>
      <c r="AF99" s="145">
        <f t="shared" si="30"/>
        <v>156257.46749999997</v>
      </c>
      <c r="AG99" s="143">
        <v>16258</v>
      </c>
      <c r="AH99" s="144">
        <f t="shared" si="31"/>
        <v>0.10857026622487068</v>
      </c>
      <c r="AI99" s="145">
        <f t="shared" si="32"/>
        <v>223438.66999999998</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v>899.2</v>
      </c>
      <c r="S100" s="143">
        <v>-899.2</v>
      </c>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v>6852</v>
      </c>
      <c r="AH100" s="144">
        <f t="shared" si="31"/>
        <v>4.5757378778005529E-2</v>
      </c>
      <c r="AI100" s="145">
        <f t="shared" si="32"/>
        <v>-6852</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v>4090</v>
      </c>
      <c r="P101" s="143">
        <v>13699</v>
      </c>
      <c r="Q101" s="143">
        <v>11935.2</v>
      </c>
      <c r="R101" s="143">
        <v>7631.8</v>
      </c>
      <c r="S101" s="143">
        <v>7830.65</v>
      </c>
      <c r="T101" s="143">
        <v>8912</v>
      </c>
      <c r="U101" s="143">
        <v>6891.34</v>
      </c>
      <c r="V101" s="143">
        <v>1999</v>
      </c>
      <c r="W101" s="143">
        <v>2578.2600000000002</v>
      </c>
      <c r="X101" s="143">
        <v>4742</v>
      </c>
      <c r="Y101" s="143">
        <v>5236</v>
      </c>
      <c r="Z101" s="143">
        <v>15177.47</v>
      </c>
      <c r="AA101" s="143">
        <f t="shared" si="27"/>
        <v>90722.72</v>
      </c>
      <c r="AB101" s="144">
        <f t="shared" si="28"/>
        <v>0.16002760746249581</v>
      </c>
      <c r="AC101" s="140"/>
      <c r="AD101" s="143">
        <v>64363.487999999998</v>
      </c>
      <c r="AE101" s="144">
        <f t="shared" si="29"/>
        <v>0.18960696688303155</v>
      </c>
      <c r="AF101" s="145">
        <f t="shared" si="30"/>
        <v>26359.232000000004</v>
      </c>
      <c r="AG101" s="143">
        <v>47348.84</v>
      </c>
      <c r="AH101" s="144">
        <f t="shared" si="31"/>
        <v>0.31619363785452115</v>
      </c>
      <c r="AI101" s="145">
        <f t="shared" si="32"/>
        <v>43373.880000000005</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v>2214</v>
      </c>
      <c r="AH102" s="144">
        <f t="shared" si="31"/>
        <v>1.4785002424767111E-2</v>
      </c>
      <c r="AI102" s="145">
        <f t="shared" si="32"/>
        <v>-2214</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v>12159.15</v>
      </c>
      <c r="P103" s="166">
        <v>26695.06</v>
      </c>
      <c r="Q103" s="166">
        <v>31852</v>
      </c>
      <c r="R103" s="166">
        <v>36597.360000000001</v>
      </c>
      <c r="S103" s="166">
        <v>36969.65</v>
      </c>
      <c r="T103" s="166">
        <v>36295.300000000003</v>
      </c>
      <c r="U103" s="166">
        <v>35609.14</v>
      </c>
      <c r="V103" s="166">
        <v>23252.400000000001</v>
      </c>
      <c r="W103" s="166">
        <v>18342.259999999998</v>
      </c>
      <c r="X103" s="166">
        <v>23875</v>
      </c>
      <c r="Y103" s="166">
        <v>25594</v>
      </c>
      <c r="Z103" s="166">
        <v>23178.07</v>
      </c>
      <c r="AA103" s="166">
        <f t="shared" si="27"/>
        <v>330419.39000000007</v>
      </c>
      <c r="AB103" s="167">
        <f t="shared" si="28"/>
        <v>0.5828333237905271</v>
      </c>
      <c r="AC103" s="140"/>
      <c r="AD103" s="166">
        <v>148954.128</v>
      </c>
      <c r="AE103" s="167">
        <f t="shared" si="29"/>
        <v>0.43880065068547625</v>
      </c>
      <c r="AF103" s="168">
        <f t="shared" si="30"/>
        <v>181465.26200000008</v>
      </c>
      <c r="AG103" s="166">
        <v>73305.84</v>
      </c>
      <c r="AH103" s="167">
        <f t="shared" si="31"/>
        <v>0.48953343367190144</v>
      </c>
      <c r="AI103" s="168">
        <f t="shared" si="32"/>
        <v>257113.55000000008</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v>35</v>
      </c>
      <c r="AH106" s="144">
        <f t="shared" ref="AH106:AH111" si="37">IF(AG106=0,"",IFERROR(AG106/AG$19,""))</f>
        <v>2.3372858395069956E-4</v>
      </c>
      <c r="AI106" s="145">
        <f t="shared" ref="AI106:AI111" si="38">IF(AND($AA106="",AG106=""),"",$AA106-AG106)</f>
        <v>-35</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v>612.79999999999995</v>
      </c>
      <c r="P107" s="143">
        <v>1124</v>
      </c>
      <c r="Q107" s="143">
        <v>1737</v>
      </c>
      <c r="R107" s="143">
        <v>2501.1999999999998</v>
      </c>
      <c r="S107" s="143">
        <v>2542</v>
      </c>
      <c r="T107" s="143">
        <v>1899.2</v>
      </c>
      <c r="U107" s="143">
        <v>2056</v>
      </c>
      <c r="V107" s="143">
        <v>1536</v>
      </c>
      <c r="W107" s="143">
        <v>1152</v>
      </c>
      <c r="X107" s="143">
        <v>2200.6</v>
      </c>
      <c r="Y107" s="143">
        <v>2798</v>
      </c>
      <c r="Z107" s="143">
        <v>1282</v>
      </c>
      <c r="AA107" s="143">
        <f t="shared" si="33"/>
        <v>21440.799999999999</v>
      </c>
      <c r="AB107" s="144">
        <f t="shared" si="34"/>
        <v>3.7819852910956374E-2</v>
      </c>
      <c r="AC107" s="140"/>
      <c r="AD107" s="143">
        <v>24421.23</v>
      </c>
      <c r="AE107" s="144">
        <f t="shared" si="35"/>
        <v>7.194195795996787E-2</v>
      </c>
      <c r="AF107" s="145">
        <f t="shared" si="36"/>
        <v>-2980.4300000000003</v>
      </c>
      <c r="AG107" s="143">
        <v>2345</v>
      </c>
      <c r="AH107" s="144">
        <f t="shared" si="37"/>
        <v>1.5659815124696871E-2</v>
      </c>
      <c r="AI107" s="145">
        <f t="shared" si="38"/>
        <v>19095.8</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v>36</v>
      </c>
      <c r="S108" s="143">
        <v>-36</v>
      </c>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v>308</v>
      </c>
      <c r="AH108" s="144">
        <f t="shared" si="37"/>
        <v>2.0568115387661562E-3</v>
      </c>
      <c r="AI108" s="145">
        <f t="shared" si="38"/>
        <v>-308</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v>391</v>
      </c>
      <c r="P109" s="143">
        <v>1022</v>
      </c>
      <c r="Q109" s="143">
        <v>946.9</v>
      </c>
      <c r="R109" s="143">
        <v>678</v>
      </c>
      <c r="S109" s="143">
        <v>634</v>
      </c>
      <c r="T109" s="143">
        <v>438</v>
      </c>
      <c r="U109" s="143">
        <v>431</v>
      </c>
      <c r="V109" s="143">
        <v>145</v>
      </c>
      <c r="W109" s="143">
        <v>151</v>
      </c>
      <c r="X109" s="143">
        <v>295</v>
      </c>
      <c r="Y109" s="143">
        <v>614</v>
      </c>
      <c r="Z109" s="143">
        <v>1743.58</v>
      </c>
      <c r="AA109" s="143">
        <f t="shared" si="33"/>
        <v>7489.48</v>
      </c>
      <c r="AB109" s="144">
        <f t="shared" si="34"/>
        <v>1.3210842504922837E-2</v>
      </c>
      <c r="AC109" s="140"/>
      <c r="AD109" s="143">
        <v>10162.656000000001</v>
      </c>
      <c r="AE109" s="144">
        <f t="shared" si="35"/>
        <v>2.9937942139426039E-2</v>
      </c>
      <c r="AF109" s="145">
        <f t="shared" si="36"/>
        <v>-2673.1760000000013</v>
      </c>
      <c r="AG109" s="143">
        <v>7586.51</v>
      </c>
      <c r="AH109" s="144">
        <f t="shared" si="37"/>
        <v>5.0662406840794913E-2</v>
      </c>
      <c r="AI109" s="145">
        <f t="shared" si="38"/>
        <v>-97.030000000000655</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v>748</v>
      </c>
      <c r="AH110" s="144">
        <f t="shared" si="37"/>
        <v>4.9951137370035223E-3</v>
      </c>
      <c r="AI110" s="145">
        <f t="shared" si="38"/>
        <v>-748</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v>1003.8</v>
      </c>
      <c r="P111" s="166">
        <v>2146</v>
      </c>
      <c r="Q111" s="166">
        <v>2683.9</v>
      </c>
      <c r="R111" s="166">
        <v>3215.2</v>
      </c>
      <c r="S111" s="166">
        <v>3140</v>
      </c>
      <c r="T111" s="166">
        <v>2337.1999999999998</v>
      </c>
      <c r="U111" s="166">
        <v>2487</v>
      </c>
      <c r="V111" s="166">
        <v>1681</v>
      </c>
      <c r="W111" s="166">
        <v>1303</v>
      </c>
      <c r="X111" s="166">
        <v>2495.6</v>
      </c>
      <c r="Y111" s="166">
        <v>3412</v>
      </c>
      <c r="Z111" s="166">
        <v>3025.58</v>
      </c>
      <c r="AA111" s="166">
        <f t="shared" si="33"/>
        <v>28930.28</v>
      </c>
      <c r="AB111" s="167">
        <f t="shared" si="34"/>
        <v>5.1030695415879214E-2</v>
      </c>
      <c r="AC111" s="140"/>
      <c r="AD111" s="166">
        <v>34583.885999999999</v>
      </c>
      <c r="AE111" s="167">
        <f t="shared" si="35"/>
        <v>0.10187990009939391</v>
      </c>
      <c r="AF111" s="168">
        <f t="shared" si="36"/>
        <v>-5653.6059999999998</v>
      </c>
      <c r="AG111" s="166">
        <v>11022.51</v>
      </c>
      <c r="AH111" s="167">
        <f t="shared" si="37"/>
        <v>7.3607875825212152E-2</v>
      </c>
      <c r="AI111" s="168">
        <f t="shared" si="38"/>
        <v>17907.769999999997</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v>110</v>
      </c>
      <c r="Z114" s="143"/>
      <c r="AA114" s="143">
        <f t="shared" ref="AA114:AA119" si="39">SUM(O114:Z114)</f>
        <v>110</v>
      </c>
      <c r="AB114" s="144">
        <f t="shared" ref="AB114:AB119" si="40">IF(AA114=0,"",IFERROR(AA114/AA$19,""))</f>
        <v>1.9403118448029931E-4</v>
      </c>
      <c r="AC114" s="140"/>
      <c r="AD114" s="143">
        <v>1151.4375</v>
      </c>
      <c r="AE114" s="144">
        <f t="shared" ref="AE114:AE119" si="41">IF(AD114=0,"",IFERROR(AD114/AD$19,""))</f>
        <v>3.3919941058878078E-3</v>
      </c>
      <c r="AF114" s="145">
        <f t="shared" ref="AF114:AF119" si="42">IF(AND($AA114="",AD114=""),"",$AA114-AD114)</f>
        <v>-1041.4375</v>
      </c>
      <c r="AG114" s="143">
        <v>348</v>
      </c>
      <c r="AH114" s="144">
        <f t="shared" ref="AH114:AH119" si="43">IF(AG114=0,"",IFERROR(AG114/AG$19,""))</f>
        <v>2.3239299204240987E-3</v>
      </c>
      <c r="AI114" s="145">
        <f t="shared" ref="AI114:AI119" si="44">IF(AND($AA114="",AG114=""),"",$AA114-AG114)</f>
        <v>-238</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v>850</v>
      </c>
      <c r="P115" s="143">
        <v>1759</v>
      </c>
      <c r="Q115" s="143">
        <v>2664</v>
      </c>
      <c r="R115" s="143">
        <v>3068.6</v>
      </c>
      <c r="S115" s="143">
        <v>3938</v>
      </c>
      <c r="T115" s="143">
        <v>1892</v>
      </c>
      <c r="U115" s="143">
        <v>2784</v>
      </c>
      <c r="V115" s="143">
        <v>1520</v>
      </c>
      <c r="W115" s="143">
        <v>1579.74</v>
      </c>
      <c r="X115" s="143">
        <v>2308</v>
      </c>
      <c r="Y115" s="143">
        <v>4251</v>
      </c>
      <c r="Z115" s="143">
        <v>2908</v>
      </c>
      <c r="AA115" s="143">
        <f t="shared" si="39"/>
        <v>29522.34</v>
      </c>
      <c r="AB115" s="144">
        <f t="shared" si="40"/>
        <v>5.2075041807546539E-2</v>
      </c>
      <c r="AC115" s="140"/>
      <c r="AD115" s="143">
        <v>18315.922500000001</v>
      </c>
      <c r="AE115" s="144">
        <f t="shared" si="41"/>
        <v>5.3956468469975906E-2</v>
      </c>
      <c r="AF115" s="145">
        <f t="shared" si="42"/>
        <v>11206.4175</v>
      </c>
      <c r="AG115" s="143">
        <v>2184</v>
      </c>
      <c r="AH115" s="144">
        <f t="shared" si="43"/>
        <v>1.4584663638523654E-2</v>
      </c>
      <c r="AI115" s="145">
        <f t="shared" si="44"/>
        <v>27338.34</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v>88</v>
      </c>
      <c r="S116" s="143">
        <v>-88</v>
      </c>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v>458</v>
      </c>
      <c r="AH116" s="144">
        <f t="shared" si="43"/>
        <v>3.0585054699834402E-3</v>
      </c>
      <c r="AI116" s="145">
        <f t="shared" si="44"/>
        <v>-458</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v>801.33</v>
      </c>
      <c r="P117" s="143">
        <v>2497.1999999999998</v>
      </c>
      <c r="Q117" s="143">
        <v>1639</v>
      </c>
      <c r="R117" s="143">
        <v>1129</v>
      </c>
      <c r="S117" s="143">
        <v>830</v>
      </c>
      <c r="T117" s="143">
        <v>928</v>
      </c>
      <c r="U117" s="143">
        <v>735</v>
      </c>
      <c r="V117" s="143">
        <v>196</v>
      </c>
      <c r="W117" s="143">
        <v>257</v>
      </c>
      <c r="X117" s="143">
        <v>664.5</v>
      </c>
      <c r="Y117" s="143">
        <v>1555</v>
      </c>
      <c r="Z117" s="143">
        <v>3504</v>
      </c>
      <c r="AA117" s="143">
        <f t="shared" si="39"/>
        <v>14736.029999999999</v>
      </c>
      <c r="AB117" s="144">
        <f t="shared" si="40"/>
        <v>2.5993175958520225E-2</v>
      </c>
      <c r="AC117" s="140"/>
      <c r="AD117" s="143">
        <v>20325.312000000002</v>
      </c>
      <c r="AE117" s="144">
        <f t="shared" si="41"/>
        <v>5.9875884278852078E-2</v>
      </c>
      <c r="AF117" s="145">
        <f t="shared" si="42"/>
        <v>-5589.2820000000029</v>
      </c>
      <c r="AG117" s="143">
        <v>14377.69</v>
      </c>
      <c r="AH117" s="144">
        <f t="shared" si="43"/>
        <v>9.6013632119489531E-2</v>
      </c>
      <c r="AI117" s="145">
        <f t="shared" si="44"/>
        <v>358.33999999999833</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v>40</v>
      </c>
      <c r="AH118" s="144">
        <f t="shared" si="43"/>
        <v>2.6711838165794234E-4</v>
      </c>
      <c r="AI118" s="145">
        <f t="shared" si="44"/>
        <v>-40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v>1651.33</v>
      </c>
      <c r="P119" s="166">
        <v>4256.2</v>
      </c>
      <c r="Q119" s="166">
        <v>4303</v>
      </c>
      <c r="R119" s="166">
        <v>4285.6000000000004</v>
      </c>
      <c r="S119" s="166">
        <v>4680</v>
      </c>
      <c r="T119" s="166">
        <v>2820</v>
      </c>
      <c r="U119" s="166">
        <v>3519</v>
      </c>
      <c r="V119" s="166">
        <v>1716</v>
      </c>
      <c r="W119" s="166">
        <v>1836.74</v>
      </c>
      <c r="X119" s="166">
        <v>2972.5</v>
      </c>
      <c r="Y119" s="166">
        <v>5916</v>
      </c>
      <c r="Z119" s="166">
        <v>6412</v>
      </c>
      <c r="AA119" s="166">
        <f t="shared" si="39"/>
        <v>44368.369999999995</v>
      </c>
      <c r="AB119" s="167">
        <f t="shared" si="40"/>
        <v>7.8262248950547064E-2</v>
      </c>
      <c r="AC119" s="140"/>
      <c r="AD119" s="166">
        <v>39792.671999999999</v>
      </c>
      <c r="AE119" s="167">
        <f t="shared" si="41"/>
        <v>0.11722434685471578</v>
      </c>
      <c r="AF119" s="168">
        <f t="shared" si="42"/>
        <v>4575.6979999999967</v>
      </c>
      <c r="AG119" s="166">
        <v>17407.689999999999</v>
      </c>
      <c r="AH119" s="167">
        <f t="shared" si="43"/>
        <v>0.11624784953007866</v>
      </c>
      <c r="AI119" s="168">
        <f t="shared" si="44"/>
        <v>26960.679999999997</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110</v>
      </c>
      <c r="Z121" s="143">
        <f t="shared" si="45"/>
        <v>0</v>
      </c>
      <c r="AA121" s="143">
        <f t="shared" ref="AA121:AA126" si="46">SUM(O121:Z121)</f>
        <v>110</v>
      </c>
      <c r="AB121" s="144">
        <f t="shared" ref="AB121:AB126" si="47">IF(AA121=0,"",IFERROR(AA121/AA$19,""))</f>
        <v>1.9403118448029931E-4</v>
      </c>
      <c r="AC121" s="140"/>
      <c r="AD121" s="143">
        <f>AD98+AD106+AD114</f>
        <v>2302.875</v>
      </c>
      <c r="AE121" s="144">
        <f t="shared" ref="AE121:AE126" si="48">IF(AD121=0,"",IFERROR(AD121/AD$19,""))</f>
        <v>6.7839882117756156E-3</v>
      </c>
      <c r="AF121" s="145">
        <f t="shared" ref="AF121:AF126" si="49">IF(AND($AA121="",AD121=""),"",$AA121-AD121)</f>
        <v>-2192.875</v>
      </c>
      <c r="AG121" s="143">
        <f>AG98+AG106+AG114</f>
        <v>1016</v>
      </c>
      <c r="AH121" s="144">
        <f t="shared" ref="AH121:AH126" si="50">IF(AG121=0,"",IFERROR(AG121/AG$19,""))</f>
        <v>6.784806894111736E-3</v>
      </c>
      <c r="AI121" s="145">
        <f t="shared" ref="AI121:AI126" si="51">IF(AND($AA121="",AG121=""),"",$AA121-AG121)</f>
        <v>-906</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9531.9499999999989</v>
      </c>
      <c r="P122" s="143">
        <f t="shared" si="52"/>
        <v>15879.06</v>
      </c>
      <c r="Q122" s="143">
        <f t="shared" si="52"/>
        <v>24317.8</v>
      </c>
      <c r="R122" s="143">
        <f t="shared" si="52"/>
        <v>33636.160000000003</v>
      </c>
      <c r="S122" s="143">
        <f t="shared" si="52"/>
        <v>36518.199999999997</v>
      </c>
      <c r="T122" s="143">
        <f t="shared" si="52"/>
        <v>31174.5</v>
      </c>
      <c r="U122" s="143">
        <f t="shared" si="52"/>
        <v>33557.800000000003</v>
      </c>
      <c r="V122" s="143">
        <f t="shared" si="52"/>
        <v>24309.4</v>
      </c>
      <c r="W122" s="143">
        <f t="shared" si="52"/>
        <v>18495.740000000002</v>
      </c>
      <c r="X122" s="143">
        <f t="shared" si="52"/>
        <v>23641.599999999999</v>
      </c>
      <c r="Y122" s="143">
        <f t="shared" si="52"/>
        <v>27407</v>
      </c>
      <c r="Z122" s="143">
        <f t="shared" si="52"/>
        <v>12190.6</v>
      </c>
      <c r="AA122" s="143">
        <f t="shared" si="46"/>
        <v>290659.80999999994</v>
      </c>
      <c r="AB122" s="144">
        <f t="shared" si="47"/>
        <v>0.51270061104653397</v>
      </c>
      <c r="AC122" s="140"/>
      <c r="AD122" s="143">
        <f>AD99+AD107+AD115</f>
        <v>126176.355</v>
      </c>
      <c r="AE122" s="144">
        <f t="shared" si="48"/>
        <v>0.37170011612650067</v>
      </c>
      <c r="AF122" s="145">
        <f t="shared" si="49"/>
        <v>164483.45499999996</v>
      </c>
      <c r="AG122" s="143">
        <f>AG99+AG107+AG115</f>
        <v>20787</v>
      </c>
      <c r="AH122" s="144">
        <f t="shared" si="50"/>
        <v>0.13881474498809121</v>
      </c>
      <c r="AI122" s="145">
        <f t="shared" si="51"/>
        <v>269872.80999999994</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1023.2</v>
      </c>
      <c r="S123" s="143">
        <f t="shared" si="53"/>
        <v>-1023.2</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7618</v>
      </c>
      <c r="AH123" s="144">
        <f t="shared" si="50"/>
        <v>5.0872695786755122E-2</v>
      </c>
      <c r="AI123" s="145">
        <f t="shared" si="51"/>
        <v>-7618</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5282.33</v>
      </c>
      <c r="P124" s="143">
        <f t="shared" si="54"/>
        <v>17218.2</v>
      </c>
      <c r="Q124" s="143">
        <f t="shared" si="54"/>
        <v>14521.1</v>
      </c>
      <c r="R124" s="143">
        <f t="shared" si="54"/>
        <v>9438.7999999999993</v>
      </c>
      <c r="S124" s="143">
        <f t="shared" si="54"/>
        <v>9294.65</v>
      </c>
      <c r="T124" s="143">
        <f t="shared" si="54"/>
        <v>10278</v>
      </c>
      <c r="U124" s="143">
        <f t="shared" si="54"/>
        <v>8057.34</v>
      </c>
      <c r="V124" s="143">
        <f t="shared" si="54"/>
        <v>2340</v>
      </c>
      <c r="W124" s="143">
        <f t="shared" si="54"/>
        <v>2986.26</v>
      </c>
      <c r="X124" s="143">
        <f t="shared" si="54"/>
        <v>5701.5</v>
      </c>
      <c r="Y124" s="143">
        <f t="shared" si="54"/>
        <v>7405</v>
      </c>
      <c r="Z124" s="143">
        <f t="shared" si="54"/>
        <v>20425.05</v>
      </c>
      <c r="AA124" s="143">
        <f t="shared" si="46"/>
        <v>112948.22999999998</v>
      </c>
      <c r="AB124" s="144">
        <f t="shared" si="47"/>
        <v>0.19923162592593885</v>
      </c>
      <c r="AC124" s="140"/>
      <c r="AD124" s="143">
        <f>AD101+AD109+AD117</f>
        <v>94851.456000000006</v>
      </c>
      <c r="AE124" s="144">
        <f t="shared" si="48"/>
        <v>0.2794207933013097</v>
      </c>
      <c r="AF124" s="145">
        <f t="shared" si="49"/>
        <v>18096.773999999976</v>
      </c>
      <c r="AG124" s="143">
        <f>AG101+AG109+AG117</f>
        <v>69313.039999999994</v>
      </c>
      <c r="AH124" s="144">
        <f t="shared" si="50"/>
        <v>0.46286967681480562</v>
      </c>
      <c r="AI124" s="145">
        <f t="shared" si="51"/>
        <v>43635.189999999988</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3002</v>
      </c>
      <c r="AH125" s="144">
        <f t="shared" si="50"/>
        <v>2.0047234543428574E-2</v>
      </c>
      <c r="AI125" s="145">
        <f t="shared" si="51"/>
        <v>-3002</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14814.279999999999</v>
      </c>
      <c r="P126" s="166">
        <f t="shared" si="56"/>
        <v>33097.26</v>
      </c>
      <c r="Q126" s="166">
        <f t="shared" si="56"/>
        <v>38838.9</v>
      </c>
      <c r="R126" s="166">
        <f t="shared" si="56"/>
        <v>44098.16</v>
      </c>
      <c r="S126" s="166">
        <f t="shared" si="56"/>
        <v>44789.65</v>
      </c>
      <c r="T126" s="166">
        <f t="shared" si="56"/>
        <v>41452.5</v>
      </c>
      <c r="U126" s="166">
        <f t="shared" si="56"/>
        <v>41615.14</v>
      </c>
      <c r="V126" s="166">
        <f t="shared" si="56"/>
        <v>26649.4</v>
      </c>
      <c r="W126" s="166">
        <f t="shared" si="56"/>
        <v>21482</v>
      </c>
      <c r="X126" s="166">
        <f t="shared" si="56"/>
        <v>29343.1</v>
      </c>
      <c r="Y126" s="166">
        <f t="shared" si="56"/>
        <v>34922</v>
      </c>
      <c r="Z126" s="166">
        <f t="shared" si="56"/>
        <v>32615.65</v>
      </c>
      <c r="AA126" s="166">
        <f t="shared" si="46"/>
        <v>403718.04000000004</v>
      </c>
      <c r="AB126" s="167">
        <f t="shared" si="47"/>
        <v>0.71212626815695335</v>
      </c>
      <c r="AC126" s="140"/>
      <c r="AD126" s="166">
        <f>SUM(AD121:AD125)</f>
        <v>223330.68599999999</v>
      </c>
      <c r="AE126" s="167">
        <f t="shared" si="48"/>
        <v>0.65790489763958593</v>
      </c>
      <c r="AF126" s="168">
        <f t="shared" si="49"/>
        <v>180387.35400000005</v>
      </c>
      <c r="AG126" s="166">
        <f>SUM(AG121:AG125)</f>
        <v>101736.04</v>
      </c>
      <c r="AH126" s="167">
        <f t="shared" si="50"/>
        <v>0.67938915902719221</v>
      </c>
      <c r="AI126" s="168">
        <f t="shared" si="51"/>
        <v>301982.00000000006</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v>2642.94</v>
      </c>
      <c r="P130" s="143">
        <v>4642.88</v>
      </c>
      <c r="Q130" s="143">
        <v>5326.01</v>
      </c>
      <c r="R130" s="143">
        <v>5081.92</v>
      </c>
      <c r="S130" s="143">
        <v>5769.04</v>
      </c>
      <c r="T130" s="143">
        <v>4649.6499999999996</v>
      </c>
      <c r="U130" s="143">
        <v>5497.61</v>
      </c>
      <c r="V130" s="143">
        <v>3338.08</v>
      </c>
      <c r="W130" s="143">
        <v>2547.06</v>
      </c>
      <c r="X130" s="143">
        <v>4272.37</v>
      </c>
      <c r="Y130" s="143">
        <v>3579.19</v>
      </c>
      <c r="Z130" s="143">
        <v>3275.77</v>
      </c>
      <c r="AA130" s="143">
        <f>SUM(O130:Z130)</f>
        <v>50622.520000000004</v>
      </c>
      <c r="AB130" s="436">
        <f>IF(_epmOfflineCondition_,0.309414062383009,IF(AA130=0,"",IFERROR(AA130/_xll.EVGTS($B$1,1,_xll.EVPRO($B$1,$H130,"COSBASIS"),$B$3,$B$5,$B$6,$B$7,$B$9,AA$16,AA$17,AA$11),"")))</f>
        <v>0.309414062383009</v>
      </c>
      <c r="AC130" s="140"/>
      <c r="AD130" s="143">
        <v>36579.9</v>
      </c>
      <c r="AE130" s="436">
        <f>IF(_epmOfflineCondition_,0.31499987160577,IF(AD130=0,"",IFERROR(AD130/_xll.EVGTS($B$1,1,_xll.EVPRO($B$1,$H130,"COSBASIS"),$B$3,$B$5,$B$6,$B$7,$B$9,AD$16,AD$17,AD$18),"")))</f>
        <v>0.31499987160576998</v>
      </c>
      <c r="AF130" s="145">
        <f t="shared" ref="AF130:AF141" si="58">IF(AND($AA130="",AD130=""),"",$AA130-AD130)</f>
        <v>14042.620000000003</v>
      </c>
      <c r="AG130" s="143">
        <v>11331.83</v>
      </c>
      <c r="AH130" s="436">
        <f>IF(_epmOfflineCondition_,0.233868274793154,IF(AG130=0,"",IFERROR(AG130/_xll.EVGTS($B$1,1,_xll.EVPRO($B$1,$H130,"COSBASIS"),$B$3,$B$5,$B$6,$B$7,$B$9,AG$16,AG$17,AG$18),"")))</f>
        <v>0.233868274793154</v>
      </c>
      <c r="AI130" s="145">
        <f t="shared" ref="AI130:AI141" si="59">IF(AND($AA130="",AG130=""),"",$AA130-AG130)</f>
        <v>39290.69</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0.30998592540464498</v>
      </c>
      <c r="P131" s="508">
        <v>0.30931891451104998</v>
      </c>
      <c r="Q131" s="508">
        <v>0.30998515845531499</v>
      </c>
      <c r="R131" s="508">
        <v>0.29655167182032</v>
      </c>
      <c r="S131" s="508">
        <v>0.32196896975108802</v>
      </c>
      <c r="T131" s="508">
        <v>0.30998286632399302</v>
      </c>
      <c r="U131" s="508">
        <v>0.309619846812345</v>
      </c>
      <c r="V131" s="508">
        <v>0.28133317376331801</v>
      </c>
      <c r="W131" s="508">
        <v>0.30611494363387298</v>
      </c>
      <c r="X131" s="508">
        <v>0.34136630578083199</v>
      </c>
      <c r="Y131" s="508">
        <v>0.306463738333761</v>
      </c>
      <c r="Z131" s="508">
        <v>0.30616246629499599</v>
      </c>
      <c r="AA131" s="508">
        <v>0.309414062383009</v>
      </c>
      <c r="AB131" s="436"/>
      <c r="AC131" s="140"/>
      <c r="AD131" s="508">
        <v>0.31499987160576998</v>
      </c>
      <c r="AE131" s="436"/>
      <c r="AF131" s="521">
        <f t="shared" si="58"/>
        <v>-5.5858092227609735E-3</v>
      </c>
      <c r="AG131" s="508">
        <v>0.233868274793154</v>
      </c>
      <c r="AH131" s="436"/>
      <c r="AI131" s="521">
        <f t="shared" si="59"/>
        <v>7.5545787589855001E-2</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v>3644.8</v>
      </c>
      <c r="P132" s="143">
        <v>8298.59</v>
      </c>
      <c r="Q132" s="143">
        <v>9601.68</v>
      </c>
      <c r="R132" s="143">
        <v>9719.2199999999993</v>
      </c>
      <c r="S132" s="143">
        <v>11009.51</v>
      </c>
      <c r="T132" s="143">
        <v>10207.68</v>
      </c>
      <c r="U132" s="143">
        <v>10246.65</v>
      </c>
      <c r="V132" s="143">
        <v>6852.33</v>
      </c>
      <c r="W132" s="143">
        <v>4959.88</v>
      </c>
      <c r="X132" s="143">
        <v>7193.85</v>
      </c>
      <c r="Y132" s="143">
        <v>8562.33</v>
      </c>
      <c r="Z132" s="143">
        <v>8029.95</v>
      </c>
      <c r="AA132" s="143">
        <f>SUM(O132:Z132)</f>
        <v>98326.470000000016</v>
      </c>
      <c r="AB132" s="436">
        <f>IF(_epmOfflineCondition_,0.243552331721416,IF(AA132=0,"",IFERROR(AA132/_xll.EVGTS($B$1,1,_xll.EVPRO($B$1,$H132,"COSBASIS"),$B$3,$B$5,$B$6,$B$7,$B$9,AA$16,AA$17,AA$11),"")))</f>
        <v>0.24355233172141599</v>
      </c>
      <c r="AC132" s="140"/>
      <c r="AD132" s="143">
        <v>53917.72</v>
      </c>
      <c r="AE132" s="436">
        <f>IF(_epmOfflineCondition_,0.241425488658554,IF(AD132=0,"",IFERROR(AD132/_xll.EVGTS($B$1,1,_xll.EVPRO($B$1,$H132,"COSBASIS"),$B$3,$B$5,$B$6,$B$7,$B$9,AD$16,AD$17,AD$18),"")))</f>
        <v>0.24142548865855401</v>
      </c>
      <c r="AF132" s="145">
        <f t="shared" si="58"/>
        <v>44408.750000000015</v>
      </c>
      <c r="AG132" s="143">
        <v>22067.56</v>
      </c>
      <c r="AH132" s="436">
        <f>IF(_epmOfflineCondition_,0.216909956393034,IF(AG132=0,"",IFERROR(AG132/_xll.EVGTS($B$1,1,_xll.EVPRO($B$1,$H132,"COSBASIS"),$B$3,$B$5,$B$6,$B$7,$B$9,AG$16,AG$17,AG$18),"")))</f>
        <v>0.21690995639303401</v>
      </c>
      <c r="AI132" s="145">
        <f t="shared" si="59"/>
        <v>76258.910000000018</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0.246032881787033</v>
      </c>
      <c r="P133" s="508">
        <v>0.25073344439992901</v>
      </c>
      <c r="Q133" s="508">
        <v>0.24721812409723201</v>
      </c>
      <c r="R133" s="508">
        <v>0.22039967200445601</v>
      </c>
      <c r="S133" s="508">
        <v>0.245804778559332</v>
      </c>
      <c r="T133" s="508">
        <v>0.246250045232495</v>
      </c>
      <c r="U133" s="508">
        <v>0.24622409055934899</v>
      </c>
      <c r="V133" s="508">
        <v>0.257128865940697</v>
      </c>
      <c r="W133" s="508">
        <v>0.230885392421562</v>
      </c>
      <c r="X133" s="508">
        <v>0.24516325814245901</v>
      </c>
      <c r="Y133" s="508">
        <v>0.24518441097302601</v>
      </c>
      <c r="Z133" s="508">
        <v>0.24619929389725501</v>
      </c>
      <c r="AA133" s="508">
        <v>0.24355233172141599</v>
      </c>
      <c r="AB133" s="436"/>
      <c r="AC133" s="140"/>
      <c r="AD133" s="508">
        <v>0.24142548865855401</v>
      </c>
      <c r="AE133" s="436"/>
      <c r="AF133" s="521">
        <f t="shared" si="58"/>
        <v>2.1268430628619828E-3</v>
      </c>
      <c r="AG133" s="508">
        <v>0.21690995639303401</v>
      </c>
      <c r="AH133" s="436"/>
      <c r="AI133" s="521">
        <f t="shared" si="59"/>
        <v>2.6642375328381984E-2</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v>3027.79</v>
      </c>
      <c r="P134" s="143">
        <v>6790.73</v>
      </c>
      <c r="Q134" s="143">
        <v>7980.99</v>
      </c>
      <c r="R134" s="143">
        <v>8003.65</v>
      </c>
      <c r="S134" s="143">
        <v>9205.5300000000007</v>
      </c>
      <c r="T134" s="143">
        <v>9037.4599999999991</v>
      </c>
      <c r="U134" s="143">
        <v>8866.64</v>
      </c>
      <c r="V134" s="143">
        <v>6091.81</v>
      </c>
      <c r="W134" s="143">
        <v>4238.6000000000004</v>
      </c>
      <c r="X134" s="143">
        <v>5954.12</v>
      </c>
      <c r="Y134" s="143">
        <v>6386.13</v>
      </c>
      <c r="Z134" s="143">
        <v>5796.97</v>
      </c>
      <c r="AA134" s="143">
        <f>SUM(O134:Z134)</f>
        <v>81380.42</v>
      </c>
      <c r="AB134" s="436">
        <f>IF(_epmOfflineCondition_,0.246294323102527,IF(AA134=0,"",IFERROR(AA134/_xll.EVGTS($B$1,1,_xll.EVPRO($B$1,$H134,"COSBASIS"),$B$3,$B$5,$B$6,$B$7,$B$9,AA$16,AA$17,AA$11),"")))</f>
        <v>0.246294323102527</v>
      </c>
      <c r="AC134" s="140"/>
      <c r="AD134" s="143">
        <v>37104.480000000003</v>
      </c>
      <c r="AE134" s="436">
        <f>IF(_epmOfflineCondition_,0.249100045082336,IF(AD134=0,"",IFERROR(AD134/_xll.EVGTS($B$1,1,_xll.EVPRO($B$1,$H134,"COSBASIS"),$B$3,$B$5,$B$6,$B$7,$B$9,AD$16,AD$17,AD$18),"")))</f>
        <v>0.24910004508233599</v>
      </c>
      <c r="AF134" s="145">
        <f t="shared" si="58"/>
        <v>44275.939999999995</v>
      </c>
      <c r="AG134" s="143">
        <v>14624.8</v>
      </c>
      <c r="AH134" s="436">
        <f>IF(_epmOfflineCondition_,0.199503886729898,IF(AG134=0,"",IFERROR(AG134/_xll.EVGTS($B$1,1,_xll.EVPRO($B$1,$H134,"COSBASIS"),$B$3,$B$5,$B$6,$B$7,$B$9,AG$16,AG$17,AG$18),"")))</f>
        <v>0.19950388672989799</v>
      </c>
      <c r="AI134" s="145">
        <f t="shared" si="59"/>
        <v>66755.62</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0.24901329451483001</v>
      </c>
      <c r="P135" s="508">
        <v>0.254381522274159</v>
      </c>
      <c r="Q135" s="508">
        <v>0.25056479969860601</v>
      </c>
      <c r="R135" s="508">
        <v>0.21869473645093501</v>
      </c>
      <c r="S135" s="508">
        <v>0.24900235733906101</v>
      </c>
      <c r="T135" s="508">
        <v>0.24899807964116599</v>
      </c>
      <c r="U135" s="508">
        <v>0.24899899295517899</v>
      </c>
      <c r="V135" s="508">
        <v>0.26198628958731102</v>
      </c>
      <c r="W135" s="508">
        <v>0.23108384681058899</v>
      </c>
      <c r="X135" s="508">
        <v>0.24938722513089001</v>
      </c>
      <c r="Y135" s="508">
        <v>0.249516683597718</v>
      </c>
      <c r="Z135" s="508">
        <v>0.25010581122587</v>
      </c>
      <c r="AA135" s="508">
        <v>0.246294323102527</v>
      </c>
      <c r="AB135" s="436"/>
      <c r="AC135" s="140"/>
      <c r="AD135" s="508">
        <v>0.24910004508233599</v>
      </c>
      <c r="AE135" s="436"/>
      <c r="AF135" s="521">
        <f t="shared" si="58"/>
        <v>-2.805721979808995E-3</v>
      </c>
      <c r="AG135" s="508">
        <v>0.19950388672989799</v>
      </c>
      <c r="AH135" s="436"/>
      <c r="AI135" s="521">
        <f t="shared" si="59"/>
        <v>4.6790436372629002E-2</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v>187.75</v>
      </c>
      <c r="P136" s="143">
        <v>401.3</v>
      </c>
      <c r="Q136" s="143">
        <v>501.91</v>
      </c>
      <c r="R136" s="143">
        <v>601.21</v>
      </c>
      <c r="S136" s="143">
        <v>587.17999999999995</v>
      </c>
      <c r="T136" s="143">
        <v>437.02</v>
      </c>
      <c r="U136" s="143">
        <v>465.07</v>
      </c>
      <c r="V136" s="143">
        <v>314.36</v>
      </c>
      <c r="W136" s="143">
        <v>243.66</v>
      </c>
      <c r="X136" s="143">
        <v>466.75</v>
      </c>
      <c r="Y136" s="143">
        <v>638.04</v>
      </c>
      <c r="Z136" s="143">
        <v>565.86</v>
      </c>
      <c r="AA136" s="143">
        <f>SUM(O136:Z136)</f>
        <v>5410.11</v>
      </c>
      <c r="AB136" s="436">
        <f>IF(_epmOfflineCondition_,0.187005103303528,IF(AA136=0,"",IFERROR(AA136/_xll.EVGTS($B$1,1,_xll.EVPRO($B$1,$H136,"COSBASIS"),$B$3,$B$5,$B$6,$B$7,$B$9,AA$16,AA$17,AA$11),"")))</f>
        <v>0.18700510330352799</v>
      </c>
      <c r="AC136" s="140"/>
      <c r="AD136" s="143">
        <v>6467.17</v>
      </c>
      <c r="AE136" s="436">
        <f>IF(_epmOfflineCondition_,0.186999517636624,IF(AD136=0,"",IFERROR(AD136/_xll.EVGTS($B$1,1,_xll.EVPRO($B$1,$H136,"COSBASIS"),$B$3,$B$5,$B$6,$B$7,$B$9,AD$16,AD$17,AD$18),"")))</f>
        <v>0.18699951763662401</v>
      </c>
      <c r="AF136" s="145">
        <f t="shared" si="58"/>
        <v>-1057.0600000000004</v>
      </c>
      <c r="AG136" s="143">
        <v>2119.67</v>
      </c>
      <c r="AH136" s="436">
        <f>IF(_epmOfflineCondition_,0.192303749327513,IF(AG136=0,"",IFERROR(AG136/_xll.EVGTS($B$1,1,_xll.EVPRO($B$1,$H136,"COSBASIS"),$B$3,$B$5,$B$6,$B$7,$B$9,AG$16,AG$17,AG$18),"")))</f>
        <v>0.19230374932751301</v>
      </c>
      <c r="AI136" s="145">
        <f t="shared" si="59"/>
        <v>3290.4399999999996</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0.187039250846782</v>
      </c>
      <c r="P137" s="508">
        <v>0.18699906803355101</v>
      </c>
      <c r="Q137" s="508">
        <v>0.18700771265695401</v>
      </c>
      <c r="R137" s="508">
        <v>0.18698992286638499</v>
      </c>
      <c r="S137" s="508">
        <v>0.187</v>
      </c>
      <c r="T137" s="508">
        <v>0.18698442580866001</v>
      </c>
      <c r="U137" s="508">
        <v>0.18700040209087301</v>
      </c>
      <c r="V137" s="508">
        <v>0.187007733491969</v>
      </c>
      <c r="W137" s="508">
        <v>0.18699923254029199</v>
      </c>
      <c r="X137" s="508">
        <v>0.187029171341561</v>
      </c>
      <c r="Y137" s="508">
        <v>0.186998827667057</v>
      </c>
      <c r="Z137" s="508">
        <v>0.18702529762888401</v>
      </c>
      <c r="AA137" s="508">
        <v>0.18700510330352799</v>
      </c>
      <c r="AB137" s="436"/>
      <c r="AC137" s="140"/>
      <c r="AD137" s="508">
        <v>0.18699951763662401</v>
      </c>
      <c r="AE137" s="436"/>
      <c r="AF137" s="521">
        <f t="shared" si="58"/>
        <v>5.5856669039788809E-6</v>
      </c>
      <c r="AG137" s="508">
        <v>0.19230374932751301</v>
      </c>
      <c r="AH137" s="436"/>
      <c r="AI137" s="521">
        <f t="shared" si="59"/>
        <v>-5.2986460239850264E-3</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v>429.26</v>
      </c>
      <c r="P138" s="143">
        <v>1106.56</v>
      </c>
      <c r="Q138" s="143">
        <v>1118.78</v>
      </c>
      <c r="R138" s="143">
        <v>1114.3599999999999</v>
      </c>
      <c r="S138" s="143">
        <v>1216.8</v>
      </c>
      <c r="T138" s="143">
        <v>733.2</v>
      </c>
      <c r="U138" s="143">
        <v>914.94</v>
      </c>
      <c r="V138" s="143">
        <v>446.16</v>
      </c>
      <c r="W138" s="143">
        <v>477.62</v>
      </c>
      <c r="X138" s="143">
        <v>772.98</v>
      </c>
      <c r="Y138" s="143">
        <v>1538.16</v>
      </c>
      <c r="Z138" s="143">
        <v>1667.12</v>
      </c>
      <c r="AA138" s="143">
        <f>SUM(O138:Z138)</f>
        <v>11535.939999999999</v>
      </c>
      <c r="AB138" s="436">
        <f>IF(_epmOfflineCondition_,0.260003691819195,IF(AA138=0,"",IFERROR(AA138/_xll.EVGTS($B$1,1,_xll.EVPRO($B$1,$H138,"COSBASIS"),$B$3,$B$5,$B$6,$B$7,$B$9,AA$16,AA$17,AA$11),"")))</f>
        <v>0.26000369181919503</v>
      </c>
      <c r="AC138" s="140"/>
      <c r="AD138" s="143">
        <v>10346.07</v>
      </c>
      <c r="AE138" s="436">
        <f>IF(_epmOfflineCondition_,0.259999378780093,IF(AD138=0,"",IFERROR(AD138/_xll.EVGTS($B$1,1,_xll.EVPRO($B$1,$H138,"COSBASIS"),$B$3,$B$5,$B$6,$B$7,$B$9,AD$16,AD$17,AD$18),"")))</f>
        <v>0.25999937878009299</v>
      </c>
      <c r="AF138" s="145">
        <f t="shared" si="58"/>
        <v>1189.869999999999</v>
      </c>
      <c r="AG138" s="143">
        <v>5323.09</v>
      </c>
      <c r="AH138" s="436">
        <f>IF(_epmOfflineCondition_,0.305789567714039,IF(AG138=0,"",IFERROR(AG138/_xll.EVGTS($B$1,1,_xll.EVPRO($B$1,$H138,"COSBASIS"),$B$3,$B$5,$B$6,$B$7,$B$9,AG$16,AG$17,AG$18),"")))</f>
        <v>0.30578956771403898</v>
      </c>
      <c r="AI138" s="145">
        <f t="shared" si="59"/>
        <v>6212.8499999999985</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0.25994804188139298</v>
      </c>
      <c r="P139" s="508">
        <v>0.259987782529017</v>
      </c>
      <c r="Q139" s="508">
        <v>0.26</v>
      </c>
      <c r="R139" s="508">
        <v>0.26002426731379502</v>
      </c>
      <c r="S139" s="508">
        <v>0.26</v>
      </c>
      <c r="T139" s="508">
        <v>0.26</v>
      </c>
      <c r="U139" s="508">
        <v>0.26</v>
      </c>
      <c r="V139" s="508">
        <v>0.26</v>
      </c>
      <c r="W139" s="508">
        <v>0.26003680433812099</v>
      </c>
      <c r="X139" s="508">
        <v>0.26004373423044602</v>
      </c>
      <c r="Y139" s="508">
        <v>0.26</v>
      </c>
      <c r="Z139" s="508">
        <v>0.26</v>
      </c>
      <c r="AA139" s="508">
        <v>0.26000369181919503</v>
      </c>
      <c r="AB139" s="436"/>
      <c r="AC139" s="140"/>
      <c r="AD139" s="508">
        <v>0.25999937878009299</v>
      </c>
      <c r="AE139" s="436"/>
      <c r="AF139" s="521">
        <f t="shared" si="58"/>
        <v>4.3130391020329562E-6</v>
      </c>
      <c r="AG139" s="508">
        <v>0.30578956771403898</v>
      </c>
      <c r="AH139" s="436"/>
      <c r="AI139" s="521">
        <f t="shared" si="59"/>
        <v>-4.5785875894843953E-2</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v>6287.74</v>
      </c>
      <c r="P140" s="143">
        <v>12941.47</v>
      </c>
      <c r="Q140" s="143">
        <v>14927.69</v>
      </c>
      <c r="R140" s="143">
        <v>14801.14</v>
      </c>
      <c r="S140" s="143">
        <v>16778.55</v>
      </c>
      <c r="T140" s="143">
        <v>14857.33</v>
      </c>
      <c r="U140" s="143">
        <v>15744.26</v>
      </c>
      <c r="V140" s="143">
        <v>10190.41</v>
      </c>
      <c r="W140" s="143">
        <v>7506.94</v>
      </c>
      <c r="X140" s="143">
        <v>11466.22</v>
      </c>
      <c r="Y140" s="143">
        <v>12141.52</v>
      </c>
      <c r="Z140" s="143">
        <v>11305.72</v>
      </c>
      <c r="AA140" s="143">
        <f>SUM(O140:Z140)</f>
        <v>148948.99</v>
      </c>
      <c r="AB140" s="436">
        <f>IF(_epmOfflineCondition_,0.262734081425857,IF(AA140=0,"",IFERROR(AA140/_xll.EVGTS($B$1,1,_xll.EVPRO($B$1,$H140,"COSBASIS"),$B$3,$B$5,$B$6,$B$7,$B$9,AA$16,AA$17,AA$11),"")))</f>
        <v>0.26273408142585702</v>
      </c>
      <c r="AC140" s="140"/>
      <c r="AD140" s="143">
        <v>90497.62</v>
      </c>
      <c r="AE140" s="436">
        <f>IF(_epmOfflineCondition_,0.266594924723986,IF(AD140=0,"",IFERROR(AD140/_xll.EVGTS($B$1,1,_xll.EVPRO($B$1,$H140,"COSBASIS"),$B$3,$B$5,$B$6,$B$7,$B$9,AD$16,AD$17,AD$18),"")))</f>
        <v>0.26659492472398599</v>
      </c>
      <c r="AF140" s="145">
        <f t="shared" si="58"/>
        <v>58451.369999999995</v>
      </c>
      <c r="AG140" s="143">
        <v>33399.39</v>
      </c>
      <c r="AH140" s="436">
        <f>IF(_epmOfflineCondition_,0.223039775129062,IF(AG140=0,"",IFERROR(AG140/_xll.EVGTS($B$1,1,_xll.EVPRO($B$1,$H140,"COSBASIS"),$B$3,$B$5,$B$6,$B$7,$B$9,AG$16,AG$17,AG$18),"")))</f>
        <v>0.22303977512906201</v>
      </c>
      <c r="AI140" s="145">
        <f t="shared" si="59"/>
        <v>115549.59999999999</v>
      </c>
    </row>
    <row r="141" spans="1:35" x14ac:dyDescent="0.35">
      <c r="A141" s="11"/>
      <c r="B141" s="11"/>
      <c r="C141" s="208"/>
      <c r="D141" s="11"/>
      <c r="E141" s="11"/>
      <c r="F141" s="11"/>
      <c r="G141" s="11"/>
      <c r="H141" s="185"/>
      <c r="I141" s="122"/>
      <c r="J141" s="122"/>
      <c r="K141" s="11"/>
      <c r="L141" s="90"/>
      <c r="M141" s="90"/>
      <c r="N141" s="493" t="s">
        <v>762</v>
      </c>
      <c r="O141" s="508">
        <f t="shared" ref="O141:AA141" si="60">IFERROR(O140/O85,"")</f>
        <v>0.26939436887646595</v>
      </c>
      <c r="P141" s="508">
        <f t="shared" si="60"/>
        <v>0.26901277083484471</v>
      </c>
      <c r="Q141" s="508">
        <f t="shared" si="60"/>
        <v>0.26841677028294214</v>
      </c>
      <c r="R141" s="508">
        <f t="shared" si="60"/>
        <v>0.24171097284929322</v>
      </c>
      <c r="S141" s="508">
        <f t="shared" si="60"/>
        <v>0.26756783263286055</v>
      </c>
      <c r="T141" s="508">
        <f t="shared" si="60"/>
        <v>0.26318425145521346</v>
      </c>
      <c r="U141" s="508">
        <f t="shared" si="60"/>
        <v>0.26518372394399031</v>
      </c>
      <c r="V141" s="508">
        <f t="shared" si="60"/>
        <v>0.26458550025938199</v>
      </c>
      <c r="W141" s="508">
        <f t="shared" si="60"/>
        <v>0.25188876138323502</v>
      </c>
      <c r="X141" s="508">
        <f t="shared" si="60"/>
        <v>0.27392746054574207</v>
      </c>
      <c r="Y141" s="508">
        <f t="shared" si="60"/>
        <v>0.26054204845389584</v>
      </c>
      <c r="Z141" s="508">
        <f t="shared" si="60"/>
        <v>0.26101105619056636</v>
      </c>
      <c r="AA141" s="508">
        <f t="shared" si="60"/>
        <v>0.26273408142585686</v>
      </c>
      <c r="AB141" s="436"/>
      <c r="AC141" s="140"/>
      <c r="AD141" s="508">
        <f>IFERROR(AD140/AD85,"")</f>
        <v>0.26659492472398594</v>
      </c>
      <c r="AE141" s="436"/>
      <c r="AF141" s="521">
        <f t="shared" si="58"/>
        <v>-3.8608432981290797E-3</v>
      </c>
      <c r="AG141" s="508">
        <f>IFERROR(AG140/AG85,"")</f>
        <v>0.22303977512906159</v>
      </c>
      <c r="AH141" s="436"/>
      <c r="AI141" s="521">
        <f t="shared" si="59"/>
        <v>3.9694306296795268E-2</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-3.5527136788005009E-14</v>
      </c>
      <c r="P145" s="510">
        <f t="shared" si="63"/>
        <v>0</v>
      </c>
      <c r="Q145" s="510">
        <f t="shared" si="63"/>
        <v>0</v>
      </c>
      <c r="R145" s="510">
        <f t="shared" si="63"/>
        <v>0</v>
      </c>
      <c r="S145" s="510">
        <f t="shared" si="63"/>
        <v>-4.2632564145606011E-14</v>
      </c>
      <c r="T145" s="510">
        <f t="shared" si="63"/>
        <v>0</v>
      </c>
      <c r="U145" s="510">
        <f t="shared" si="63"/>
        <v>0</v>
      </c>
      <c r="V145" s="510">
        <f t="shared" si="63"/>
        <v>-3.1974423109204508E-14</v>
      </c>
      <c r="W145" s="510">
        <f t="shared" si="63"/>
        <v>0</v>
      </c>
      <c r="X145" s="510">
        <f t="shared" si="63"/>
        <v>0</v>
      </c>
      <c r="Y145" s="510">
        <f t="shared" si="63"/>
        <v>3.907985046680551E-14</v>
      </c>
      <c r="Z145" s="510">
        <f t="shared" si="63"/>
        <v>0</v>
      </c>
      <c r="AA145" s="510">
        <f t="shared" si="63"/>
        <v>0</v>
      </c>
      <c r="AB145" s="144"/>
      <c r="AC145" s="140"/>
      <c r="AD145" s="510">
        <f>IFERROR(AD$85/AD87,"")-AD88</f>
        <v>3.1974423109204508E-14</v>
      </c>
      <c r="AE145" s="144"/>
      <c r="AF145" s="143"/>
      <c r="AG145" s="510">
        <f>IFERROR(AG$85/AG87,"")-AG88</f>
        <v>-3.1974423109204508E-14</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kht7N7UNNvA1BCd0H6gpnzaollA2CcCsuWDsVSH38HVZNqM3ivOh2PVj4fakb5xInsFmZluPqqKCn42CCRmDg==" saltValue="wVGhrv+B6tuUfeQthtvP9A==" spinCount="100000" sheet="1" scenarios="1"/>
  <mergeCells count="2">
    <mergeCell ref="AD31:AE31"/>
    <mergeCell ref="AG31:AH31"/>
  </mergeCells>
  <conditionalFormatting sqref="AD43 AF43:AG43 O43:AA43">
    <cfRule type="expression" dxfId="65" priority="15">
      <formula>ROUND(O42,2)&lt;&gt;ROUND(O43,2)</formula>
    </cfRule>
  </conditionalFormatting>
  <conditionalFormatting sqref="N43">
    <cfRule type="expression" dxfId="64" priority="14">
      <formula>$G43&lt;&gt;0</formula>
    </cfRule>
  </conditionalFormatting>
  <conditionalFormatting sqref="O53:AA53 AD53 AF53:AG53">
    <cfRule type="expression" dxfId="63" priority="13">
      <formula>ROUND(O52,2)&lt;&gt;ROUND(O53,2)</formula>
    </cfRule>
  </conditionalFormatting>
  <conditionalFormatting sqref="N53">
    <cfRule type="expression" dxfId="62" priority="12">
      <formula>$G53&lt;&gt;0</formula>
    </cfRule>
  </conditionalFormatting>
  <conditionalFormatting sqref="O63:AA63 AD63 AF63:AG63">
    <cfRule type="expression" dxfId="61" priority="11">
      <formula>ROUND(O62,2)&lt;&gt;ROUND(O63,2)</formula>
    </cfRule>
  </conditionalFormatting>
  <conditionalFormatting sqref="N63">
    <cfRule type="expression" dxfId="60" priority="10">
      <formula>$G63&lt;&gt;0</formula>
    </cfRule>
  </conditionalFormatting>
  <conditionalFormatting sqref="O73:AA73 AD73 AF73:AG73">
    <cfRule type="expression" dxfId="59" priority="9">
      <formula>ROUND(O72,2)&lt;&gt;ROUND(O73,2)</formula>
    </cfRule>
  </conditionalFormatting>
  <conditionalFormatting sqref="N73">
    <cfRule type="expression" dxfId="58" priority="8">
      <formula>$G73&lt;&gt;0</formula>
    </cfRule>
  </conditionalFormatting>
  <conditionalFormatting sqref="N82">
    <cfRule type="expression" dxfId="57" priority="7">
      <formula>$G82&lt;&gt;0</formula>
    </cfRule>
  </conditionalFormatting>
  <conditionalFormatting sqref="AD82 AF82:AG82 O82:AA82">
    <cfRule type="expression" dxfId="56" priority="6">
      <formula>ROUND(O81,2)&lt;&gt;ROUND(O82,2)</formula>
    </cfRule>
  </conditionalFormatting>
  <conditionalFormatting sqref="AI43">
    <cfRule type="expression" dxfId="55" priority="5">
      <formula>ROUND(AI42,2)&lt;&gt;ROUND(AI43,2)</formula>
    </cfRule>
  </conditionalFormatting>
  <conditionalFormatting sqref="AI53">
    <cfRule type="expression" dxfId="54" priority="4">
      <formula>ROUND(AI52,2)&lt;&gt;ROUND(AI53,2)</formula>
    </cfRule>
  </conditionalFormatting>
  <conditionalFormatting sqref="AI63">
    <cfRule type="expression" dxfId="53" priority="3">
      <formula>ROUND(AI62,2)&lt;&gt;ROUND(AI63,2)</formula>
    </cfRule>
  </conditionalFormatting>
  <conditionalFormatting sqref="AI73">
    <cfRule type="expression" dxfId="52" priority="2">
      <formula>ROUND(AI72,2)&lt;&gt;ROUND(AI73,2)</formula>
    </cfRule>
  </conditionalFormatting>
  <conditionalFormatting sqref="AI82">
    <cfRule type="expression" dxfId="51" priority="1">
      <formula>ROUND(AI81,2)&lt;&gt;ROUND(AI82,2)</formula>
    </cfRule>
  </conditionalFormatting>
  <dataValidations disablePrompts="1" count="2">
    <dataValidation type="list" allowBlank="1" sqref="B29" xr:uid="{00000000-0002-0000-1400-000000000000}">
      <formula1>"SELF,ALL,BAS,DEP,BASMEMBERS,MEMBERS,NOEXPAND,GDEP"</formula1>
    </dataValidation>
    <dataValidation type="list" allowBlank="1" sqref="B28" xr:uid="{00000000-0002-0000-1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346</v>
      </c>
      <c r="C6" s="11" t="str">
        <f>IF(_epmOfflineCondition_,"In Room Dining",_xll.EVDES(B6,$B$1))</f>
        <v>In Room Dining</v>
      </c>
      <c r="D6" s="11"/>
      <c r="E6" s="58" t="str">
        <f>IF(_epmOfflineCondition_,"D2147",_xll.EVPRO($B$1,$B$6,$F$6))</f>
        <v>D2147</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IF(_epmOfflineCondition_,"'IRD'!$B$2:$B$10",_xll.EVRNG($B$2:$B$10))</f>
        <v>'IRD'!$B$2:$B$10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IF(_epmOfflineCondition_,"'IRD'!$O$16:$AN$18",_xll.EVRNG($O$16:$AN$18))</f>
        <v>'IRD'!$O$16:$AN$18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IF(_epmOfflineCondition_,"'IRD'!$H$35:$H$51",_xll.EVRNG(H35:H51))</f>
        <v>'IRD'!$H$35:$H$51</v>
      </c>
      <c r="C19" s="11"/>
      <c r="D19" s="11"/>
      <c r="E19" s="11"/>
      <c r="F19" s="11"/>
      <c r="G19" s="67" t="str">
        <f>$B$6</f>
        <v>D_RS_CON</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IF(_epmOfflineCondition_,26457.41,_xll.EVGTS($B$1,1,$B$3,$B$5,$B$7,$B$9,AG$16,AG$17,AG$18,$G$19,$H$19))</f>
        <v>26457.41</v>
      </c>
      <c r="AH19" s="67"/>
      <c r="AI19" s="67"/>
      <c r="AJ19" s="11"/>
      <c r="AK19" s="11"/>
      <c r="AL19" s="11"/>
      <c r="AM19" s="11"/>
      <c r="AN19" s="11"/>
      <c r="AO19" s="11"/>
    </row>
    <row r="20" spans="1:41" hidden="1" outlineLevel="1" x14ac:dyDescent="0.35">
      <c r="A20" s="65" t="s">
        <v>5</v>
      </c>
      <c r="B20" s="66"/>
      <c r="C20" s="11"/>
      <c r="D20" s="11"/>
      <c r="E20" s="11"/>
      <c r="F20" s="11"/>
      <c r="G20" s="67" t="str">
        <f>$B$6</f>
        <v>D_RS_CON</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IF(_epmOfflineCondition_,1024,_xll.EVGTS($B$1,1,$B$3,$B$5,$B$7,$B$9,AG$16,AG$17,AG$18,$G$20,$H$20))</f>
        <v>1024</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IF(_epmOfflineCondition_,"'IRD'!$A$36:$F$44",_xll.EVRNG(A36:F44))</f>
        <v>'IRD'!$A$36:$F$44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IF(_epmOfflineCondition_,"'IRD'!$A$125:$B$146",_xll.EVRNG($A$125:$B$146))</f>
        <v>'IRD'!$A$125:$B$146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IF(_epmOfflineCondition_,"In Room Dining Department",IF(_xll.EVDES(B6,$B$1)="#NODATA","",_xll.EVDES(B6,$B$1)&amp;" Department"))</f>
        <v>In Room Dining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D2147=Y,REV_F,BEV,DEP(REV_BEV) AND D2147=Y,REV_BEV,ALLOW_FB,REV_FB,OTHR_REV,DEP(REV_OTHR) AND D2147=Y,REV_OTHR,400000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1"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c r="P35" s="564"/>
      <c r="Q35" s="564"/>
      <c r="R35" s="564"/>
      <c r="S35" s="564"/>
      <c r="T35" s="564"/>
      <c r="U35" s="564"/>
      <c r="V35" s="564"/>
      <c r="W35" s="564"/>
      <c r="X35" s="564"/>
      <c r="Y35" s="564"/>
      <c r="Z35" s="564"/>
      <c r="AA35" s="250">
        <f t="shared" ref="AA35:AA51" si="1">IF($I35="B1","",SUM(O35:Z35))</f>
        <v>0</v>
      </c>
      <c r="AB35" s="565" t="str">
        <f t="shared" ref="AB35:AB51" si="2">IF(AA35=0,"",IFERROR(AA35/AA$19,""))</f>
        <v/>
      </c>
      <c r="AC35" s="437"/>
      <c r="AD35" s="564"/>
      <c r="AE35" s="565" t="str">
        <f t="shared" ref="AE35:AE51" si="3">IF(AD35=0,"",IFERROR(AD35/AD$19,""))</f>
        <v/>
      </c>
      <c r="AF35" s="566">
        <f t="shared" ref="AF35:AF51" si="4">IF(AND($AA35="",AD35=""),"",$AA35-AD35)</f>
        <v>0</v>
      </c>
      <c r="AG35" s="564">
        <v>7616</v>
      </c>
      <c r="AH35" s="565">
        <f t="shared" ref="AH35:AH51" si="5">IF(AG35=0,"",IFERROR(AG35/AG$19,""))</f>
        <v>0.28785886449202702</v>
      </c>
      <c r="AI35" s="567">
        <f t="shared" ref="AI35:AI51" si="6">IF(AND($AA35="",AG35=""),"",$AA35-AG35)</f>
        <v>-7616</v>
      </c>
      <c r="AJ35" s="440">
        <f t="shared" ref="AJ35:AJ51" si="7">IFERROR(AA35/AA$20,0)</f>
        <v>0</v>
      </c>
      <c r="AK35" s="441">
        <f t="shared" ref="AK35:AK51" si="8">IFERROR(AD35/AD$20,0)</f>
        <v>0</v>
      </c>
      <c r="AL35" s="442">
        <f t="shared" ref="AL35:AL51" si="9">IFERROR(AG35/AG$20,0)</f>
        <v>7.4375</v>
      </c>
      <c r="AM35" s="443">
        <f t="shared" ref="AM35:AM51" si="10">+IFERROR(ROUND(($AB35-AE35)*100,2)&amp;" pts.",0)</f>
        <v>0</v>
      </c>
      <c r="AN35" s="444">
        <f t="shared" ref="AN35:AN51"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c r="P36" s="564"/>
      <c r="Q36" s="564"/>
      <c r="R36" s="564"/>
      <c r="S36" s="564"/>
      <c r="T36" s="564"/>
      <c r="U36" s="564"/>
      <c r="V36" s="564"/>
      <c r="W36" s="564"/>
      <c r="X36" s="564"/>
      <c r="Y36" s="564"/>
      <c r="Z36" s="564"/>
      <c r="AA36" s="250">
        <f t="shared" si="1"/>
        <v>0</v>
      </c>
      <c r="AB36" s="565" t="str">
        <f t="shared" si="2"/>
        <v/>
      </c>
      <c r="AC36" s="437"/>
      <c r="AD36" s="564"/>
      <c r="AE36" s="565" t="str">
        <f t="shared" si="3"/>
        <v/>
      </c>
      <c r="AF36" s="566">
        <f t="shared" si="4"/>
        <v>0</v>
      </c>
      <c r="AG36" s="564">
        <v>3634</v>
      </c>
      <c r="AH36" s="565">
        <f t="shared" si="5"/>
        <v>0.13735282478519251</v>
      </c>
      <c r="AI36" s="567">
        <f t="shared" si="6"/>
        <v>-3634</v>
      </c>
      <c r="AJ36" s="440">
        <f t="shared" si="7"/>
        <v>0</v>
      </c>
      <c r="AK36" s="441">
        <f t="shared" si="8"/>
        <v>0</v>
      </c>
      <c r="AL36" s="442">
        <f t="shared" si="9"/>
        <v>3.548828125</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45"/>
      <c r="P37" s="251"/>
      <c r="Q37" s="251"/>
      <c r="R37" s="251"/>
      <c r="S37" s="251"/>
      <c r="T37" s="251"/>
      <c r="U37" s="251"/>
      <c r="V37" s="251"/>
      <c r="W37" s="251"/>
      <c r="X37" s="251"/>
      <c r="Y37" s="251"/>
      <c r="Z37" s="251"/>
      <c r="AA37" s="251">
        <f t="shared" si="1"/>
        <v>0</v>
      </c>
      <c r="AB37" s="446" t="str">
        <f t="shared" si="2"/>
        <v/>
      </c>
      <c r="AC37" s="437"/>
      <c r="AD37" s="251"/>
      <c r="AE37" s="446" t="str">
        <f t="shared" si="3"/>
        <v/>
      </c>
      <c r="AF37" s="447">
        <f t="shared" si="4"/>
        <v>0</v>
      </c>
      <c r="AG37" s="251">
        <v>6056.15</v>
      </c>
      <c r="AH37" s="446">
        <f t="shared" si="5"/>
        <v>0.2289018464014429</v>
      </c>
      <c r="AI37" s="448">
        <f t="shared" si="6"/>
        <v>-6056.15</v>
      </c>
      <c r="AJ37" s="449">
        <f t="shared" si="7"/>
        <v>0</v>
      </c>
      <c r="AK37" s="450">
        <f t="shared" si="8"/>
        <v>0</v>
      </c>
      <c r="AL37" s="451">
        <f t="shared" si="9"/>
        <v>5.9142089843749996</v>
      </c>
      <c r="AM37" s="452">
        <f t="shared" si="10"/>
        <v>0</v>
      </c>
      <c r="AN37" s="453">
        <f t="shared" si="11"/>
        <v>0</v>
      </c>
      <c r="AO37" s="11"/>
    </row>
    <row r="38" spans="1:41" x14ac:dyDescent="0.35">
      <c r="A38" s="11" t="s">
        <v>105</v>
      </c>
      <c r="B38" s="11"/>
      <c r="C38" s="104" t="s">
        <v>101</v>
      </c>
      <c r="D38" s="11" t="s">
        <v>106</v>
      </c>
      <c r="E38" s="11"/>
      <c r="F38" s="11" t="s">
        <v>98</v>
      </c>
      <c r="G38" s="11"/>
      <c r="H38" s="88" t="s">
        <v>265</v>
      </c>
      <c r="I38" s="188" t="str">
        <f>IF(_epmOfflineCondition_,"T4",_xll.EVPRO($B$1,$H38,"STYLE"))</f>
        <v>T4</v>
      </c>
      <c r="J38" s="188" t="str">
        <f>IF(_epmOfflineCondition_,"Y",_xll.EVPRO($B$1,$H38,"CALC"))</f>
        <v>Y</v>
      </c>
      <c r="K38" s="189" t="str">
        <f t="shared" si="0"/>
        <v/>
      </c>
      <c r="L38" s="190" t="str">
        <f>IF(_epmOfflineCondition_,"",_xll.EVPRO($B$1,H38,"JDEID"))</f>
        <v/>
      </c>
      <c r="M38" s="190" t="str">
        <f>IF(_epmOfflineCondition_,"",IF(AND(I38="N",J38="N"),_xll.EVPRO($B$1,H38,"PSFTID"),""))</f>
        <v/>
      </c>
      <c r="N38" s="190" t="str">
        <f>IF(_epmOfflineCondition_,"Total Food Revenue",IF(_xll.EVDES(H38,$B$1)="#NODATA","",_xll.EVDES(H38,$B$1)))</f>
        <v>Total Food Revenue</v>
      </c>
      <c r="O38" s="454"/>
      <c r="P38" s="225"/>
      <c r="Q38" s="225"/>
      <c r="R38" s="225"/>
      <c r="S38" s="225"/>
      <c r="T38" s="225"/>
      <c r="U38" s="225"/>
      <c r="V38" s="225"/>
      <c r="W38" s="225"/>
      <c r="X38" s="225"/>
      <c r="Y38" s="225"/>
      <c r="Z38" s="225"/>
      <c r="AA38" s="225">
        <f t="shared" si="1"/>
        <v>0</v>
      </c>
      <c r="AB38" s="226" t="str">
        <f t="shared" si="2"/>
        <v/>
      </c>
      <c r="AC38" s="227"/>
      <c r="AD38" s="225"/>
      <c r="AE38" s="226" t="str">
        <f t="shared" si="3"/>
        <v/>
      </c>
      <c r="AF38" s="228">
        <f t="shared" si="4"/>
        <v>0</v>
      </c>
      <c r="AG38" s="225">
        <v>17306.150000000001</v>
      </c>
      <c r="AH38" s="226">
        <f t="shared" si="5"/>
        <v>0.65411353567866248</v>
      </c>
      <c r="AI38" s="455">
        <f t="shared" si="6"/>
        <v>-17306.150000000001</v>
      </c>
      <c r="AJ38" s="229">
        <f t="shared" si="7"/>
        <v>0</v>
      </c>
      <c r="AK38" s="230">
        <f t="shared" si="8"/>
        <v>0</v>
      </c>
      <c r="AL38" s="232">
        <f t="shared" si="9"/>
        <v>16.900537109375001</v>
      </c>
      <c r="AM38" s="427">
        <f t="shared" si="10"/>
        <v>0</v>
      </c>
      <c r="AN38" s="456">
        <f t="shared" si="11"/>
        <v>0</v>
      </c>
      <c r="AO38" s="11"/>
    </row>
    <row r="39" spans="1:41" x14ac:dyDescent="0.35">
      <c r="A39" s="11" t="s">
        <v>104</v>
      </c>
      <c r="B39" s="11"/>
      <c r="C39" s="104" t="s">
        <v>101</v>
      </c>
      <c r="D39" s="11" t="s">
        <v>106</v>
      </c>
      <c r="E39" s="11"/>
      <c r="F39" s="11" t="s">
        <v>98</v>
      </c>
      <c r="G39" s="11"/>
      <c r="H39" s="88" t="s">
        <v>266</v>
      </c>
      <c r="I39" s="188" t="str">
        <f>IF(_epmOfflineCondition_,"B1",_xll.EVPRO($B$1,$H39,"STYLE"))</f>
        <v>B1</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IF(_epmOfflineCondition_,"Beverage Revenue",IF(_xll.EVDES(H39,$B$1)="#NODATA","",_xll.EVDES(H39,$B$1)))</f>
        <v>Beverage Revenue</v>
      </c>
      <c r="O39" s="568"/>
      <c r="P39" s="210"/>
      <c r="Q39" s="210"/>
      <c r="R39" s="210"/>
      <c r="S39" s="210"/>
      <c r="T39" s="210"/>
      <c r="U39" s="210"/>
      <c r="V39" s="210"/>
      <c r="W39" s="210"/>
      <c r="X39" s="210"/>
      <c r="Y39" s="210"/>
      <c r="Z39" s="210"/>
      <c r="AA39" s="252" t="str">
        <f t="shared" si="1"/>
        <v/>
      </c>
      <c r="AB39" s="211" t="str">
        <f t="shared" si="2"/>
        <v/>
      </c>
      <c r="AC39" s="459"/>
      <c r="AD39" s="210"/>
      <c r="AE39" s="211" t="str">
        <f t="shared" si="3"/>
        <v/>
      </c>
      <c r="AF39" s="253" t="str">
        <f t="shared" si="4"/>
        <v/>
      </c>
      <c r="AG39" s="210"/>
      <c r="AH39" s="211" t="str">
        <f t="shared" si="5"/>
        <v/>
      </c>
      <c r="AI39" s="569" t="str">
        <f t="shared" si="6"/>
        <v/>
      </c>
      <c r="AJ39" s="234">
        <f t="shared" si="7"/>
        <v>0</v>
      </c>
      <c r="AK39" s="235">
        <f t="shared" si="8"/>
        <v>0</v>
      </c>
      <c r="AL39" s="237">
        <f t="shared" si="9"/>
        <v>0</v>
      </c>
      <c r="AM39" s="429">
        <f t="shared" si="10"/>
        <v>0</v>
      </c>
      <c r="AN39" s="462">
        <f t="shared" si="11"/>
        <v>0</v>
      </c>
      <c r="AO39" s="11"/>
    </row>
    <row r="40" spans="1:41" x14ac:dyDescent="0.35">
      <c r="A40" s="11" t="s">
        <v>100</v>
      </c>
      <c r="B40" s="11"/>
      <c r="C40" s="53" t="s">
        <v>101</v>
      </c>
      <c r="D40" s="11" t="s">
        <v>106</v>
      </c>
      <c r="E40" s="11"/>
      <c r="F40" s="11" t="s">
        <v>98</v>
      </c>
      <c r="G40" s="11"/>
      <c r="H40" s="88" t="s">
        <v>267</v>
      </c>
      <c r="I40" s="122" t="str">
        <f>IF(_epmOfflineCondition_,"T5",_xll.EVPRO($B$1,$H40,"STYLE"))</f>
        <v>T5</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IF(_epmOfflineCondition_,"Breakfast  Beverage Revenue",IF(_xll.EVDES(H40,$B$1)="#NODATA","",_xll.EVDES(H40,$B$1)))</f>
        <v>Breakfast  Beverage Revenue</v>
      </c>
      <c r="O40" s="563"/>
      <c r="P40" s="564"/>
      <c r="Q40" s="564"/>
      <c r="R40" s="564"/>
      <c r="S40" s="564"/>
      <c r="T40" s="564"/>
      <c r="U40" s="564"/>
      <c r="V40" s="564"/>
      <c r="W40" s="564"/>
      <c r="X40" s="564"/>
      <c r="Y40" s="564"/>
      <c r="Z40" s="564"/>
      <c r="AA40" s="250">
        <f t="shared" si="1"/>
        <v>0</v>
      </c>
      <c r="AB40" s="565" t="str">
        <f t="shared" si="2"/>
        <v/>
      </c>
      <c r="AC40" s="437"/>
      <c r="AD40" s="564"/>
      <c r="AE40" s="565" t="str">
        <f t="shared" si="3"/>
        <v/>
      </c>
      <c r="AF40" s="566">
        <f t="shared" si="4"/>
        <v>0</v>
      </c>
      <c r="AG40" s="564">
        <v>95</v>
      </c>
      <c r="AH40" s="565">
        <f t="shared" si="5"/>
        <v>3.5906764872298538E-3</v>
      </c>
      <c r="AI40" s="567">
        <f t="shared" si="6"/>
        <v>-95</v>
      </c>
      <c r="AJ40" s="440">
        <f t="shared" si="7"/>
        <v>0</v>
      </c>
      <c r="AK40" s="441">
        <f t="shared" si="8"/>
        <v>0</v>
      </c>
      <c r="AL40" s="442">
        <f t="shared" si="9"/>
        <v>9.27734375E-2</v>
      </c>
      <c r="AM40" s="443">
        <f t="shared" si="10"/>
        <v>0</v>
      </c>
      <c r="AN40" s="444">
        <f t="shared" si="11"/>
        <v>0</v>
      </c>
      <c r="AO40" s="11"/>
    </row>
    <row r="41" spans="1:41" x14ac:dyDescent="0.35">
      <c r="A41" s="11" t="s">
        <v>102</v>
      </c>
      <c r="B41" s="11"/>
      <c r="C41" s="106" t="s">
        <v>101</v>
      </c>
      <c r="D41" s="11" t="s">
        <v>106</v>
      </c>
      <c r="E41" s="11"/>
      <c r="F41" s="11" t="s">
        <v>98</v>
      </c>
      <c r="G41" s="11"/>
      <c r="H41" s="88" t="s">
        <v>268</v>
      </c>
      <c r="I41" s="122" t="str">
        <f>IF(_epmOfflineCondition_,"T5",_xll.EVPRO($B$1,$H41,"STYLE"))</f>
        <v>T5</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IF(_epmOfflineCondition_,"Lunch Beverage Revenue",IF(_xll.EVDES(H41,$B$1)="#NODATA","",_xll.EVDES(H41,$B$1)))</f>
        <v>Lunch Beverage Revenue</v>
      </c>
      <c r="O41" s="563"/>
      <c r="P41" s="564"/>
      <c r="Q41" s="564"/>
      <c r="R41" s="564"/>
      <c r="S41" s="564"/>
      <c r="T41" s="564"/>
      <c r="U41" s="564"/>
      <c r="V41" s="564"/>
      <c r="W41" s="564"/>
      <c r="X41" s="564"/>
      <c r="Y41" s="564"/>
      <c r="Z41" s="564"/>
      <c r="AA41" s="250">
        <f t="shared" si="1"/>
        <v>0</v>
      </c>
      <c r="AB41" s="565" t="str">
        <f t="shared" si="2"/>
        <v/>
      </c>
      <c r="AC41" s="437"/>
      <c r="AD41" s="564"/>
      <c r="AE41" s="565" t="str">
        <f t="shared" si="3"/>
        <v/>
      </c>
      <c r="AF41" s="566">
        <f t="shared" si="4"/>
        <v>0</v>
      </c>
      <c r="AG41" s="564">
        <v>1637</v>
      </c>
      <c r="AH41" s="565">
        <f t="shared" si="5"/>
        <v>6.1873025364160741E-2</v>
      </c>
      <c r="AI41" s="567">
        <f t="shared" si="6"/>
        <v>-1637</v>
      </c>
      <c r="AJ41" s="440">
        <f t="shared" si="7"/>
        <v>0</v>
      </c>
      <c r="AK41" s="441">
        <f t="shared" si="8"/>
        <v>0</v>
      </c>
      <c r="AL41" s="442">
        <f t="shared" si="9"/>
        <v>1.5986328125</v>
      </c>
      <c r="AM41" s="443">
        <f t="shared" si="10"/>
        <v>0</v>
      </c>
      <c r="AN41" s="444">
        <f t="shared" si="11"/>
        <v>0</v>
      </c>
      <c r="AO41" s="11"/>
    </row>
    <row r="42" spans="1:41" x14ac:dyDescent="0.35">
      <c r="A42" s="11" t="s">
        <v>102</v>
      </c>
      <c r="B42" s="11"/>
      <c r="C42" s="196" t="s">
        <v>101</v>
      </c>
      <c r="D42" s="11" t="s">
        <v>107</v>
      </c>
      <c r="E42" s="11"/>
      <c r="F42" s="11" t="s">
        <v>99</v>
      </c>
      <c r="G42" s="11"/>
      <c r="H42" s="88" t="s">
        <v>269</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IF(_epmOfflineCondition_,"Dinner Beverage Revenue",IF(_xll.EVDES(H42,$B$1)="#NODATA","",_xll.EVDES(H42,$B$1)))</f>
        <v>Dinner Beverage Revenue</v>
      </c>
      <c r="O42" s="445"/>
      <c r="P42" s="251"/>
      <c r="Q42" s="251"/>
      <c r="R42" s="251"/>
      <c r="S42" s="251"/>
      <c r="T42" s="251"/>
      <c r="U42" s="251"/>
      <c r="V42" s="251"/>
      <c r="W42" s="251"/>
      <c r="X42" s="251"/>
      <c r="Y42" s="251"/>
      <c r="Z42" s="251"/>
      <c r="AA42" s="251">
        <f t="shared" si="1"/>
        <v>0</v>
      </c>
      <c r="AB42" s="446" t="str">
        <f t="shared" si="2"/>
        <v/>
      </c>
      <c r="AC42" s="437"/>
      <c r="AD42" s="251"/>
      <c r="AE42" s="446" t="str">
        <f t="shared" si="3"/>
        <v/>
      </c>
      <c r="AF42" s="447">
        <f t="shared" si="4"/>
        <v>0</v>
      </c>
      <c r="AG42" s="251">
        <v>1178</v>
      </c>
      <c r="AH42" s="446">
        <f t="shared" si="5"/>
        <v>4.4524388441650187E-2</v>
      </c>
      <c r="AI42" s="448">
        <f t="shared" si="6"/>
        <v>-1178</v>
      </c>
      <c r="AJ42" s="449">
        <f t="shared" si="7"/>
        <v>0</v>
      </c>
      <c r="AK42" s="450">
        <f t="shared" si="8"/>
        <v>0</v>
      </c>
      <c r="AL42" s="451">
        <f t="shared" si="9"/>
        <v>1.150390625</v>
      </c>
      <c r="AM42" s="452">
        <f t="shared" si="10"/>
        <v>0</v>
      </c>
      <c r="AN42" s="453">
        <f t="shared" si="11"/>
        <v>0</v>
      </c>
      <c r="AO42" s="11"/>
    </row>
    <row r="43" spans="1:41" x14ac:dyDescent="0.35">
      <c r="A43" s="11" t="s">
        <v>108</v>
      </c>
      <c r="B43" s="11"/>
      <c r="C43" s="106" t="s">
        <v>101</v>
      </c>
      <c r="D43" s="11" t="s">
        <v>106</v>
      </c>
      <c r="E43" s="11"/>
      <c r="F43" s="11" t="s">
        <v>98</v>
      </c>
      <c r="G43" s="11"/>
      <c r="H43" s="88" t="s">
        <v>272</v>
      </c>
      <c r="I43" s="188" t="str">
        <f>IF(_epmOfflineCondition_,"T4",_xll.EVPRO($B$1,$H43,"STYLE"))</f>
        <v>T4</v>
      </c>
      <c r="J43" s="188" t="str">
        <f>IF(_epmOfflineCondition_,"Y",_xll.EVPRO($B$1,$H43,"CALC"))</f>
        <v>Y</v>
      </c>
      <c r="K43" s="189" t="str">
        <f t="shared" si="0"/>
        <v/>
      </c>
      <c r="L43" s="190" t="str">
        <f>IF(_epmOfflineCondition_,"",_xll.EVPRO($B$1,H43,"JDEID"))</f>
        <v/>
      </c>
      <c r="M43" s="190" t="str">
        <f>IF(_epmOfflineCondition_,"",IF(AND(I43="N",J43="N"),_xll.EVPRO($B$1,H43,"PSFTID"),""))</f>
        <v/>
      </c>
      <c r="N43" s="190" t="str">
        <f>IF(_epmOfflineCondition_,"Total Beverage Revenue",IF(_xll.EVDES(H43,$B$1)="#NODATA","",_xll.EVDES(H43,$B$1)))</f>
        <v>Total Beverage Revenue</v>
      </c>
      <c r="O43" s="454"/>
      <c r="P43" s="225"/>
      <c r="Q43" s="225"/>
      <c r="R43" s="225"/>
      <c r="S43" s="225"/>
      <c r="T43" s="225"/>
      <c r="U43" s="225"/>
      <c r="V43" s="225"/>
      <c r="W43" s="225"/>
      <c r="X43" s="225"/>
      <c r="Y43" s="225"/>
      <c r="Z43" s="225"/>
      <c r="AA43" s="225">
        <f t="shared" si="1"/>
        <v>0</v>
      </c>
      <c r="AB43" s="226" t="str">
        <f t="shared" si="2"/>
        <v/>
      </c>
      <c r="AC43" s="227"/>
      <c r="AD43" s="225"/>
      <c r="AE43" s="226" t="str">
        <f t="shared" si="3"/>
        <v/>
      </c>
      <c r="AF43" s="228">
        <f t="shared" si="4"/>
        <v>0</v>
      </c>
      <c r="AG43" s="225">
        <v>2910</v>
      </c>
      <c r="AH43" s="226">
        <f t="shared" si="5"/>
        <v>0.10998809029304078</v>
      </c>
      <c r="AI43" s="455">
        <f t="shared" si="6"/>
        <v>-2910</v>
      </c>
      <c r="AJ43" s="229">
        <f t="shared" si="7"/>
        <v>0</v>
      </c>
      <c r="AK43" s="230">
        <f t="shared" si="8"/>
        <v>0</v>
      </c>
      <c r="AL43" s="232">
        <f t="shared" si="9"/>
        <v>2.841796875</v>
      </c>
      <c r="AM43" s="427">
        <f t="shared" si="10"/>
        <v>0</v>
      </c>
      <c r="AN43" s="456">
        <f t="shared" si="11"/>
        <v>0</v>
      </c>
      <c r="AO43" s="11"/>
    </row>
    <row r="44" spans="1:41" x14ac:dyDescent="0.35">
      <c r="A44" s="11" t="s">
        <v>108</v>
      </c>
      <c r="B44" s="11"/>
      <c r="C44" s="196" t="s">
        <v>101</v>
      </c>
      <c r="D44" s="11" t="s">
        <v>107</v>
      </c>
      <c r="E44" s="11"/>
      <c r="F44" s="11" t="s">
        <v>99</v>
      </c>
      <c r="G44" s="11"/>
      <c r="H44" s="88" t="s">
        <v>486</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IF(_epmOfflineCondition_,"Food &amp; Beverage: Allowances",IF(_xll.EVDES(H44,$B$1)="#NODATA","",_xll.EVDES(H44,$B$1)))</f>
        <v>Food &amp; Beverage: Allowances</v>
      </c>
      <c r="O44" s="530"/>
      <c r="P44" s="216"/>
      <c r="Q44" s="216"/>
      <c r="R44" s="216"/>
      <c r="S44" s="216"/>
      <c r="T44" s="216"/>
      <c r="U44" s="216"/>
      <c r="V44" s="216"/>
      <c r="W44" s="216"/>
      <c r="X44" s="216"/>
      <c r="Y44" s="216"/>
      <c r="Z44" s="216"/>
      <c r="AA44" s="216">
        <f t="shared" si="1"/>
        <v>0</v>
      </c>
      <c r="AB44" s="218" t="str">
        <f t="shared" si="2"/>
        <v/>
      </c>
      <c r="AC44" s="459"/>
      <c r="AD44" s="216"/>
      <c r="AE44" s="218" t="str">
        <f t="shared" si="3"/>
        <v/>
      </c>
      <c r="AF44" s="233">
        <f t="shared" si="4"/>
        <v>0</v>
      </c>
      <c r="AG44" s="216">
        <v>-208.33</v>
      </c>
      <c r="AH44" s="218">
        <f t="shared" si="5"/>
        <v>-7.8741645535220575E-3</v>
      </c>
      <c r="AI44" s="531">
        <f t="shared" si="6"/>
        <v>208.33</v>
      </c>
      <c r="AJ44" s="532">
        <f t="shared" si="7"/>
        <v>0</v>
      </c>
      <c r="AK44" s="533">
        <f t="shared" si="8"/>
        <v>0</v>
      </c>
      <c r="AL44" s="534">
        <f t="shared" si="9"/>
        <v>-0.20344726562500001</v>
      </c>
      <c r="AM44" s="535">
        <f t="shared" si="10"/>
        <v>0</v>
      </c>
      <c r="AN44" s="536">
        <f t="shared" si="11"/>
        <v>0</v>
      </c>
      <c r="AO44" s="11"/>
    </row>
    <row r="45" spans="1:41" x14ac:dyDescent="0.35">
      <c r="A45" s="11"/>
      <c r="B45" s="11"/>
      <c r="C45" s="11"/>
      <c r="D45" s="11"/>
      <c r="E45" s="11"/>
      <c r="F45" s="11"/>
      <c r="G45" s="11"/>
      <c r="H45" s="88" t="s">
        <v>273</v>
      </c>
      <c r="I45" s="188" t="str">
        <f>IF(_epmOfflineCondition_,"T4",_xll.EVPRO($B$1,$H45,"STYLE"))</f>
        <v>T4</v>
      </c>
      <c r="J45" s="188" t="str">
        <f>IF(_epmOfflineCondition_,"Y",_xll.EVPRO($B$1,$H45,"CALC"))</f>
        <v>Y</v>
      </c>
      <c r="K45" s="189" t="str">
        <f t="shared" si="0"/>
        <v/>
      </c>
      <c r="L45" s="190" t="str">
        <f>IF(_epmOfflineCondition_,"",_xll.EVPRO($B$1,H45,"JDEID"))</f>
        <v/>
      </c>
      <c r="M45" s="190" t="str">
        <f>IF(_epmOfflineCondition_,"",IF(AND(I45="N",J45="N"),_xll.EVPRO($B$1,H45,"PSFTID"),""))</f>
        <v/>
      </c>
      <c r="N45" s="190" t="str">
        <f>IF(_epmOfflineCondition_,"Total Food &amp; Beverage Revenue",IF(_xll.EVDES(H45,$B$1)="#NODATA","",_xll.EVDES(H45,$B$1)))</f>
        <v>Total Food &amp; Beverage Revenue</v>
      </c>
      <c r="O45" s="454"/>
      <c r="P45" s="225"/>
      <c r="Q45" s="225"/>
      <c r="R45" s="225"/>
      <c r="S45" s="225"/>
      <c r="T45" s="225"/>
      <c r="U45" s="225"/>
      <c r="V45" s="225"/>
      <c r="W45" s="225"/>
      <c r="X45" s="225"/>
      <c r="Y45" s="225"/>
      <c r="Z45" s="225"/>
      <c r="AA45" s="225">
        <f t="shared" si="1"/>
        <v>0</v>
      </c>
      <c r="AB45" s="226" t="str">
        <f t="shared" si="2"/>
        <v/>
      </c>
      <c r="AC45" s="227"/>
      <c r="AD45" s="225"/>
      <c r="AE45" s="226" t="str">
        <f t="shared" si="3"/>
        <v/>
      </c>
      <c r="AF45" s="228">
        <f t="shared" si="4"/>
        <v>0</v>
      </c>
      <c r="AG45" s="225">
        <v>20007.82</v>
      </c>
      <c r="AH45" s="226">
        <f t="shared" si="5"/>
        <v>0.75622746141818109</v>
      </c>
      <c r="AI45" s="455">
        <f t="shared" si="6"/>
        <v>-20007.82</v>
      </c>
      <c r="AJ45" s="229">
        <f t="shared" si="7"/>
        <v>0</v>
      </c>
      <c r="AK45" s="230">
        <f t="shared" si="8"/>
        <v>0</v>
      </c>
      <c r="AL45" s="232">
        <f t="shared" si="9"/>
        <v>19.53888671875</v>
      </c>
      <c r="AM45" s="427">
        <f t="shared" si="10"/>
        <v>0</v>
      </c>
      <c r="AN45" s="456">
        <f t="shared" si="11"/>
        <v>0</v>
      </c>
      <c r="AO45" s="11"/>
    </row>
    <row r="46" spans="1:41" x14ac:dyDescent="0.35">
      <c r="A46" s="11"/>
      <c r="B46" s="11"/>
      <c r="C46" s="11"/>
      <c r="D46" s="11"/>
      <c r="E46" s="11"/>
      <c r="F46" s="11"/>
      <c r="G46" s="11"/>
      <c r="H46" s="88" t="s">
        <v>279</v>
      </c>
      <c r="I46" s="188" t="str">
        <f>IF(_epmOfflineCondition_,"B1",_xll.EVPRO($B$1,$H46,"STYLE"))</f>
        <v>B1</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IF(_epmOfflineCondition_,"Other Revenue",IF(_xll.EVDES(H46,$B$1)="#NODATA","",_xll.EVDES(H46,$B$1)))</f>
        <v>Other Revenue</v>
      </c>
      <c r="O46" s="568"/>
      <c r="P46" s="210"/>
      <c r="Q46" s="210"/>
      <c r="R46" s="210"/>
      <c r="S46" s="210"/>
      <c r="T46" s="210"/>
      <c r="U46" s="210"/>
      <c r="V46" s="210"/>
      <c r="W46" s="210"/>
      <c r="X46" s="210"/>
      <c r="Y46" s="210"/>
      <c r="Z46" s="210"/>
      <c r="AA46" s="252" t="str">
        <f t="shared" si="1"/>
        <v/>
      </c>
      <c r="AB46" s="211" t="str">
        <f t="shared" si="2"/>
        <v/>
      </c>
      <c r="AC46" s="459"/>
      <c r="AD46" s="210"/>
      <c r="AE46" s="211" t="str">
        <f t="shared" si="3"/>
        <v/>
      </c>
      <c r="AF46" s="253" t="str">
        <f t="shared" si="4"/>
        <v/>
      </c>
      <c r="AG46" s="210"/>
      <c r="AH46" s="211" t="str">
        <f t="shared" si="5"/>
        <v/>
      </c>
      <c r="AI46" s="569" t="str">
        <f t="shared" si="6"/>
        <v/>
      </c>
      <c r="AJ46" s="234">
        <f t="shared" si="7"/>
        <v>0</v>
      </c>
      <c r="AK46" s="235">
        <f t="shared" si="8"/>
        <v>0</v>
      </c>
      <c r="AL46" s="237">
        <f t="shared" si="9"/>
        <v>0</v>
      </c>
      <c r="AM46" s="429">
        <f t="shared" si="10"/>
        <v>0</v>
      </c>
      <c r="AN46" s="462">
        <f t="shared" si="11"/>
        <v>0</v>
      </c>
      <c r="AO46" s="11"/>
    </row>
    <row r="47" spans="1:41" x14ac:dyDescent="0.35">
      <c r="A47" s="61" t="str">
        <f>IF(_epmOfflineCondition_,"Evdre:Ok",_xll.EVDRE($B$1,A50:B57,A60:B66))</f>
        <v>Evdre:Ok</v>
      </c>
      <c r="B47" s="11"/>
      <c r="C47" s="11"/>
      <c r="D47" s="11"/>
      <c r="E47" s="11"/>
      <c r="F47" s="11"/>
      <c r="G47" s="11"/>
      <c r="H47" s="88" t="s">
        <v>282</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IF(_epmOfflineCondition_,"Surcharges &amp; Services Charges",IF(_xll.EVDES(H47,$B$1)="#NODATA","",_xll.EVDES(H47,$B$1)))</f>
        <v>Surcharges &amp; Services Charges</v>
      </c>
      <c r="O47" s="563"/>
      <c r="P47" s="564"/>
      <c r="Q47" s="564"/>
      <c r="R47" s="564"/>
      <c r="S47" s="564"/>
      <c r="T47" s="564"/>
      <c r="U47" s="564"/>
      <c r="V47" s="564"/>
      <c r="W47" s="564"/>
      <c r="X47" s="564"/>
      <c r="Y47" s="564"/>
      <c r="Z47" s="564"/>
      <c r="AA47" s="250">
        <f t="shared" si="1"/>
        <v>0</v>
      </c>
      <c r="AB47" s="565" t="str">
        <f t="shared" si="2"/>
        <v/>
      </c>
      <c r="AC47" s="437"/>
      <c r="AD47" s="564"/>
      <c r="AE47" s="565" t="str">
        <f t="shared" si="3"/>
        <v/>
      </c>
      <c r="AF47" s="566">
        <f t="shared" si="4"/>
        <v>0</v>
      </c>
      <c r="AG47" s="564">
        <v>6449.59</v>
      </c>
      <c r="AH47" s="565">
        <f t="shared" si="5"/>
        <v>0.24377253858181885</v>
      </c>
      <c r="AI47" s="567">
        <f t="shared" si="6"/>
        <v>-6449.59</v>
      </c>
      <c r="AJ47" s="440">
        <f t="shared" si="7"/>
        <v>0</v>
      </c>
      <c r="AK47" s="441">
        <f t="shared" si="8"/>
        <v>0</v>
      </c>
      <c r="AL47" s="442">
        <f t="shared" si="9"/>
        <v>6.2984277343750001</v>
      </c>
      <c r="AM47" s="443">
        <f t="shared" si="10"/>
        <v>0</v>
      </c>
      <c r="AN47" s="444">
        <f t="shared" si="11"/>
        <v>0</v>
      </c>
      <c r="AO47" s="11"/>
    </row>
    <row r="48" spans="1:41" x14ac:dyDescent="0.35">
      <c r="A48" s="11"/>
      <c r="B48" s="11"/>
      <c r="C48" s="11"/>
      <c r="D48" s="11"/>
      <c r="E48" s="11"/>
      <c r="F48" s="11"/>
      <c r="G48" s="11"/>
      <c r="H48" s="88" t="s">
        <v>283</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IF(_epmOfflineCondition_,"Miscellaneous Other Revenue",IF(_xll.EVDES(H48,$B$1)="#NODATA","",_xll.EVDES(H48,$B$1)))</f>
        <v>Miscellaneous Other Revenue</v>
      </c>
      <c r="O48" s="563"/>
      <c r="P48" s="564"/>
      <c r="Q48" s="564"/>
      <c r="R48" s="564"/>
      <c r="S48" s="564"/>
      <c r="T48" s="564"/>
      <c r="U48" s="564"/>
      <c r="V48" s="564"/>
      <c r="W48" s="564"/>
      <c r="X48" s="564"/>
      <c r="Y48" s="564"/>
      <c r="Z48" s="564"/>
      <c r="AA48" s="250">
        <f t="shared" si="1"/>
        <v>0</v>
      </c>
      <c r="AB48" s="565" t="str">
        <f t="shared" si="2"/>
        <v/>
      </c>
      <c r="AC48" s="437"/>
      <c r="AD48" s="564"/>
      <c r="AE48" s="565" t="str">
        <f t="shared" si="3"/>
        <v/>
      </c>
      <c r="AF48" s="566">
        <f t="shared" si="4"/>
        <v>0</v>
      </c>
      <c r="AG48" s="564"/>
      <c r="AH48" s="565" t="str">
        <f t="shared" si="5"/>
        <v/>
      </c>
      <c r="AI48" s="567">
        <f t="shared" si="6"/>
        <v>0</v>
      </c>
      <c r="AJ48" s="440">
        <f t="shared" si="7"/>
        <v>0</v>
      </c>
      <c r="AK48" s="441">
        <f t="shared" si="8"/>
        <v>0</v>
      </c>
      <c r="AL48" s="442">
        <f t="shared" si="9"/>
        <v>0</v>
      </c>
      <c r="AM48" s="443">
        <f t="shared" si="10"/>
        <v>0</v>
      </c>
      <c r="AN48" s="444">
        <f t="shared" si="11"/>
        <v>0</v>
      </c>
      <c r="AO48" s="11"/>
    </row>
    <row r="49" spans="1:41" x14ac:dyDescent="0.35">
      <c r="A49" s="62" t="s">
        <v>0</v>
      </c>
      <c r="B49" s="63" t="s">
        <v>1</v>
      </c>
      <c r="C49" s="11"/>
      <c r="D49" s="11"/>
      <c r="E49" s="11"/>
      <c r="F49" s="11"/>
      <c r="G49" s="11"/>
      <c r="H49" s="88" t="s">
        <v>473</v>
      </c>
      <c r="I49" s="122" t="str">
        <f>IF(_epmOfflineCondition_,"N",_xll.EVPRO($B$1,$H49,"STYLE"))</f>
        <v>N</v>
      </c>
      <c r="J49" s="122" t="str">
        <f>IF(_epmOfflineCondition_,"N",_xll.EVPRO($B$1,$H49,"CALC"))</f>
        <v>N</v>
      </c>
      <c r="K49" s="179" t="str">
        <f t="shared" si="0"/>
        <v/>
      </c>
      <c r="L49" s="90" t="str">
        <f>IF(_epmOfflineCondition_,"468990",_xll.EVPRO($B$1,H49,"JDEID"))</f>
        <v>468990</v>
      </c>
      <c r="M49" s="90" t="str">
        <f>IF(_epmOfflineCondition_,"206022",IF(AND(I49="N",J49="N"),_xll.EVPRO($B$1,H49,"PSFTID"),""))</f>
        <v>206022</v>
      </c>
      <c r="N49" s="90" t="str">
        <f>IF(_epmOfflineCondition_,"Other Revenue: Allowances",IF(_xll.EVDES(H49,$B$1)="#NODATA","",_xll.EVDES(H49,$B$1)))</f>
        <v>Other Revenue: Allowances</v>
      </c>
      <c r="O49" s="445"/>
      <c r="P49" s="251"/>
      <c r="Q49" s="251"/>
      <c r="R49" s="251"/>
      <c r="S49" s="251"/>
      <c r="T49" s="251"/>
      <c r="U49" s="251"/>
      <c r="V49" s="251"/>
      <c r="W49" s="251"/>
      <c r="X49" s="251"/>
      <c r="Y49" s="251"/>
      <c r="Z49" s="251"/>
      <c r="AA49" s="251">
        <f t="shared" si="1"/>
        <v>0</v>
      </c>
      <c r="AB49" s="446" t="str">
        <f t="shared" si="2"/>
        <v/>
      </c>
      <c r="AC49" s="437"/>
      <c r="AD49" s="251"/>
      <c r="AE49" s="446" t="str">
        <f t="shared" si="3"/>
        <v/>
      </c>
      <c r="AF49" s="447">
        <f t="shared" si="4"/>
        <v>0</v>
      </c>
      <c r="AG49" s="251"/>
      <c r="AH49" s="446" t="str">
        <f t="shared" si="5"/>
        <v/>
      </c>
      <c r="AI49" s="448">
        <f t="shared" si="6"/>
        <v>0</v>
      </c>
      <c r="AJ49" s="449">
        <f t="shared" si="7"/>
        <v>0</v>
      </c>
      <c r="AK49" s="450">
        <f t="shared" si="8"/>
        <v>0</v>
      </c>
      <c r="AL49" s="451">
        <f t="shared" si="9"/>
        <v>0</v>
      </c>
      <c r="AM49" s="452">
        <f t="shared" si="10"/>
        <v>0</v>
      </c>
      <c r="AN49" s="453">
        <f t="shared" si="11"/>
        <v>0</v>
      </c>
      <c r="AO49" s="11"/>
    </row>
    <row r="50" spans="1:41" x14ac:dyDescent="0.35">
      <c r="A50" s="65" t="s">
        <v>2</v>
      </c>
      <c r="B50" s="66" t="str">
        <f>IF(_epmOfflineCondition_,"'IRD'!$B$2:$B$10",_xll.EVRNG($B$2:$B$10))</f>
        <v>'IRD'!$B$2:$B$10</v>
      </c>
      <c r="C50" s="11"/>
      <c r="D50" s="11"/>
      <c r="E50" s="11"/>
      <c r="F50" s="11"/>
      <c r="G50" s="11"/>
      <c r="H50" s="88" t="s">
        <v>277</v>
      </c>
      <c r="I50" s="188" t="str">
        <f>IF(_epmOfflineCondition_,"T4",_xll.EVPRO($B$1,$H50,"STYLE"))</f>
        <v>T4</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IF(_epmOfflineCondition_,"Total Other Revenue",IF(_xll.EVDES(H50,$B$1)="#NODATA","",_xll.EVDES(H50,$B$1)))</f>
        <v>Total Other Revenue</v>
      </c>
      <c r="O50" s="463"/>
      <c r="P50" s="238"/>
      <c r="Q50" s="238"/>
      <c r="R50" s="238"/>
      <c r="S50" s="238"/>
      <c r="T50" s="238"/>
      <c r="U50" s="238"/>
      <c r="V50" s="238"/>
      <c r="W50" s="238"/>
      <c r="X50" s="238"/>
      <c r="Y50" s="238"/>
      <c r="Z50" s="238"/>
      <c r="AA50" s="238">
        <f t="shared" si="1"/>
        <v>0</v>
      </c>
      <c r="AB50" s="239" t="str">
        <f t="shared" si="2"/>
        <v/>
      </c>
      <c r="AC50" s="240"/>
      <c r="AD50" s="238"/>
      <c r="AE50" s="239" t="str">
        <f t="shared" si="3"/>
        <v/>
      </c>
      <c r="AF50" s="241">
        <f t="shared" si="4"/>
        <v>0</v>
      </c>
      <c r="AG50" s="238">
        <v>6449.59</v>
      </c>
      <c r="AH50" s="239">
        <f t="shared" si="5"/>
        <v>0.24377253858181885</v>
      </c>
      <c r="AI50" s="464">
        <f t="shared" si="6"/>
        <v>-6449.59</v>
      </c>
      <c r="AJ50" s="242">
        <f t="shared" si="7"/>
        <v>0</v>
      </c>
      <c r="AK50" s="243">
        <f t="shared" si="8"/>
        <v>0</v>
      </c>
      <c r="AL50" s="245">
        <f t="shared" si="9"/>
        <v>6.2984277343750001</v>
      </c>
      <c r="AM50" s="431">
        <f t="shared" si="10"/>
        <v>0</v>
      </c>
      <c r="AN50" s="465">
        <f t="shared" si="11"/>
        <v>0</v>
      </c>
      <c r="AO50" s="11"/>
    </row>
    <row r="51" spans="1:41" x14ac:dyDescent="0.35">
      <c r="A51" s="65" t="s">
        <v>3</v>
      </c>
      <c r="B51" s="66" t="str">
        <f>IF(_epmOfflineCondition_,"'IRD'!$O$16:$AN$18",_xll.EVRNG($O$16:$AN$18))</f>
        <v>'IRD'!$O$16:$AN$18</v>
      </c>
      <c r="C51" s="11"/>
      <c r="D51" s="11"/>
      <c r="E51" s="11"/>
      <c r="F51" s="11"/>
      <c r="G51" s="11"/>
      <c r="H51" s="88" t="s">
        <v>280</v>
      </c>
      <c r="I51" s="188" t="str">
        <f>IF(_epmOfflineCondition_,"T3",_xll.EVPRO($B$1,$H51,"STYLE"))</f>
        <v>T3</v>
      </c>
      <c r="J51" s="188" t="str">
        <f>IF(_epmOfflineCondition_,"Y",_xll.EVPRO($B$1,$H51,"CALC"))</f>
        <v>Y</v>
      </c>
      <c r="K51" s="189" t="str">
        <f t="shared" si="0"/>
        <v/>
      </c>
      <c r="L51" s="190" t="str">
        <f>IF(_epmOfflineCondition_,"400000",_xll.EVPRO($B$1,H51,"JDEID"))</f>
        <v>400000</v>
      </c>
      <c r="M51" s="190" t="str">
        <f>IF(_epmOfflineCondition_,"",IF(AND(I51="N",J51="N"),_xll.EVPRO($B$1,H51,"PSFTID"),""))</f>
        <v/>
      </c>
      <c r="N51" s="190" t="str">
        <f>IF(_epmOfflineCondition_,"Total Revenue",IF(_xll.EVDES(H51,$B$1)="#NODATA","",_xll.EVDES(H51,$B$1)))</f>
        <v>Total Revenue</v>
      </c>
      <c r="O51" s="454"/>
      <c r="P51" s="225"/>
      <c r="Q51" s="225"/>
      <c r="R51" s="225"/>
      <c r="S51" s="225"/>
      <c r="T51" s="225"/>
      <c r="U51" s="225"/>
      <c r="V51" s="225"/>
      <c r="W51" s="225"/>
      <c r="X51" s="225"/>
      <c r="Y51" s="225"/>
      <c r="Z51" s="225"/>
      <c r="AA51" s="225">
        <f t="shared" si="1"/>
        <v>0</v>
      </c>
      <c r="AB51" s="226" t="str">
        <f t="shared" si="2"/>
        <v/>
      </c>
      <c r="AC51" s="227"/>
      <c r="AD51" s="225"/>
      <c r="AE51" s="226" t="str">
        <f t="shared" si="3"/>
        <v/>
      </c>
      <c r="AF51" s="228">
        <f t="shared" si="4"/>
        <v>0</v>
      </c>
      <c r="AG51" s="225">
        <v>26457.41</v>
      </c>
      <c r="AH51" s="226">
        <f t="shared" si="5"/>
        <v>1</v>
      </c>
      <c r="AI51" s="455">
        <f t="shared" si="6"/>
        <v>-26457.41</v>
      </c>
      <c r="AJ51" s="229">
        <f t="shared" si="7"/>
        <v>0</v>
      </c>
      <c r="AK51" s="230">
        <f t="shared" si="8"/>
        <v>0</v>
      </c>
      <c r="AL51" s="232">
        <f t="shared" si="9"/>
        <v>25.837314453125</v>
      </c>
      <c r="AM51" s="427">
        <f t="shared" si="10"/>
        <v>0</v>
      </c>
      <c r="AN51" s="456">
        <f t="shared" si="11"/>
        <v>0</v>
      </c>
      <c r="AO51" s="11"/>
    </row>
    <row r="52" spans="1:41" x14ac:dyDescent="0.35">
      <c r="A52" s="65" t="s">
        <v>4</v>
      </c>
      <c r="B52" s="66" t="str">
        <f>IF(_epmOfflineCondition_,"'IRD'!$H$55:$H$61",_xll.EVRNG(H55:H61))</f>
        <v>'IRD'!$H$55:$H$61</v>
      </c>
      <c r="C52" s="11"/>
      <c r="D52" s="11"/>
      <c r="E52" s="11"/>
      <c r="F52" s="11"/>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203"/>
      <c r="AE52" s="204"/>
      <c r="AF52" s="118"/>
      <c r="AG52" s="204"/>
      <c r="AH52" s="204"/>
      <c r="AI52" s="118"/>
      <c r="AJ52" s="11"/>
      <c r="AK52" s="11"/>
      <c r="AL52" s="11"/>
      <c r="AM52" s="11"/>
      <c r="AN52" s="11"/>
      <c r="AO52" s="11"/>
    </row>
    <row r="53" spans="1:41" x14ac:dyDescent="0.35">
      <c r="A53" s="65" t="s">
        <v>5</v>
      </c>
      <c r="B53" s="66"/>
      <c r="C53" s="11"/>
      <c r="D53" s="11"/>
      <c r="E53" s="11"/>
      <c r="F53" s="384"/>
      <c r="G53" s="11"/>
      <c r="H53" s="11" t="s">
        <v>281</v>
      </c>
      <c r="I53" s="59" t="str">
        <f>IF(_epmOfflineCondition_,"B1",_xll.EVPRO($B$1,$H53,"STYLE"))</f>
        <v>B1</v>
      </c>
      <c r="J53" s="59" t="str">
        <f>IF(_epmOfflineCondition_,"Y",_xll.EVPRO($B$1,$H53,"CALC"))</f>
        <v>Y</v>
      </c>
      <c r="K53" s="11"/>
      <c r="L53" s="11"/>
      <c r="M53" s="11"/>
      <c r="N53" s="105" t="str">
        <f>IF(_epmOfflineCondition_,"Cost of Sales",IF(_xll.EVDES(H53,$B$1)="#NODATA","",_xll.EVDES(H53,$B$1)))</f>
        <v>Cost of Sales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35">
      <c r="A54" s="65" t="s">
        <v>6</v>
      </c>
      <c r="B54" s="66"/>
      <c r="C54" s="11"/>
      <c r="D54" s="11"/>
      <c r="E54" s="11"/>
      <c r="F54" s="384"/>
      <c r="G54" s="11"/>
      <c r="H54" s="11" t="s">
        <v>284</v>
      </c>
      <c r="I54" s="59" t="str">
        <f>IF(_epmOfflineCondition_,"B1",_xll.EVPRO($B$1,$H54,"STYLE"))</f>
        <v>B1</v>
      </c>
      <c r="J54" s="59" t="str">
        <f>IF(_epmOfflineCondition_,"Y",_xll.EVPRO($B$1,$H54,"CALC"))</f>
        <v>Y</v>
      </c>
      <c r="K54" s="11"/>
      <c r="L54" s="11"/>
      <c r="M54" s="11"/>
      <c r="N54" s="53" t="str">
        <f>IF(_epmOfflineCondition_,"Cost of Food &amp; Beverage Sales",IF(_xll.EVDES(H54,$B$1)="#NODATA","",_xll.EVDES(H54,$B$1)))</f>
        <v>Cost of Food &amp; Beverage Sales</v>
      </c>
      <c r="O54" s="203"/>
      <c r="P54" s="204"/>
      <c r="Q54" s="204"/>
      <c r="R54" s="204"/>
      <c r="S54" s="204"/>
      <c r="T54" s="204"/>
      <c r="U54" s="204"/>
      <c r="V54" s="204"/>
      <c r="W54" s="204"/>
      <c r="X54" s="204"/>
      <c r="Y54" s="204"/>
      <c r="Z54" s="204"/>
      <c r="AA54" s="204"/>
      <c r="AB54" s="118"/>
      <c r="AC54" s="11"/>
      <c r="AD54" s="203"/>
      <c r="AE54" s="204"/>
      <c r="AF54" s="118"/>
      <c r="AG54" s="204"/>
      <c r="AH54" s="204"/>
      <c r="AI54" s="118"/>
      <c r="AJ54" s="11"/>
      <c r="AK54" s="11"/>
      <c r="AL54" s="11"/>
      <c r="AM54" s="11"/>
      <c r="AN54" s="11"/>
      <c r="AO54" s="11"/>
    </row>
    <row r="55" spans="1:41" x14ac:dyDescent="0.35">
      <c r="A55" s="65" t="s">
        <v>7</v>
      </c>
      <c r="B55" s="66" t="str">
        <f>IF(_epmOfflineCondition_,"'IRD'!$A$69:$F$77",_xll.EVRNG(A69:F77))</f>
        <v>'IRD'!$A$69:$F$77</v>
      </c>
      <c r="C55" s="11"/>
      <c r="D55" s="11"/>
      <c r="E55" s="11"/>
      <c r="F55" s="384"/>
      <c r="G55" s="11"/>
      <c r="H55" s="88" t="s">
        <v>285</v>
      </c>
      <c r="I55" s="122" t="str">
        <f>IF(_epmOfflineCondition_,"T5",_xll.EVPRO($B$1,$H55,"STYLE"))</f>
        <v>T5</v>
      </c>
      <c r="J55" s="122" t="str">
        <f>IF(_epmOfflineCondition_,"Y",_xll.EVPRO($B$1,$H55,"CALC"))</f>
        <v>Y</v>
      </c>
      <c r="K55" s="179" t="str">
        <f t="shared" ref="K55:K63" si="12">IF(AND(I55&gt;="T5"),"&gt;","")</f>
        <v>&gt;</v>
      </c>
      <c r="L55" s="90" t="str">
        <f>IF(_epmOfflineCondition_,"561100",_xll.EVPRO($B$1,H55,"JDEID"))</f>
        <v>561100</v>
      </c>
      <c r="M55" s="90" t="str">
        <f>IF(_epmOfflineCondition_,"",IF(AND(I55="N",J55="N"),_xll.EVPRO($B$1,H55,"PSFTID"),""))</f>
        <v/>
      </c>
      <c r="N55" s="90" t="str">
        <f>IF(_epmOfflineCondition_,"Cost of Food Sales",IF(_xll.EVDES(H55,$B$1)="#NODATA","",_xll.EVDES(H55,$B$1)))</f>
        <v>Cost of Food Sales</v>
      </c>
      <c r="O55" s="563"/>
      <c r="P55" s="564"/>
      <c r="Q55" s="564"/>
      <c r="R55" s="564"/>
      <c r="S55" s="564"/>
      <c r="T55" s="564"/>
      <c r="U55" s="564"/>
      <c r="V55" s="564"/>
      <c r="W55" s="564"/>
      <c r="X55" s="564"/>
      <c r="Y55" s="564"/>
      <c r="Z55" s="564"/>
      <c r="AA55" s="250">
        <f t="shared" ref="AA55:AA61" si="13">IF($I55="B1","",SUM(O55:Z55))</f>
        <v>0</v>
      </c>
      <c r="AB55" s="565" t="str">
        <f>IF(_epmOfflineCondition_,"",IF(AA55=0,"",IFERROR(AA55/_xll.EVGTS($B$1,1,_xll.EVPRO($B$1,$H55,"COSBASIS"),$B$3,$B$5,$B$6,$B$7,$B$9,AA$16,AA$17,AA$11),"")))</f>
        <v/>
      </c>
      <c r="AC55" s="437"/>
      <c r="AD55" s="564"/>
      <c r="AE55" s="565" t="str">
        <f>IF(_epmOfflineCondition_,"",IF(AD55=0,"",IFERROR(AD55/_xll.EVGTS($B$1,1,_xll.EVPRO($B$1,$H55,"COSBASIS"),$B$3,$B$5,$B$6,$B$7,$B$9,AD$16,AD$17,AD$18),"")))</f>
        <v/>
      </c>
      <c r="AF55" s="566">
        <f t="shared" ref="AF55:AF63" si="14">IF(AND($AA55="",AD55=""),"",$AA55-AD55)</f>
        <v>0</v>
      </c>
      <c r="AG55" s="564">
        <v>5022.58</v>
      </c>
      <c r="AH55" s="565">
        <f>IF(_epmOfflineCondition_,0.290219372881895,IF(AG55=0,"",IFERROR(AG55/_xll.EVGTS($B$1,1,_xll.EVPRO($B$1,$H55,"COSBASIS"),$B$3,$B$5,$B$6,$B$7,$B$9,AG$16,AG$17,AG$18),"")))</f>
        <v>0.29021937288189498</v>
      </c>
      <c r="AI55" s="567">
        <f t="shared" ref="AI55:AI63" si="15">IF(AND($AA55="",AG55=""),"",$AA55-AG55)</f>
        <v>-5022.58</v>
      </c>
      <c r="AJ55" s="440">
        <f t="shared" ref="AJ55:AJ63" si="16">IFERROR(AA55/AA$20,0)</f>
        <v>0</v>
      </c>
      <c r="AK55" s="441">
        <f t="shared" ref="AK55:AK63" si="17">IFERROR(AD55/AD$20,0)</f>
        <v>0</v>
      </c>
      <c r="AL55" s="442">
        <f t="shared" ref="AL55:AL63" si="18">IFERROR(AG55/AG$20,0)</f>
        <v>4.9048632812499999</v>
      </c>
      <c r="AM55" s="443">
        <f t="shared" ref="AM55:AM63" si="19">+IFERROR(ROUND(($AB55-AE55)*100,2)&amp;" pts.",0)</f>
        <v>0</v>
      </c>
      <c r="AN55" s="444">
        <f t="shared" ref="AN55:AN63" si="20">+IFERROR(ROUND(($AB55-AH55)*100,2)&amp;" pts.",0)</f>
        <v>0</v>
      </c>
      <c r="AO55" s="11"/>
    </row>
    <row r="56" spans="1:41" x14ac:dyDescent="0.35">
      <c r="A56" s="65" t="s">
        <v>47</v>
      </c>
      <c r="B56" s="66" t="str">
        <f>IF(_epmOfflineCondition_,"'IRD'!$A$125:$B$146",_xll.EVRNG($A$125:$B$146))</f>
        <v>'IRD'!$A$125:$B$146</v>
      </c>
      <c r="C56" s="11"/>
      <c r="D56" s="11"/>
      <c r="E56" s="11"/>
      <c r="F56" s="11"/>
      <c r="G56" s="11"/>
      <c r="H56" s="88" t="s">
        <v>636</v>
      </c>
      <c r="I56" s="122" t="str">
        <f>IF(_epmOfflineCondition_,"T5",_xll.EVPRO($B$1,$H56,"STYLE"))</f>
        <v>T5</v>
      </c>
      <c r="J56" s="122" t="str">
        <f>IF(_epmOfflineCondition_,"Y",_xll.EVPRO($B$1,$H56,"CALC"))</f>
        <v>Y</v>
      </c>
      <c r="K56" s="179" t="str">
        <f t="shared" si="12"/>
        <v>&gt;</v>
      </c>
      <c r="L56" s="90" t="str">
        <f>IF(_epmOfflineCondition_,"",_xll.EVPRO($B$1,H56,"JDEID"))</f>
        <v/>
      </c>
      <c r="M56" s="90" t="str">
        <f>IF(_epmOfflineCondition_,"",IF(AND(I56="N",J56="N"),_xll.EVPRO($B$1,H56,"PSFTID"),""))</f>
        <v/>
      </c>
      <c r="N56" s="90" t="str">
        <f>IF(_epmOfflineCondition_,"Cost of Beverage Sales",IF(_xll.EVDES(H56,$B$1)="#NODATA","",_xll.EVDES(H56,$B$1)))</f>
        <v>Cost of Beverage Sales</v>
      </c>
      <c r="O56" s="445"/>
      <c r="P56" s="251"/>
      <c r="Q56" s="251"/>
      <c r="R56" s="251"/>
      <c r="S56" s="251"/>
      <c r="T56" s="251"/>
      <c r="U56" s="251"/>
      <c r="V56" s="251"/>
      <c r="W56" s="251"/>
      <c r="X56" s="251"/>
      <c r="Y56" s="251"/>
      <c r="Z56" s="251"/>
      <c r="AA56" s="251">
        <f t="shared" si="13"/>
        <v>0</v>
      </c>
      <c r="AB56" s="446" t="str">
        <f>IF(_epmOfflineCondition_,"",IF(AA56=0,"",IFERROR(AA56/_xll.EVGTS($B$1,1,_xll.EVPRO($B$1,$H56,"COSBASIS"),$B$3,$B$5,$B$6,$B$7,$B$9,AA$16,AA$17,AA$11),"")))</f>
        <v/>
      </c>
      <c r="AC56" s="437"/>
      <c r="AD56" s="251"/>
      <c r="AE56" s="446" t="str">
        <f>IF(_epmOfflineCondition_,"",IF(AD56=0,"",IFERROR(AD56/_xll.EVGTS($B$1,1,_xll.EVPRO($B$1,$H56,"COSBASIS"),$B$3,$B$5,$B$6,$B$7,$B$9,AD$16,AD$17,AD$18),"")))</f>
        <v/>
      </c>
      <c r="AF56" s="447">
        <f t="shared" si="14"/>
        <v>0</v>
      </c>
      <c r="AG56" s="251">
        <v>642.92999999999995</v>
      </c>
      <c r="AH56" s="446">
        <f>IF(_epmOfflineCondition_,0.220938144329897,IF(AG56=0,"",IFERROR(AG56/_xll.EVGTS($B$1,1,_xll.EVPRO($B$1,$H56,"COSBASIS"),$B$3,$B$5,$B$6,$B$7,$B$9,AG$16,AG$17,AG$18),"")))</f>
        <v>0.220938144329897</v>
      </c>
      <c r="AI56" s="448">
        <f t="shared" si="15"/>
        <v>-642.92999999999995</v>
      </c>
      <c r="AJ56" s="449">
        <f t="shared" si="16"/>
        <v>0</v>
      </c>
      <c r="AK56" s="450">
        <f t="shared" si="17"/>
        <v>0</v>
      </c>
      <c r="AL56" s="451">
        <f t="shared" si="18"/>
        <v>0.62786132812499995</v>
      </c>
      <c r="AM56" s="452">
        <f t="shared" si="19"/>
        <v>0</v>
      </c>
      <c r="AN56" s="453">
        <f t="shared" si="20"/>
        <v>0</v>
      </c>
      <c r="AO56" s="11"/>
    </row>
    <row r="57" spans="1:41" x14ac:dyDescent="0.35">
      <c r="A57" s="65" t="s">
        <v>8</v>
      </c>
      <c r="B57" s="66"/>
      <c r="C57" s="11"/>
      <c r="D57" s="11"/>
      <c r="E57" s="11"/>
      <c r="F57" s="11"/>
      <c r="G57" s="11"/>
      <c r="H57" s="88" t="s">
        <v>286</v>
      </c>
      <c r="I57" s="188" t="str">
        <f>IF(_epmOfflineCondition_,"T4",_xll.EVPRO($B$1,$H57,"STYLE"))</f>
        <v>T4</v>
      </c>
      <c r="J57" s="188" t="str">
        <f>IF(_epmOfflineCondition_,"Y",_xll.EVPRO($B$1,$H57,"CALC"))</f>
        <v>Y</v>
      </c>
      <c r="K57" s="189" t="str">
        <f t="shared" si="12"/>
        <v/>
      </c>
      <c r="L57" s="190" t="str">
        <f>IF(_epmOfflineCondition_,"",_xll.EVPRO($B$1,H57,"JDEID"))</f>
        <v/>
      </c>
      <c r="M57" s="190" t="str">
        <f>IF(_epmOfflineCondition_,"",IF(AND(I57="N",J57="N"),_xll.EVPRO($B$1,H57,"PSFTID"),""))</f>
        <v/>
      </c>
      <c r="N57" s="190" t="str">
        <f>IF(_epmOfflineCondition_,"Total Cost of Food &amp; Beverage Sales",IF(_xll.EVDES(H57,$B$1)="#NODATA","",_xll.EVDES(H57,$B$1)))</f>
        <v>Total Cost of Food &amp; Beverage Sales</v>
      </c>
      <c r="O57" s="454"/>
      <c r="P57" s="225"/>
      <c r="Q57" s="225"/>
      <c r="R57" s="225"/>
      <c r="S57" s="225"/>
      <c r="T57" s="225"/>
      <c r="U57" s="225"/>
      <c r="V57" s="225"/>
      <c r="W57" s="225"/>
      <c r="X57" s="225"/>
      <c r="Y57" s="225"/>
      <c r="Z57" s="225"/>
      <c r="AA57" s="225">
        <f t="shared" si="13"/>
        <v>0</v>
      </c>
      <c r="AB57" s="226" t="str">
        <f>IF(_epmOfflineCondition_,"",IF(AA57=0,"",IFERROR(AA57/_xll.EVGTS($B$1,1,_xll.EVPRO($B$1,$H57,"COSBASIS"),$B$3,$B$5,$B$6,$B$7,$B$9,AA$16,AA$17,AA$11),"")))</f>
        <v/>
      </c>
      <c r="AC57" s="227"/>
      <c r="AD57" s="225"/>
      <c r="AE57" s="226" t="str">
        <f>IF(_epmOfflineCondition_,"",IF(AD57=0,"",IFERROR(AD57/_xll.EVGTS($B$1,1,_xll.EVPRO($B$1,$H57,"COSBASIS"),$B$3,$B$5,$B$6,$B$7,$B$9,AD$16,AD$17,AD$18),"")))</f>
        <v/>
      </c>
      <c r="AF57" s="228">
        <f t="shared" si="14"/>
        <v>0</v>
      </c>
      <c r="AG57" s="225">
        <v>5665.51</v>
      </c>
      <c r="AH57" s="226">
        <f>IF(_epmOfflineCondition_,0.283164782570015,IF(AG57=0,"",IFERROR(AG57/_xll.EVGTS($B$1,1,_xll.EVPRO($B$1,$H57,"COSBASIS"),$B$3,$B$5,$B$6,$B$7,$B$9,AG$16,AG$17,AG$18),"")))</f>
        <v>0.28316478257001498</v>
      </c>
      <c r="AI57" s="455">
        <f t="shared" si="15"/>
        <v>-5665.51</v>
      </c>
      <c r="AJ57" s="229">
        <f t="shared" si="16"/>
        <v>0</v>
      </c>
      <c r="AK57" s="230">
        <f t="shared" si="17"/>
        <v>0</v>
      </c>
      <c r="AL57" s="232">
        <f t="shared" si="18"/>
        <v>5.5327246093750002</v>
      </c>
      <c r="AM57" s="427">
        <f t="shared" si="19"/>
        <v>0</v>
      </c>
      <c r="AN57" s="456">
        <f t="shared" si="20"/>
        <v>0</v>
      </c>
      <c r="AO57" s="11"/>
    </row>
    <row r="58" spans="1:41" x14ac:dyDescent="0.35">
      <c r="A58" s="11"/>
      <c r="B58" s="11"/>
      <c r="C58" s="11"/>
      <c r="D58" s="11"/>
      <c r="E58" s="11"/>
      <c r="F58" s="11"/>
      <c r="G58" s="76"/>
      <c r="H58" s="88" t="s">
        <v>287</v>
      </c>
      <c r="I58" s="188" t="str">
        <f>IF(_epmOfflineCondition_,"B1",_xll.EVPRO($B$1,$H58,"STYLE"))</f>
        <v>B1</v>
      </c>
      <c r="J58" s="188" t="str">
        <f>IF(_epmOfflineCondition_,"Y",_xll.EVPRO($B$1,$H58,"CALC"))</f>
        <v>Y</v>
      </c>
      <c r="K58" s="189" t="str">
        <f t="shared" si="12"/>
        <v/>
      </c>
      <c r="L58" s="190" t="str">
        <f>IF(_epmOfflineCondition_,"",_xll.EVPRO($B$1,H58,"JDEID"))</f>
        <v/>
      </c>
      <c r="M58" s="190" t="str">
        <f>IF(_epmOfflineCondition_,"",IF(AND(I58="N",J58="N"),_xll.EVPRO($B$1,H58,"PSFTID"),""))</f>
        <v/>
      </c>
      <c r="N58" s="190" t="str">
        <f>IF(_epmOfflineCondition_,"Cost of Other Revenue",IF(_xll.EVDES(H58,$B$1)="#NODATA","",_xll.EVDES(H58,$B$1)))</f>
        <v>Cost of Other Revenue</v>
      </c>
      <c r="O58" s="568"/>
      <c r="P58" s="210"/>
      <c r="Q58" s="210"/>
      <c r="R58" s="210"/>
      <c r="S58" s="210"/>
      <c r="T58" s="210"/>
      <c r="U58" s="210"/>
      <c r="V58" s="210"/>
      <c r="W58" s="210"/>
      <c r="X58" s="210"/>
      <c r="Y58" s="210"/>
      <c r="Z58" s="210"/>
      <c r="AA58" s="252" t="str">
        <f t="shared" si="13"/>
        <v/>
      </c>
      <c r="AB58" s="211" t="str">
        <f>IF(_epmOfflineCondition_,"",IF(AA58=0,"",IFERROR(AA58/_xll.EVGTS($B$1,1,_xll.EVPRO($B$1,$H58,"COSBASIS"),$B$3,$B$5,$B$6,$B$7,$B$9,AA$16,AA$17,AA$11),"")))</f>
        <v/>
      </c>
      <c r="AC58" s="459"/>
      <c r="AD58" s="210"/>
      <c r="AE58" s="211" t="str">
        <f>IF(_epmOfflineCondition_,"",IF(AD58=0,"",IFERROR(AD58/_xll.EVGTS($B$1,1,_xll.EVPRO($B$1,$H58,"COSBASIS"),$B$3,$B$5,$B$6,$B$7,$B$9,AD$16,AD$17,AD$18),"")))</f>
        <v/>
      </c>
      <c r="AF58" s="253" t="str">
        <f t="shared" si="14"/>
        <v/>
      </c>
      <c r="AG58" s="210"/>
      <c r="AH58" s="211" t="str">
        <f>IF(_epmOfflineCondition_,"",IF(AG58=0,"",IFERROR(AG58/_xll.EVGTS($B$1,1,_xll.EVPRO($B$1,$H58,"COSBASIS"),$B$3,$B$5,$B$6,$B$7,$B$9,AG$16,AG$17,AG$18),"")))</f>
        <v/>
      </c>
      <c r="AI58" s="569" t="str">
        <f t="shared" si="15"/>
        <v/>
      </c>
      <c r="AJ58" s="234">
        <f t="shared" si="16"/>
        <v>0</v>
      </c>
      <c r="AK58" s="235">
        <f t="shared" si="17"/>
        <v>0</v>
      </c>
      <c r="AL58" s="237">
        <f t="shared" si="18"/>
        <v>0</v>
      </c>
      <c r="AM58" s="429">
        <f t="shared" si="19"/>
        <v>0</v>
      </c>
      <c r="AN58" s="462">
        <f t="shared" si="20"/>
        <v>0</v>
      </c>
      <c r="AO58" s="11"/>
    </row>
    <row r="59" spans="1:41" x14ac:dyDescent="0.35">
      <c r="A59" s="62" t="s">
        <v>9</v>
      </c>
      <c r="B59" s="63" t="s">
        <v>10</v>
      </c>
      <c r="C59" s="11"/>
      <c r="D59" s="11"/>
      <c r="E59" s="11"/>
      <c r="F59" s="11"/>
      <c r="G59" s="11"/>
      <c r="H59" s="88" t="s">
        <v>639</v>
      </c>
      <c r="I59" s="122" t="str">
        <f>IF(_epmOfflineCondition_,"T5",_xll.EVPRO($B$1,$H59,"STYLE"))</f>
        <v>T5</v>
      </c>
      <c r="J59" s="122" t="str">
        <f>IF(_epmOfflineCondition_,"Y",_xll.EVPRO($B$1,$H59,"CALC"))</f>
        <v>Y</v>
      </c>
      <c r="K59" s="179" t="str">
        <f t="shared" si="12"/>
        <v>&gt;</v>
      </c>
      <c r="L59" s="90" t="str">
        <f>IF(_epmOfflineCondition_,"",_xll.EVPRO($B$1,H59,"JDEID"))</f>
        <v/>
      </c>
      <c r="M59" s="90" t="str">
        <f>IF(_epmOfflineCondition_,"",IF(AND(I59="N",J59="N"),_xll.EVPRO($B$1,H59,"PSFTID"),""))</f>
        <v/>
      </c>
      <c r="N59" s="90" t="str">
        <f>IF(_epmOfflineCondition_,"Miscellaneous Cost",IF(_xll.EVDES(H59,$B$1)="#NODATA","",_xll.EVDES(H59,$B$1)))</f>
        <v>Miscellaneous Cost</v>
      </c>
      <c r="O59" s="445"/>
      <c r="P59" s="251"/>
      <c r="Q59" s="251"/>
      <c r="R59" s="251"/>
      <c r="S59" s="251"/>
      <c r="T59" s="251"/>
      <c r="U59" s="251"/>
      <c r="V59" s="251"/>
      <c r="W59" s="251"/>
      <c r="X59" s="251"/>
      <c r="Y59" s="251"/>
      <c r="Z59" s="251"/>
      <c r="AA59" s="251">
        <f t="shared" si="13"/>
        <v>0</v>
      </c>
      <c r="AB59" s="446" t="str">
        <f>IF(_epmOfflineCondition_,"",IF(AA59=0,"",IFERROR(AA59/_xll.EVGTS($B$1,1,_xll.EVPRO($B$1,$H59,"COSBASIS"),$B$3,$B$5,$B$6,$B$7,$B$9,AA$16,AA$17,AA$11),"")))</f>
        <v/>
      </c>
      <c r="AC59" s="437"/>
      <c r="AD59" s="251"/>
      <c r="AE59" s="446" t="str">
        <f>IF(_epmOfflineCondition_,"",IF(AD59=0,"",IFERROR(AD59/_xll.EVGTS($B$1,1,_xll.EVPRO($B$1,$H59,"COSBASIS"),$B$3,$B$5,$B$6,$B$7,$B$9,AD$16,AD$17,AD$18),"")))</f>
        <v/>
      </c>
      <c r="AF59" s="447">
        <f t="shared" si="14"/>
        <v>0</v>
      </c>
      <c r="AG59" s="251"/>
      <c r="AH59" s="446" t="str">
        <f>IF(_epmOfflineCondition_,"",IF(AG59=0,"",IFERROR(AG59/_xll.EVGTS($B$1,1,_xll.EVPRO($B$1,$H59,"COSBASIS"),$B$3,$B$5,$B$6,$B$7,$B$9,AG$16,AG$17,AG$18),"")))</f>
        <v/>
      </c>
      <c r="AI59" s="448">
        <f t="shared" si="15"/>
        <v>0</v>
      </c>
      <c r="AJ59" s="449">
        <f t="shared" si="16"/>
        <v>0</v>
      </c>
      <c r="AK59" s="450">
        <f t="shared" si="17"/>
        <v>0</v>
      </c>
      <c r="AL59" s="451">
        <f t="shared" si="18"/>
        <v>0</v>
      </c>
      <c r="AM59" s="452">
        <f t="shared" si="19"/>
        <v>0</v>
      </c>
      <c r="AN59" s="453">
        <f t="shared" si="20"/>
        <v>0</v>
      </c>
      <c r="AO59" s="11"/>
    </row>
    <row r="60" spans="1:41" x14ac:dyDescent="0.35">
      <c r="A60" s="65" t="s">
        <v>11</v>
      </c>
      <c r="B60" s="66" t="s">
        <v>21</v>
      </c>
      <c r="C60" s="11"/>
      <c r="D60" s="11"/>
      <c r="E60" s="11"/>
      <c r="F60" s="11"/>
      <c r="G60" s="11"/>
      <c r="H60" s="88" t="s">
        <v>288</v>
      </c>
      <c r="I60" s="188" t="str">
        <f>IF(_epmOfflineCondition_,"T4",_xll.EVPRO($B$1,$H60,"STYLE"))</f>
        <v>T4</v>
      </c>
      <c r="J60" s="188" t="str">
        <f>IF(_epmOfflineCondition_,"Y",_xll.EVPRO($B$1,$H60,"CALC"))</f>
        <v>Y</v>
      </c>
      <c r="K60" s="189" t="str">
        <f t="shared" si="12"/>
        <v/>
      </c>
      <c r="L60" s="190" t="str">
        <f>IF(_epmOfflineCondition_,"",_xll.EVPRO($B$1,H60,"JDEID"))</f>
        <v/>
      </c>
      <c r="M60" s="190" t="str">
        <f>IF(_epmOfflineCondition_,"",IF(AND(I60="N",J60="N"),_xll.EVPRO($B$1,H60,"PSFTID"),""))</f>
        <v/>
      </c>
      <c r="N60" s="190" t="str">
        <f>IF(_epmOfflineCondition_,"Total Cost of Other Revenue",IF(_xll.EVDES(H60,$B$1)="#NODATA","",_xll.EVDES(H60,$B$1)))</f>
        <v>Total Cost of Other Revenue</v>
      </c>
      <c r="O60" s="463"/>
      <c r="P60" s="238"/>
      <c r="Q60" s="238"/>
      <c r="R60" s="238"/>
      <c r="S60" s="238"/>
      <c r="T60" s="238"/>
      <c r="U60" s="238"/>
      <c r="V60" s="238"/>
      <c r="W60" s="238"/>
      <c r="X60" s="238"/>
      <c r="Y60" s="238"/>
      <c r="Z60" s="238"/>
      <c r="AA60" s="238">
        <f t="shared" si="13"/>
        <v>0</v>
      </c>
      <c r="AB60" s="239" t="str">
        <f>IF(_epmOfflineCondition_,"",IF(AA60=0,"",IFERROR(AA60/_xll.EVGTS($B$1,1,_xll.EVPRO($B$1,$H60,"COSBASIS"),$B$3,$B$5,$B$6,$B$7,$B$9,AA$16,AA$17,AA$11),"")))</f>
        <v/>
      </c>
      <c r="AC60" s="240"/>
      <c r="AD60" s="238"/>
      <c r="AE60" s="239" t="str">
        <f>IF(_epmOfflineCondition_,"",IF(AD60=0,"",IFERROR(AD60/_xll.EVGTS($B$1,1,_xll.EVPRO($B$1,$H60,"COSBASIS"),$B$3,$B$5,$B$6,$B$7,$B$9,AD$16,AD$17,AD$18),"")))</f>
        <v/>
      </c>
      <c r="AF60" s="241">
        <f t="shared" si="14"/>
        <v>0</v>
      </c>
      <c r="AG60" s="238"/>
      <c r="AH60" s="239" t="str">
        <f>IF(_epmOfflineCondition_,"",IF(AG60=0,"",IFERROR(AG60/_xll.EVGTS($B$1,1,_xll.EVPRO($B$1,$H60,"COSBASIS"),$B$3,$B$5,$B$6,$B$7,$B$9,AG$16,AG$17,AG$18),"")))</f>
        <v/>
      </c>
      <c r="AI60" s="464">
        <f t="shared" si="15"/>
        <v>0</v>
      </c>
      <c r="AJ60" s="242">
        <f t="shared" si="16"/>
        <v>0</v>
      </c>
      <c r="AK60" s="243">
        <f t="shared" si="17"/>
        <v>0</v>
      </c>
      <c r="AL60" s="245">
        <f t="shared" si="18"/>
        <v>0</v>
      </c>
      <c r="AM60" s="431">
        <f t="shared" si="19"/>
        <v>0</v>
      </c>
      <c r="AN60" s="465">
        <f t="shared" si="20"/>
        <v>0</v>
      </c>
      <c r="AO60" s="11"/>
    </row>
    <row r="61" spans="1:41" x14ac:dyDescent="0.35">
      <c r="A61" s="65" t="s">
        <v>12</v>
      </c>
      <c r="B61" s="66" t="s">
        <v>22</v>
      </c>
      <c r="C61" s="11"/>
      <c r="D61" s="11"/>
      <c r="E61" s="11"/>
      <c r="F61" s="11"/>
      <c r="G61" s="11"/>
      <c r="H61" s="88" t="s">
        <v>289</v>
      </c>
      <c r="I61" s="188" t="str">
        <f>IF(_epmOfflineCondition_,"T3",_xll.EVPRO($B$1,$H61,"STYLE"))</f>
        <v>T3</v>
      </c>
      <c r="J61" s="188" t="str">
        <f>IF(_epmOfflineCondition_,"Y",_xll.EVPRO($B$1,$H61,"CALC"))</f>
        <v>Y</v>
      </c>
      <c r="K61" s="189" t="str">
        <f t="shared" si="12"/>
        <v/>
      </c>
      <c r="L61" s="190" t="str">
        <f>IF(_epmOfflineCondition_,"500001",_xll.EVPRO($B$1,H61,"JDEID"))</f>
        <v>500001</v>
      </c>
      <c r="M61" s="190" t="str">
        <f>IF(_epmOfflineCondition_,"",IF(AND(I61="N",J61="N"),_xll.EVPRO($B$1,H61,"PSFTID"),""))</f>
        <v/>
      </c>
      <c r="N61" s="190" t="str">
        <f>IF(_epmOfflineCondition_,"Total Cost of Sales",IF(_xll.EVDES(H61,$B$1)="#NODATA","",_xll.EVDES(H61,$B$1)))</f>
        <v>Total Cost of Sales</v>
      </c>
      <c r="O61" s="454"/>
      <c r="P61" s="225"/>
      <c r="Q61" s="225"/>
      <c r="R61" s="225"/>
      <c r="S61" s="225"/>
      <c r="T61" s="225"/>
      <c r="U61" s="225"/>
      <c r="V61" s="225"/>
      <c r="W61" s="225"/>
      <c r="X61" s="225"/>
      <c r="Y61" s="225"/>
      <c r="Z61" s="225"/>
      <c r="AA61" s="225">
        <f t="shared" si="13"/>
        <v>0</v>
      </c>
      <c r="AB61" s="226" t="str">
        <f>IF(_epmOfflineCondition_,"",IF(AA61=0,"",IFERROR(AA61/_xll.EVGTS($B$1,1,_xll.EVPRO($B$1,$H61,"COSBASIS"),$B$3,$B$5,$B$6,$B$7,$B$9,AA$16,AA$17,AA$11),"")))</f>
        <v/>
      </c>
      <c r="AC61" s="227"/>
      <c r="AD61" s="225"/>
      <c r="AE61" s="226" t="str">
        <f>IF(_epmOfflineCondition_,"",IF(AD61=0,"",IFERROR(AD61/_xll.EVGTS($B$1,1,_xll.EVPRO($B$1,$H61,"COSBASIS"),$B$3,$B$5,$B$6,$B$7,$B$9,AD$16,AD$17,AD$18),"")))</f>
        <v/>
      </c>
      <c r="AF61" s="228">
        <f t="shared" si="14"/>
        <v>0</v>
      </c>
      <c r="AG61" s="225">
        <v>5665.51</v>
      </c>
      <c r="AH61" s="226">
        <f>IF(_epmOfflineCondition_,0.214136984685954,IF(AG61=0,"",IFERROR(AG61/_xll.EVGTS($B$1,1,_xll.EVPRO($B$1,$H61,"COSBASIS"),$B$3,$B$5,$B$6,$B$7,$B$9,AG$16,AG$17,AG$18),"")))</f>
        <v>0.21413698468595399</v>
      </c>
      <c r="AI61" s="455">
        <f t="shared" si="15"/>
        <v>-5665.51</v>
      </c>
      <c r="AJ61" s="229">
        <f t="shared" si="16"/>
        <v>0</v>
      </c>
      <c r="AK61" s="230">
        <f t="shared" si="17"/>
        <v>0</v>
      </c>
      <c r="AL61" s="232">
        <f t="shared" si="18"/>
        <v>5.5327246093750002</v>
      </c>
      <c r="AM61" s="427">
        <f t="shared" si="19"/>
        <v>0</v>
      </c>
      <c r="AN61" s="456">
        <f t="shared" si="20"/>
        <v>0</v>
      </c>
      <c r="AO61" s="11"/>
    </row>
    <row r="62" spans="1:41" x14ac:dyDescent="0.35">
      <c r="A62" s="65" t="s">
        <v>13</v>
      </c>
      <c r="B62" s="66" t="str">
        <f>"DEP(COS_FB) AND "&amp;$E$6&amp;"=Y,COS_FB,COSOTH,DEP(COS_OTHR) AND "&amp;$E$6&amp;"=Y,COS_OTHR,500001"</f>
        <v>DEP(COS_FB) AND D2147=Y,COS_FB,COSOTH,DEP(COS_OTHR) AND D2147=Y,COS_OTHR,500001</v>
      </c>
      <c r="C62" s="11"/>
      <c r="D62" s="11"/>
      <c r="E62" s="11"/>
      <c r="F62" s="11"/>
      <c r="G62" s="11"/>
      <c r="H62" s="185" t="s">
        <v>175</v>
      </c>
      <c r="I62" s="89" t="str">
        <f>IF(_epmOfflineCondition_,"B1",_xll.EVPRO($B$1,$H62,"STYLE"))</f>
        <v>B1</v>
      </c>
      <c r="J62" s="89" t="str">
        <f>IF(_epmOfflineCondition_,"Y",_xll.EVPRO($B$1,$H62,"CALC"))</f>
        <v>Y</v>
      </c>
      <c r="K62" s="265" t="str">
        <f t="shared" si="12"/>
        <v/>
      </c>
      <c r="L62" s="265"/>
      <c r="M62" s="265"/>
      <c r="N62" s="106" t="str">
        <f>IF(_epmOfflineCondition_,"BLANKROW",IF(_xll.EVDES(H62,$B$1)="#NODATA","",_xll.EVDES(H62,$B$1)))</f>
        <v>BLANKROW</v>
      </c>
      <c r="O62" s="205"/>
      <c r="P62" s="205"/>
      <c r="Q62" s="205"/>
      <c r="R62" s="205"/>
      <c r="S62" s="205"/>
      <c r="T62" s="205"/>
      <c r="U62" s="205"/>
      <c r="V62" s="205"/>
      <c r="W62" s="205"/>
      <c r="X62" s="205"/>
      <c r="Y62" s="205"/>
      <c r="Z62" s="205"/>
      <c r="AA62" s="205"/>
      <c r="AB62" s="206" t="str">
        <f>IF(_epmOfflineCondition_,"",IF(O62=0,"",IFERROR(O62/_xll.EVGTS($B$1,1,INDEX($C$152:$C$175,MATCH($H62,$A$152:$A$175,0)),$B$3,$B$5,$B$6,$B$7,$B$9,O$16,O$17,O$18),"")))</f>
        <v/>
      </c>
      <c r="AC62" s="11"/>
      <c r="AD62" s="205"/>
      <c r="AE62" s="206" t="str">
        <f>IF(_epmOfflineCondition_,"",IF(AD62=0,"",IFERROR(AD62/_xll.EVGTS($B$1,1,INDEX($C$152:$C$175,MATCH($H62,$A$152:$A$175,0)),$B$3,$B$5,$B$6,$B$7,$B$9,AD$16,AD$17,AD$18),"")))</f>
        <v/>
      </c>
      <c r="AF62" s="207" t="str">
        <f t="shared" si="14"/>
        <v/>
      </c>
      <c r="AG62" s="205"/>
      <c r="AH62" s="206" t="str">
        <f>IF(_epmOfflineCondition_,"",IF(AG62=0,"",IFERROR(AG62/_xll.EVGTS($B$1,1,INDEX($C$152:$C$175,MATCH($H62,$A$152:$A$175,0)),$B$3,$B$5,$B$6,$B$7,$B$9,AG$16,AG$17,AG$18),"")))</f>
        <v/>
      </c>
      <c r="AI62" s="207" t="str">
        <f t="shared" si="15"/>
        <v/>
      </c>
      <c r="AJ62" s="523">
        <f t="shared" si="16"/>
        <v>0</v>
      </c>
      <c r="AK62" s="524">
        <f t="shared" si="17"/>
        <v>0</v>
      </c>
      <c r="AL62" s="525">
        <f t="shared" si="18"/>
        <v>0</v>
      </c>
      <c r="AM62" s="526">
        <f t="shared" si="19"/>
        <v>0</v>
      </c>
      <c r="AN62" s="527">
        <f t="shared" si="20"/>
        <v>0</v>
      </c>
      <c r="AO62" s="11"/>
    </row>
    <row r="63" spans="1:41" x14ac:dyDescent="0.35">
      <c r="A63" s="65" t="s">
        <v>14</v>
      </c>
      <c r="B63" s="66"/>
      <c r="C63" s="11"/>
      <c r="D63" s="11"/>
      <c r="E63" s="11"/>
      <c r="F63" s="11"/>
      <c r="G63" s="11"/>
      <c r="H63" s="185" t="s">
        <v>292</v>
      </c>
      <c r="I63" s="89" t="str">
        <f>IF(_epmOfflineCondition_,"T3",_xll.EVPRO($B$1,$H63,"STYLE"))</f>
        <v>T3</v>
      </c>
      <c r="J63" s="89" t="str">
        <f>IF(_epmOfflineCondition_,"Y",_xll.EVPRO($B$1,$H63,"CALC"))</f>
        <v>Y</v>
      </c>
      <c r="K63" s="265" t="str">
        <f t="shared" si="12"/>
        <v/>
      </c>
      <c r="L63" s="265"/>
      <c r="M63" s="265"/>
      <c r="N63" s="106" t="str">
        <f>IF(_epmOfflineCondition_,"Gross Profit",IF(_xll.EVDES(H63,$B$1)="#NODATA","",_xll.EVDES(H63,$B$1)))</f>
        <v>Gross Profit</v>
      </c>
      <c r="O63" s="123">
        <f t="shared" ref="O63:Z63" si="21">SUMIF($H$35:$H$61,"400000",O35:O61)-SUMIF($H$35:$H$61,"500001",O35:O61)</f>
        <v>0</v>
      </c>
      <c r="P63" s="123">
        <f t="shared" si="21"/>
        <v>0</v>
      </c>
      <c r="Q63" s="123">
        <f t="shared" si="21"/>
        <v>0</v>
      </c>
      <c r="R63" s="123">
        <f t="shared" si="21"/>
        <v>0</v>
      </c>
      <c r="S63" s="123">
        <f t="shared" si="21"/>
        <v>0</v>
      </c>
      <c r="T63" s="123">
        <f t="shared" si="21"/>
        <v>0</v>
      </c>
      <c r="U63" s="123">
        <f t="shared" si="21"/>
        <v>0</v>
      </c>
      <c r="V63" s="123">
        <f t="shared" si="21"/>
        <v>0</v>
      </c>
      <c r="W63" s="123">
        <f t="shared" si="21"/>
        <v>0</v>
      </c>
      <c r="X63" s="123">
        <f t="shared" si="21"/>
        <v>0</v>
      </c>
      <c r="Y63" s="123">
        <f t="shared" si="21"/>
        <v>0</v>
      </c>
      <c r="Z63" s="123">
        <f t="shared" si="21"/>
        <v>0</v>
      </c>
      <c r="AA63" s="123">
        <f>IF($I63="B1","",SUM(O63:Z63))</f>
        <v>0</v>
      </c>
      <c r="AB63" s="192" t="str">
        <f>IF(AA63=0,"",IFERROR(AA63/AA$19,""))</f>
        <v/>
      </c>
      <c r="AC63" s="11"/>
      <c r="AD63" s="123">
        <f>SUMIF($H$35:$H$61,"400000",AD35:AD61)-SUMIF($H$35:$H$61,"500001",AD35:AD61)</f>
        <v>0</v>
      </c>
      <c r="AE63" s="192" t="str">
        <f>IF(AD63=0,"",IFERROR(AD63/AD$19,""))</f>
        <v/>
      </c>
      <c r="AF63" s="125">
        <f t="shared" si="14"/>
        <v>0</v>
      </c>
      <c r="AG63" s="123">
        <f>SUMIF($H$35:$H$61,"400000",AG35:AG61)-SUMIF($H$35:$H$61,"500001",AG35:AG61)</f>
        <v>20791.900000000001</v>
      </c>
      <c r="AH63" s="192">
        <f>IF(AG63=0,"",IFERROR(AG63/AG$19,""))</f>
        <v>0.78586301531404634</v>
      </c>
      <c r="AI63" s="125">
        <f t="shared" si="15"/>
        <v>-20791.900000000001</v>
      </c>
      <c r="AJ63" s="388">
        <f t="shared" si="16"/>
        <v>0</v>
      </c>
      <c r="AK63" s="389">
        <f t="shared" si="17"/>
        <v>0</v>
      </c>
      <c r="AL63" s="390">
        <f t="shared" si="18"/>
        <v>20.304589843750001</v>
      </c>
      <c r="AM63" s="391">
        <f t="shared" si="19"/>
        <v>0</v>
      </c>
      <c r="AN63" s="544">
        <f t="shared" si="20"/>
        <v>0</v>
      </c>
      <c r="AO63" s="11"/>
    </row>
    <row r="64" spans="1:41" x14ac:dyDescent="0.35">
      <c r="A64" s="65" t="s">
        <v>15</v>
      </c>
      <c r="B64" s="66"/>
      <c r="C64" s="11"/>
      <c r="D64" s="11"/>
      <c r="E64" s="11"/>
      <c r="F64" s="11"/>
      <c r="G64" s="11"/>
      <c r="H64" s="11"/>
      <c r="I64" s="59"/>
      <c r="J64" s="59"/>
      <c r="K64" s="11"/>
      <c r="L64" s="11"/>
      <c r="M64" s="11"/>
      <c r="N64" s="11"/>
      <c r="O64" s="393"/>
      <c r="P64" s="394"/>
      <c r="Q64" s="394"/>
      <c r="R64" s="394"/>
      <c r="S64" s="394"/>
      <c r="T64" s="394"/>
      <c r="U64" s="394"/>
      <c r="V64" s="394"/>
      <c r="W64" s="394"/>
      <c r="X64" s="394"/>
      <c r="Y64" s="394"/>
      <c r="Z64" s="394"/>
      <c r="AA64" s="394"/>
      <c r="AB64" s="118"/>
      <c r="AC64" s="11"/>
      <c r="AD64" s="203"/>
      <c r="AE64" s="204"/>
      <c r="AF64" s="118"/>
      <c r="AG64" s="204"/>
      <c r="AH64" s="204"/>
      <c r="AI64" s="118"/>
      <c r="AJ64" s="11"/>
      <c r="AK64" s="11"/>
      <c r="AL64" s="11"/>
      <c r="AM64" s="11"/>
      <c r="AN64" s="11"/>
      <c r="AO64" s="11"/>
    </row>
    <row r="65" spans="1:41" x14ac:dyDescent="0.35">
      <c r="A65" s="65" t="s">
        <v>16</v>
      </c>
      <c r="B65" s="66"/>
      <c r="C65" s="11"/>
      <c r="D65" s="11"/>
      <c r="E65" s="11"/>
      <c r="F65" s="11"/>
      <c r="G65" s="11"/>
      <c r="H65" s="11" t="s">
        <v>73</v>
      </c>
      <c r="I65" s="59" t="str">
        <f>IF(_epmOfflineCondition_,"B1",_xll.EVPRO($B$1,$H65,"STYLE"))</f>
        <v>B1</v>
      </c>
      <c r="J65" s="59" t="str">
        <f>IF(_epmOfflineCondition_,"Y",_xll.EVPRO($B$1,$H65,"CALC"))</f>
        <v>Y</v>
      </c>
      <c r="K65" s="11"/>
      <c r="L65" s="11"/>
      <c r="M65" s="11"/>
      <c r="N65" s="105" t="str">
        <f>IF(_epmOfflineCondition_,"Labor &amp; Related Expenses",IF(_xll.EVDES(H65,$B$1)="#NODATA","",_xll.EVDES(H65,$B$1)))</f>
        <v>Labor &amp; Related Expenses</v>
      </c>
      <c r="O65" s="203"/>
      <c r="P65" s="204"/>
      <c r="Q65" s="204"/>
      <c r="R65" s="204"/>
      <c r="S65" s="204"/>
      <c r="T65" s="204"/>
      <c r="U65" s="204"/>
      <c r="V65" s="204"/>
      <c r="W65" s="204"/>
      <c r="X65" s="204"/>
      <c r="Y65" s="204"/>
      <c r="Z65" s="204"/>
      <c r="AA65" s="204"/>
      <c r="AB65" s="410"/>
      <c r="AC65" s="11"/>
      <c r="AD65" s="411"/>
      <c r="AE65" s="412"/>
      <c r="AF65" s="118"/>
      <c r="AG65" s="204"/>
      <c r="AH65" s="412"/>
      <c r="AI65" s="118"/>
      <c r="AJ65" s="11"/>
      <c r="AK65" s="11"/>
      <c r="AL65" s="11"/>
      <c r="AM65" s="11"/>
      <c r="AN65" s="11"/>
      <c r="AO65" s="11"/>
    </row>
    <row r="66" spans="1:41" x14ac:dyDescent="0.35">
      <c r="A66" s="65" t="s">
        <v>17</v>
      </c>
      <c r="B66" s="66"/>
      <c r="C66" s="11"/>
      <c r="D66" s="11"/>
      <c r="E66" s="11"/>
      <c r="F66" s="11"/>
      <c r="G66" s="11"/>
      <c r="H66" s="11" t="s">
        <v>74</v>
      </c>
      <c r="I66" s="59" t="str">
        <f>IF(_epmOfflineCondition_,"B1",_xll.EVPRO($B$1,$H66,"STYLE"))</f>
        <v>B1</v>
      </c>
      <c r="J66" s="59" t="str">
        <f>IF(_epmOfflineCondition_,"Y",_xll.EVPRO($B$1,$H66,"CALC"))</f>
        <v>Y</v>
      </c>
      <c r="K66" s="11"/>
      <c r="L66" s="11"/>
      <c r="M66" s="11"/>
      <c r="N66" s="53" t="str">
        <f>IF(_epmOfflineCondition_,"Salaries &amp; Wages",IF(_xll.EVDES(H66,$B$1)="#NODATA","",_xll.EVDES(H66,$B$1)))</f>
        <v>Salaries &amp; Wages</v>
      </c>
      <c r="O66" s="119"/>
      <c r="P66" s="120"/>
      <c r="Q66" s="120"/>
      <c r="R66" s="120"/>
      <c r="S66" s="120"/>
      <c r="T66" s="120"/>
      <c r="U66" s="120"/>
      <c r="V66" s="120"/>
      <c r="W66" s="120"/>
      <c r="X66" s="120"/>
      <c r="Y66" s="120"/>
      <c r="Z66" s="120"/>
      <c r="AA66" s="120"/>
      <c r="AB66" s="121"/>
      <c r="AC66" s="11"/>
      <c r="AD66" s="119"/>
      <c r="AE66" s="120"/>
      <c r="AF66" s="121"/>
      <c r="AG66" s="120"/>
      <c r="AH66" s="120"/>
      <c r="AI66" s="121"/>
      <c r="AJ66" s="11"/>
      <c r="AK66" s="11"/>
      <c r="AL66" s="11"/>
      <c r="AM66" s="11"/>
      <c r="AN66" s="11"/>
      <c r="AO66" s="11"/>
    </row>
    <row r="67" spans="1:41" hidden="1" x14ac:dyDescent="0.35">
      <c r="A67" s="204"/>
      <c r="B67" s="204"/>
      <c r="C67" s="11"/>
      <c r="D67" s="11"/>
      <c r="E67" s="11"/>
      <c r="F67" s="11"/>
      <c r="G67" s="11"/>
      <c r="H67" s="88" t="s">
        <v>667</v>
      </c>
      <c r="I67" s="122" t="str">
        <f>IF(_epmOfflineCondition_,"",_xll.EVPRO($B$1,$H67,"STYLE"))</f>
        <v/>
      </c>
      <c r="J67" s="122" t="str">
        <f>IF(_epmOfflineCondition_,"",_xll.EVPRO($B$1,$H67,"CALC"))</f>
        <v/>
      </c>
      <c r="K67" s="179" t="str">
        <f t="shared" ref="K67:K77" si="22">IF(AND(I67&gt;="T3"),"&gt;","")</f>
        <v/>
      </c>
      <c r="L67" s="90" t="str">
        <f>IF(_epmOfflineCondition_,"",_xll.EVPRO($B$1,H67,"JDEID"))</f>
        <v/>
      </c>
      <c r="M67" s="90" t="str">
        <f>IF(_epmOfflineCondition_,"",IF(AND(I67="N",J67="N"),_xll.EVPRO($B$1,H67,"PSFTID"),""))</f>
        <v/>
      </c>
      <c r="N67" s="90" t="str">
        <f>IF(_epmOfflineCondition_,"",IF(_xll.EVDES(H67,$B$1)="#NODATA","",_xll.EVDES(H67,$B$1)))</f>
        <v/>
      </c>
      <c r="O67" s="217"/>
      <c r="P67" s="217"/>
      <c r="Q67" s="217"/>
      <c r="R67" s="217"/>
      <c r="S67" s="217"/>
      <c r="T67" s="217"/>
      <c r="U67" s="217"/>
      <c r="V67" s="217"/>
      <c r="W67" s="217"/>
      <c r="X67" s="217"/>
      <c r="Y67" s="217"/>
      <c r="Z67" s="217"/>
      <c r="AA67" s="251">
        <f t="shared" ref="AA67:AA77" si="23">IF($I67="B1","",SUM(O67:Z67))</f>
        <v>0</v>
      </c>
      <c r="AB67" s="219" t="str">
        <f t="shared" ref="AB67:AB77" si="24">IF(AA67=0,"",IFERROR(AA67/AA$19,""))</f>
        <v/>
      </c>
      <c r="AC67" s="140"/>
      <c r="AD67" s="217"/>
      <c r="AE67" s="219" t="str">
        <f t="shared" ref="AE67:AE77" si="25">IF(AD67=0,"",IFERROR(AD67/AD$19,""))</f>
        <v/>
      </c>
      <c r="AF67" s="220">
        <f t="shared" ref="AF67:AF77" si="26">IF(AND($AA67="",AD67=""),"",$AA67-AD67)</f>
        <v>0</v>
      </c>
      <c r="AG67" s="217"/>
      <c r="AH67" s="219" t="str">
        <f t="shared" ref="AH67:AH77" si="27">IF(AG67=0,"",IFERROR(AG67/AG$19,""))</f>
        <v/>
      </c>
      <c r="AI67" s="220">
        <f t="shared" ref="AI67:AI77" si="28">IF(AND($AA67="",AG67=""),"",$AA67-AG67)</f>
        <v>0</v>
      </c>
      <c r="AJ67" s="440">
        <f t="shared" ref="AJ67:AJ77" si="29">IFERROR(AA67/AA$20,0)</f>
        <v>0</v>
      </c>
      <c r="AK67" s="441">
        <f t="shared" ref="AK67:AK77" si="30">IFERROR(AD67/AD$20,0)</f>
        <v>0</v>
      </c>
      <c r="AL67" s="442">
        <f t="shared" ref="AL67:AL77" si="31">IFERROR(AG67/AG$20,0)</f>
        <v>0</v>
      </c>
      <c r="AM67" s="443">
        <f t="shared" ref="AM67:AM77" si="32">+IFERROR(ROUND(($AB67-AE67)*100,2)&amp;" pts.",0)</f>
        <v>0</v>
      </c>
      <c r="AN67" s="444">
        <f t="shared" ref="AN67:AN77" si="33">+IFERROR(ROUND(($AB67-AH67)*100,2)&amp;" pts.",0)</f>
        <v>0</v>
      </c>
      <c r="AO67" s="11"/>
    </row>
    <row r="68" spans="1:41" hidden="1" x14ac:dyDescent="0.35">
      <c r="A68" s="97" t="s">
        <v>92</v>
      </c>
      <c r="B68" s="98" t="s">
        <v>93</v>
      </c>
      <c r="C68" s="98" t="s">
        <v>94</v>
      </c>
      <c r="D68" s="98" t="s">
        <v>95</v>
      </c>
      <c r="E68" s="98" t="s">
        <v>96</v>
      </c>
      <c r="F68" s="99" t="s">
        <v>97</v>
      </c>
      <c r="G68" s="11"/>
      <c r="H68" s="88"/>
      <c r="I68" s="122" t="str">
        <f>IF(_epmOfflineCondition_,"",_xll.EVPRO($B$1,$H68,"STYLE"))</f>
        <v/>
      </c>
      <c r="J68" s="122" t="str">
        <f>IF(_epmOfflineCondition_,"",_xll.EVPRO($B$1,$H68,"CALC"))</f>
        <v/>
      </c>
      <c r="K68" s="179" t="str">
        <f t="shared" si="22"/>
        <v/>
      </c>
      <c r="L68" s="90" t="str">
        <f>IF(_epmOfflineCondition_,"",_xll.EVPRO($B$1,H68,"JDEID"))</f>
        <v/>
      </c>
      <c r="M68" s="90" t="str">
        <f>IF(_epmOfflineCondition_,"",IF(AND(I68="N",J68="N"),_xll.EVPRO($B$1,H68,"PSFTID"),""))</f>
        <v/>
      </c>
      <c r="N68" s="90" t="str">
        <f>IF(_epmOfflineCondition_,"",IF(_xll.EVDES(H68,$B$1)="#NODATA","",_xll.EVDES(H68,$B$1)))</f>
        <v/>
      </c>
      <c r="O68" s="217"/>
      <c r="P68" s="217"/>
      <c r="Q68" s="217"/>
      <c r="R68" s="217"/>
      <c r="S68" s="217"/>
      <c r="T68" s="217"/>
      <c r="U68" s="217"/>
      <c r="V68" s="217"/>
      <c r="W68" s="217"/>
      <c r="X68" s="217"/>
      <c r="Y68" s="217"/>
      <c r="Z68" s="217"/>
      <c r="AA68" s="251">
        <f t="shared" si="23"/>
        <v>0</v>
      </c>
      <c r="AB68" s="219" t="str">
        <f t="shared" si="24"/>
        <v/>
      </c>
      <c r="AC68" s="140"/>
      <c r="AD68" s="217"/>
      <c r="AE68" s="219" t="str">
        <f t="shared" si="25"/>
        <v/>
      </c>
      <c r="AF68" s="220">
        <f t="shared" si="26"/>
        <v>0</v>
      </c>
      <c r="AG68" s="217"/>
      <c r="AH68" s="219" t="str">
        <f t="shared" si="27"/>
        <v/>
      </c>
      <c r="AI68" s="220">
        <f t="shared" si="28"/>
        <v>0</v>
      </c>
      <c r="AJ68" s="440">
        <f t="shared" si="29"/>
        <v>0</v>
      </c>
      <c r="AK68" s="441">
        <f t="shared" si="30"/>
        <v>0</v>
      </c>
      <c r="AL68" s="442">
        <f t="shared" si="31"/>
        <v>0</v>
      </c>
      <c r="AM68" s="443">
        <f t="shared" si="32"/>
        <v>0</v>
      </c>
      <c r="AN68" s="444">
        <f t="shared" si="33"/>
        <v>0</v>
      </c>
      <c r="AO68" s="11"/>
    </row>
    <row r="69" spans="1:41" x14ac:dyDescent="0.35">
      <c r="A69" s="11"/>
      <c r="B69" s="11"/>
      <c r="C69" s="11"/>
      <c r="D69" s="11"/>
      <c r="E69" s="11"/>
      <c r="F69" s="11"/>
      <c r="G69" s="11"/>
      <c r="H69" s="88" t="s">
        <v>75</v>
      </c>
      <c r="I69" s="89" t="str">
        <f>IF(_epmOfflineCondition_,"B1",_xll.EVPRO($B$1,$H69,"STYLE"))</f>
        <v>B1</v>
      </c>
      <c r="J69" s="89" t="str">
        <f>IF(_epmOfflineCondition_,"Y",_xll.EVPRO($B$1,$H69,"CALC"))</f>
        <v>Y</v>
      </c>
      <c r="K69" s="265" t="str">
        <f t="shared" si="22"/>
        <v/>
      </c>
      <c r="L69" s="106" t="str">
        <f>IF(_epmOfflineCondition_,"",_xll.EVPRO($B$1,H69,"JDEID"))</f>
        <v/>
      </c>
      <c r="M69" s="90" t="str">
        <f>IF(_epmOfflineCondition_,"",IF(AND(I69="N",J69="N"),_xll.EVPRO($B$1,H69,"PSFTID"),""))</f>
        <v/>
      </c>
      <c r="N69" s="106" t="str">
        <f>IF(_epmOfflineCondition_,"Non-Management",IF(_xll.EVDES(H69,$B$1)="#NODATA","",_xll.EVDES(H69,$B$1)))</f>
        <v>Non-Management</v>
      </c>
      <c r="O69" s="91"/>
      <c r="P69" s="91"/>
      <c r="Q69" s="91"/>
      <c r="R69" s="91"/>
      <c r="S69" s="91"/>
      <c r="T69" s="91"/>
      <c r="U69" s="91"/>
      <c r="V69" s="91"/>
      <c r="W69" s="91"/>
      <c r="X69" s="91"/>
      <c r="Y69" s="91"/>
      <c r="Z69" s="91"/>
      <c r="AA69" s="180" t="str">
        <f t="shared" si="23"/>
        <v/>
      </c>
      <c r="AB69" s="100" t="str">
        <f t="shared" si="24"/>
        <v/>
      </c>
      <c r="AC69" s="11"/>
      <c r="AD69" s="91"/>
      <c r="AE69" s="100" t="str">
        <f t="shared" si="25"/>
        <v/>
      </c>
      <c r="AF69" s="92" t="str">
        <f t="shared" si="26"/>
        <v/>
      </c>
      <c r="AG69" s="91"/>
      <c r="AH69" s="100" t="str">
        <f t="shared" si="27"/>
        <v/>
      </c>
      <c r="AI69" s="92" t="str">
        <f t="shared" si="28"/>
        <v/>
      </c>
      <c r="AJ69" s="397">
        <f t="shared" si="29"/>
        <v>0</v>
      </c>
      <c r="AK69" s="398">
        <f t="shared" si="30"/>
        <v>0</v>
      </c>
      <c r="AL69" s="399">
        <f t="shared" si="31"/>
        <v>0</v>
      </c>
      <c r="AM69" s="400">
        <f t="shared" si="32"/>
        <v>0</v>
      </c>
      <c r="AN69" s="401">
        <f t="shared" si="33"/>
        <v>0</v>
      </c>
      <c r="AO69" s="11"/>
    </row>
    <row r="70" spans="1:41" x14ac:dyDescent="0.35">
      <c r="A70" s="11" t="s">
        <v>209</v>
      </c>
      <c r="B70" s="11" t="s">
        <v>21</v>
      </c>
      <c r="C70" s="395"/>
      <c r="D70" s="11" t="s">
        <v>590</v>
      </c>
      <c r="E70" s="11"/>
      <c r="F70" s="11" t="s">
        <v>99</v>
      </c>
      <c r="G70" s="11"/>
      <c r="H70" s="88" t="s">
        <v>865</v>
      </c>
      <c r="I70" s="122" t="str">
        <f>IF(_epmOfflineCondition_,"T3",_xll.EVPRO($B$1,$H70,"STYLE"))</f>
        <v>T3</v>
      </c>
      <c r="J70" s="122" t="str">
        <f>IF(_epmOfflineCondition_,"Y",_xll.EVPRO($B$1,$H70,"CALC"))</f>
        <v>Y</v>
      </c>
      <c r="K70" s="179" t="str">
        <f t="shared" si="22"/>
        <v>&gt;</v>
      </c>
      <c r="L70" s="90" t="str">
        <f>IF(_epmOfflineCondition_,"",_xll.EVPRO($B$1,H70,"JDEID"))</f>
        <v/>
      </c>
      <c r="M70" s="90" t="str">
        <f>IF(_epmOfflineCondition_,"",IF(AND(I70="N",J70="N"),_xll.EVPRO($B$1,H70,"PSFTID"),""))</f>
        <v/>
      </c>
      <c r="N70" s="90" t="str">
        <f>IF(_epmOfflineCondition_,"F&amp;B Venues",IF(_xll.EVDES(H70,$B$1)="#NODATA","",_xll.EVDES(H70,$B$1)))</f>
        <v>F&amp;B Venues</v>
      </c>
      <c r="O70" s="217"/>
      <c r="P70" s="217"/>
      <c r="Q70" s="217"/>
      <c r="R70" s="217"/>
      <c r="S70" s="217"/>
      <c r="T70" s="217"/>
      <c r="U70" s="217"/>
      <c r="V70" s="217"/>
      <c r="W70" s="217"/>
      <c r="X70" s="217"/>
      <c r="Y70" s="217"/>
      <c r="Z70" s="217"/>
      <c r="AA70" s="251">
        <f t="shared" si="23"/>
        <v>0</v>
      </c>
      <c r="AB70" s="219" t="str">
        <f t="shared" si="24"/>
        <v/>
      </c>
      <c r="AC70" s="140"/>
      <c r="AD70" s="217"/>
      <c r="AE70" s="219" t="str">
        <f t="shared" si="25"/>
        <v/>
      </c>
      <c r="AF70" s="220">
        <f t="shared" si="26"/>
        <v>0</v>
      </c>
      <c r="AG70" s="217">
        <v>1961</v>
      </c>
      <c r="AH70" s="219">
        <f t="shared" si="27"/>
        <v>7.4119122015344666E-2</v>
      </c>
      <c r="AI70" s="220">
        <f t="shared" si="28"/>
        <v>-1961</v>
      </c>
      <c r="AJ70" s="449">
        <f t="shared" si="29"/>
        <v>0</v>
      </c>
      <c r="AK70" s="450">
        <f t="shared" si="30"/>
        <v>0</v>
      </c>
      <c r="AL70" s="451">
        <f t="shared" si="31"/>
        <v>1.9150390625</v>
      </c>
      <c r="AM70" s="452">
        <f t="shared" si="32"/>
        <v>0</v>
      </c>
      <c r="AN70" s="453">
        <f t="shared" si="33"/>
        <v>0</v>
      </c>
      <c r="AO70" s="11"/>
    </row>
    <row r="71" spans="1:41" x14ac:dyDescent="0.35">
      <c r="A71" s="11" t="s">
        <v>105</v>
      </c>
      <c r="B71" s="11"/>
      <c r="C71" s="104" t="s">
        <v>101</v>
      </c>
      <c r="D71" s="11" t="s">
        <v>106</v>
      </c>
      <c r="E71" s="11"/>
      <c r="F71" s="11" t="s">
        <v>98</v>
      </c>
      <c r="G71" s="11"/>
      <c r="H71" s="88" t="s">
        <v>848</v>
      </c>
      <c r="I71" s="188" t="str">
        <f>IF(_epmOfflineCondition_,"T2",_xll.EVPRO($B$1,$H71,"STYLE"))</f>
        <v>T2</v>
      </c>
      <c r="J71" s="188" t="str">
        <f>IF(_epmOfflineCondition_,"Y",_xll.EVPRO($B$1,$H71,"CALC"))</f>
        <v>Y</v>
      </c>
      <c r="K71" s="189" t="str">
        <f t="shared" si="22"/>
        <v/>
      </c>
      <c r="L71" s="190" t="str">
        <f>IF(_epmOfflineCondition_,"",_xll.EVPRO($B$1,H71,"JDEID"))</f>
        <v/>
      </c>
      <c r="M71" s="190" t="str">
        <f>IF(_epmOfflineCondition_,"",IF(AND(I71="N",J71="N"),_xll.EVPRO($B$1,H71,"PSFTID"),""))</f>
        <v/>
      </c>
      <c r="N71" s="190" t="str">
        <f>IF(_epmOfflineCondition_,"Total Salaries and Wages",IF(_xll.EVDES(H71,$B$1)="#NODATA","",_xll.EVDES(H71,$B$1)))</f>
        <v>Total Salaries and Wages</v>
      </c>
      <c r="O71" s="225"/>
      <c r="P71" s="225"/>
      <c r="Q71" s="225"/>
      <c r="R71" s="225"/>
      <c r="S71" s="225"/>
      <c r="T71" s="225"/>
      <c r="U71" s="225"/>
      <c r="V71" s="225"/>
      <c r="W71" s="225"/>
      <c r="X71" s="225"/>
      <c r="Y71" s="225"/>
      <c r="Z71" s="225"/>
      <c r="AA71" s="225">
        <f t="shared" si="23"/>
        <v>0</v>
      </c>
      <c r="AB71" s="226" t="str">
        <f t="shared" si="24"/>
        <v/>
      </c>
      <c r="AC71" s="227"/>
      <c r="AD71" s="225"/>
      <c r="AE71" s="226" t="str">
        <f t="shared" si="25"/>
        <v/>
      </c>
      <c r="AF71" s="228">
        <f t="shared" si="26"/>
        <v>0</v>
      </c>
      <c r="AG71" s="225">
        <v>1961</v>
      </c>
      <c r="AH71" s="226">
        <f t="shared" si="27"/>
        <v>7.4119122015344666E-2</v>
      </c>
      <c r="AI71" s="228">
        <f t="shared" si="28"/>
        <v>-1961</v>
      </c>
      <c r="AJ71" s="229">
        <f t="shared" si="29"/>
        <v>0</v>
      </c>
      <c r="AK71" s="230">
        <f t="shared" si="30"/>
        <v>0</v>
      </c>
      <c r="AL71" s="232">
        <f t="shared" si="31"/>
        <v>1.9150390625</v>
      </c>
      <c r="AM71" s="427">
        <f t="shared" si="32"/>
        <v>0</v>
      </c>
      <c r="AN71" s="456">
        <f t="shared" si="33"/>
        <v>0</v>
      </c>
      <c r="AO71" s="11"/>
    </row>
    <row r="72" spans="1:41" x14ac:dyDescent="0.35">
      <c r="A72" s="11" t="s">
        <v>104</v>
      </c>
      <c r="B72" s="11"/>
      <c r="C72" s="104" t="s">
        <v>101</v>
      </c>
      <c r="D72" s="11" t="s">
        <v>106</v>
      </c>
      <c r="E72" s="11"/>
      <c r="F72" s="11" t="s">
        <v>98</v>
      </c>
      <c r="G72" s="11"/>
      <c r="H72" s="88" t="s">
        <v>866</v>
      </c>
      <c r="I72" s="122" t="str">
        <f>IF(_epmOfflineCondition_,"T3",_xll.EVPRO($B$1,$H72,"STYLE"))</f>
        <v>T3</v>
      </c>
      <c r="J72" s="122" t="str">
        <f>IF(_epmOfflineCondition_,"Y",_xll.EVPRO($B$1,$H72,"CALC"))</f>
        <v>Y</v>
      </c>
      <c r="K72" s="179" t="str">
        <f t="shared" si="22"/>
        <v>&gt;</v>
      </c>
      <c r="L72" s="90" t="str">
        <f>IF(_epmOfflineCondition_,"",_xll.EVPRO($B$1,H72,"JDEID"))</f>
        <v/>
      </c>
      <c r="M72" s="90" t="str">
        <f>IF(_epmOfflineCondition_,"",IF(AND(I72="N",J72="N"),_xll.EVPRO($B$1,H72,"PSFTID"),""))</f>
        <v/>
      </c>
      <c r="N72" s="90" t="str">
        <f>IF(_epmOfflineCondition_,"Service Charge Distribution",IF(_xll.EVDES(H72,$B$1)="#NODATA","",_xll.EVDES(H72,$B$1)))</f>
        <v>Service Charge Distribution</v>
      </c>
      <c r="O72" s="216"/>
      <c r="P72" s="216"/>
      <c r="Q72" s="216"/>
      <c r="R72" s="216"/>
      <c r="S72" s="216"/>
      <c r="T72" s="216"/>
      <c r="U72" s="216"/>
      <c r="V72" s="216"/>
      <c r="W72" s="216"/>
      <c r="X72" s="216"/>
      <c r="Y72" s="216"/>
      <c r="Z72" s="216"/>
      <c r="AA72" s="216">
        <f t="shared" si="23"/>
        <v>0</v>
      </c>
      <c r="AB72" s="218" t="str">
        <f t="shared" si="24"/>
        <v/>
      </c>
      <c r="AC72" s="140"/>
      <c r="AD72" s="216"/>
      <c r="AE72" s="218" t="str">
        <f t="shared" si="25"/>
        <v/>
      </c>
      <c r="AF72" s="233">
        <f t="shared" si="26"/>
        <v>0</v>
      </c>
      <c r="AG72" s="216">
        <v>14360.38</v>
      </c>
      <c r="AH72" s="218">
        <f t="shared" si="27"/>
        <v>0.54277346119669312</v>
      </c>
      <c r="AI72" s="233">
        <f t="shared" si="28"/>
        <v>-14360.38</v>
      </c>
      <c r="AJ72" s="532">
        <f t="shared" si="29"/>
        <v>0</v>
      </c>
      <c r="AK72" s="533">
        <f t="shared" si="30"/>
        <v>0</v>
      </c>
      <c r="AL72" s="534">
        <f t="shared" si="31"/>
        <v>14.023808593749999</v>
      </c>
      <c r="AM72" s="535">
        <f t="shared" si="32"/>
        <v>0</v>
      </c>
      <c r="AN72" s="536">
        <f t="shared" si="33"/>
        <v>0</v>
      </c>
      <c r="AO72" s="11"/>
    </row>
    <row r="73" spans="1:41" x14ac:dyDescent="0.35">
      <c r="A73" s="11" t="s">
        <v>100</v>
      </c>
      <c r="B73" s="11"/>
      <c r="C73" s="53" t="s">
        <v>101</v>
      </c>
      <c r="D73" s="11" t="s">
        <v>106</v>
      </c>
      <c r="E73" s="11"/>
      <c r="F73" s="11" t="s">
        <v>98</v>
      </c>
      <c r="G73" s="11"/>
      <c r="H73" s="88" t="s">
        <v>850</v>
      </c>
      <c r="I73" s="188" t="str">
        <f>IF(_epmOfflineCondition_,"T2",_xll.EVPRO($B$1,$H73,"STYLE"))</f>
        <v>T2</v>
      </c>
      <c r="J73" s="188" t="str">
        <f>IF(_epmOfflineCondition_,"Y",_xll.EVPRO($B$1,$H73,"CALC"))</f>
        <v>Y</v>
      </c>
      <c r="K73" s="189" t="str">
        <f t="shared" si="22"/>
        <v/>
      </c>
      <c r="L73" s="190" t="str">
        <f>IF(_epmOfflineCondition_,"",_xll.EVPRO($B$1,H73,"JDEID"))</f>
        <v/>
      </c>
      <c r="M73" s="190" t="str">
        <f>IF(_epmOfflineCondition_,"",IF(AND(I73="N",J73="N"),_xll.EVPRO($B$1,H73,"PSFTID"),""))</f>
        <v/>
      </c>
      <c r="N73" s="190" t="str">
        <f>IF(_epmOfflineCondition_,"Total Labor Expense",IF(_xll.EVDES(H73,$B$1)="#NODATA","",_xll.EVDES(H73,$B$1)))</f>
        <v>Total Labor Expense</v>
      </c>
      <c r="O73" s="225"/>
      <c r="P73" s="225"/>
      <c r="Q73" s="225"/>
      <c r="R73" s="225"/>
      <c r="S73" s="225"/>
      <c r="T73" s="225"/>
      <c r="U73" s="225"/>
      <c r="V73" s="225"/>
      <c r="W73" s="225"/>
      <c r="X73" s="225"/>
      <c r="Y73" s="225"/>
      <c r="Z73" s="225"/>
      <c r="AA73" s="225">
        <f t="shared" si="23"/>
        <v>0</v>
      </c>
      <c r="AB73" s="226" t="str">
        <f t="shared" si="24"/>
        <v/>
      </c>
      <c r="AC73" s="227"/>
      <c r="AD73" s="225"/>
      <c r="AE73" s="226" t="str">
        <f t="shared" si="25"/>
        <v/>
      </c>
      <c r="AF73" s="228">
        <f t="shared" si="26"/>
        <v>0</v>
      </c>
      <c r="AG73" s="225">
        <v>16321.38</v>
      </c>
      <c r="AH73" s="226">
        <f t="shared" si="27"/>
        <v>0.61689258321203777</v>
      </c>
      <c r="AI73" s="228">
        <f t="shared" si="28"/>
        <v>-16321.38</v>
      </c>
      <c r="AJ73" s="229">
        <f t="shared" si="29"/>
        <v>0</v>
      </c>
      <c r="AK73" s="230">
        <f t="shared" si="30"/>
        <v>0</v>
      </c>
      <c r="AL73" s="232">
        <f t="shared" si="31"/>
        <v>15.938847656249999</v>
      </c>
      <c r="AM73" s="427">
        <f t="shared" si="32"/>
        <v>0</v>
      </c>
      <c r="AN73" s="456">
        <f t="shared" si="33"/>
        <v>0</v>
      </c>
      <c r="AO73" s="11"/>
    </row>
    <row r="74" spans="1:41" x14ac:dyDescent="0.35">
      <c r="A74" s="11" t="s">
        <v>102</v>
      </c>
      <c r="B74" s="11"/>
      <c r="C74" s="106" t="s">
        <v>101</v>
      </c>
      <c r="D74" s="11" t="s">
        <v>106</v>
      </c>
      <c r="E74" s="11"/>
      <c r="F74" s="11" t="s">
        <v>98</v>
      </c>
      <c r="G74" s="11"/>
      <c r="H74" s="88" t="s">
        <v>851</v>
      </c>
      <c r="I74" s="122" t="str">
        <f>IF(_epmOfflineCondition_,"T3",_xll.EVPRO($B$1,$H74,"STYLE"))</f>
        <v>T3</v>
      </c>
      <c r="J74" s="122" t="str">
        <f>IF(_epmOfflineCondition_,"Y",_xll.EVPRO($B$1,$H74,"CALC"))</f>
        <v>Y</v>
      </c>
      <c r="K74" s="179" t="str">
        <f t="shared" si="22"/>
        <v>&gt;</v>
      </c>
      <c r="L74" s="90" t="str">
        <f>IF(_epmOfflineCondition_,"",_xll.EVPRO($B$1,H74,"JDEID"))</f>
        <v/>
      </c>
      <c r="M74" s="90" t="str">
        <f>IF(_epmOfflineCondition_,"",IF(AND(I74="N",J74="N"),_xll.EVPRO($B$1,H74,"PSFTID"),""))</f>
        <v/>
      </c>
      <c r="N74" s="90" t="str">
        <f>IF(_epmOfflineCondition_,"Payroll Taxes",IF(_xll.EVDES(H74,$B$1)="#NODATA","",_xll.EVDES(H74,$B$1)))</f>
        <v>Payroll Taxes</v>
      </c>
      <c r="O74" s="216"/>
      <c r="P74" s="216"/>
      <c r="Q74" s="216"/>
      <c r="R74" s="216"/>
      <c r="S74" s="216"/>
      <c r="T74" s="216"/>
      <c r="U74" s="216"/>
      <c r="V74" s="216"/>
      <c r="W74" s="216"/>
      <c r="X74" s="216"/>
      <c r="Y74" s="216"/>
      <c r="Z74" s="216"/>
      <c r="AA74" s="216">
        <f t="shared" si="23"/>
        <v>0</v>
      </c>
      <c r="AB74" s="218" t="str">
        <f t="shared" si="24"/>
        <v/>
      </c>
      <c r="AC74" s="140"/>
      <c r="AD74" s="216"/>
      <c r="AE74" s="218" t="str">
        <f t="shared" si="25"/>
        <v/>
      </c>
      <c r="AF74" s="233">
        <f t="shared" si="26"/>
        <v>0</v>
      </c>
      <c r="AG74" s="216">
        <v>291.14999999999998</v>
      </c>
      <c r="AH74" s="218">
        <f t="shared" si="27"/>
        <v>1.100447851849444E-2</v>
      </c>
      <c r="AI74" s="233">
        <f t="shared" si="28"/>
        <v>-291.14999999999998</v>
      </c>
      <c r="AJ74" s="532">
        <f t="shared" si="29"/>
        <v>0</v>
      </c>
      <c r="AK74" s="533">
        <f t="shared" si="30"/>
        <v>0</v>
      </c>
      <c r="AL74" s="534">
        <f t="shared" si="31"/>
        <v>0.28432617187499998</v>
      </c>
      <c r="AM74" s="535">
        <f t="shared" si="32"/>
        <v>0</v>
      </c>
      <c r="AN74" s="536">
        <f t="shared" si="33"/>
        <v>0</v>
      </c>
      <c r="AO74" s="11"/>
    </row>
    <row r="75" spans="1:41" x14ac:dyDescent="0.35">
      <c r="A75" s="11" t="s">
        <v>102</v>
      </c>
      <c r="B75" s="11"/>
      <c r="C75" s="196" t="s">
        <v>101</v>
      </c>
      <c r="D75" s="11" t="s">
        <v>107</v>
      </c>
      <c r="E75" s="11"/>
      <c r="F75" s="11" t="s">
        <v>99</v>
      </c>
      <c r="G75" s="11"/>
      <c r="H75" s="88" t="s">
        <v>853</v>
      </c>
      <c r="I75" s="122" t="str">
        <f>IF(_epmOfflineCondition_,"T3",_xll.EVPRO($B$1,$H75,"STYLE"))</f>
        <v>T3</v>
      </c>
      <c r="J75" s="122" t="str">
        <f>IF(_epmOfflineCondition_,"Y",_xll.EVPRO($B$1,$H75,"CALC"))</f>
        <v>Y</v>
      </c>
      <c r="K75" s="179" t="str">
        <f t="shared" si="22"/>
        <v>&gt;</v>
      </c>
      <c r="L75" s="90" t="str">
        <f>IF(_epmOfflineCondition_,"",_xll.EVPRO($B$1,H75,"JDEID"))</f>
        <v/>
      </c>
      <c r="M75" s="90" t="str">
        <f>IF(_epmOfflineCondition_,"",IF(AND(I75="N",J75="N"),_xll.EVPRO($B$1,H75,"PSFTID"),""))</f>
        <v/>
      </c>
      <c r="N75" s="90" t="str">
        <f>IF(_epmOfflineCondition_,"Employee Benefits",IF(_xll.EVDES(H75,$B$1)="#NODATA","",_xll.EVDES(H75,$B$1)))</f>
        <v>Employee Benefits</v>
      </c>
      <c r="O75" s="217"/>
      <c r="P75" s="217"/>
      <c r="Q75" s="217"/>
      <c r="R75" s="217"/>
      <c r="S75" s="217"/>
      <c r="T75" s="217"/>
      <c r="U75" s="217"/>
      <c r="V75" s="217"/>
      <c r="W75" s="217"/>
      <c r="X75" s="217"/>
      <c r="Y75" s="217"/>
      <c r="Z75" s="217"/>
      <c r="AA75" s="251">
        <f t="shared" si="23"/>
        <v>0</v>
      </c>
      <c r="AB75" s="219" t="str">
        <f t="shared" si="24"/>
        <v/>
      </c>
      <c r="AC75" s="140"/>
      <c r="AD75" s="217"/>
      <c r="AE75" s="219" t="str">
        <f t="shared" si="25"/>
        <v/>
      </c>
      <c r="AF75" s="220">
        <f t="shared" si="26"/>
        <v>0</v>
      </c>
      <c r="AG75" s="217">
        <v>6.08</v>
      </c>
      <c r="AH75" s="219">
        <f t="shared" si="27"/>
        <v>2.2980329518271063E-4</v>
      </c>
      <c r="AI75" s="220">
        <f t="shared" si="28"/>
        <v>-6.08</v>
      </c>
      <c r="AJ75" s="449">
        <f t="shared" si="29"/>
        <v>0</v>
      </c>
      <c r="AK75" s="450">
        <f t="shared" si="30"/>
        <v>0</v>
      </c>
      <c r="AL75" s="451">
        <f t="shared" si="31"/>
        <v>5.9375000000000001E-3</v>
      </c>
      <c r="AM75" s="452">
        <f t="shared" si="32"/>
        <v>0</v>
      </c>
      <c r="AN75" s="453">
        <f t="shared" si="33"/>
        <v>0</v>
      </c>
      <c r="AO75" s="11"/>
    </row>
    <row r="76" spans="1:41" x14ac:dyDescent="0.35">
      <c r="A76" s="11" t="s">
        <v>108</v>
      </c>
      <c r="B76" s="11"/>
      <c r="C76" s="106" t="s">
        <v>101</v>
      </c>
      <c r="D76" s="11" t="s">
        <v>106</v>
      </c>
      <c r="E76" s="11"/>
      <c r="F76" s="11" t="s">
        <v>98</v>
      </c>
      <c r="G76" s="11"/>
      <c r="H76" s="88" t="s">
        <v>854</v>
      </c>
      <c r="I76" s="188" t="str">
        <f>IF(_epmOfflineCondition_,"T2",_xll.EVPRO($B$1,$H76,"STYLE"))</f>
        <v>T2</v>
      </c>
      <c r="J76" s="188" t="str">
        <f>IF(_epmOfflineCondition_,"Y",_xll.EVPRO($B$1,$H76,"CALC"))</f>
        <v>Y</v>
      </c>
      <c r="K76" s="189" t="str">
        <f t="shared" si="22"/>
        <v/>
      </c>
      <c r="L76" s="190" t="str">
        <f>IF(_epmOfflineCondition_,"",_xll.EVPRO($B$1,H76,"JDEID"))</f>
        <v/>
      </c>
      <c r="M76" s="190" t="str">
        <f>IF(_epmOfflineCondition_,"",IF(AND(I76="N",J76="N"),_xll.EVPRO($B$1,H76,"PSFTID"),""))</f>
        <v/>
      </c>
      <c r="N76" s="190" t="str">
        <f>IF(_epmOfflineCondition_,"Total Payroll Related",IF(_xll.EVDES(H76,$B$1)="#NODATA","",_xll.EVDES(H76,$B$1)))</f>
        <v>Total Payroll Related</v>
      </c>
      <c r="O76" s="238"/>
      <c r="P76" s="238"/>
      <c r="Q76" s="238"/>
      <c r="R76" s="238"/>
      <c r="S76" s="238"/>
      <c r="T76" s="238"/>
      <c r="U76" s="238"/>
      <c r="V76" s="238"/>
      <c r="W76" s="238"/>
      <c r="X76" s="238"/>
      <c r="Y76" s="238"/>
      <c r="Z76" s="238"/>
      <c r="AA76" s="238">
        <f t="shared" si="23"/>
        <v>0</v>
      </c>
      <c r="AB76" s="239" t="str">
        <f t="shared" si="24"/>
        <v/>
      </c>
      <c r="AC76" s="240"/>
      <c r="AD76" s="238"/>
      <c r="AE76" s="239" t="str">
        <f t="shared" si="25"/>
        <v/>
      </c>
      <c r="AF76" s="241">
        <f t="shared" si="26"/>
        <v>0</v>
      </c>
      <c r="AG76" s="238">
        <v>297.23</v>
      </c>
      <c r="AH76" s="239">
        <f t="shared" si="27"/>
        <v>1.1234281813677152E-2</v>
      </c>
      <c r="AI76" s="241">
        <f t="shared" si="28"/>
        <v>-297.23</v>
      </c>
      <c r="AJ76" s="242">
        <f t="shared" si="29"/>
        <v>0</v>
      </c>
      <c r="AK76" s="243">
        <f t="shared" si="30"/>
        <v>0</v>
      </c>
      <c r="AL76" s="245">
        <f t="shared" si="31"/>
        <v>0.29026367187500002</v>
      </c>
      <c r="AM76" s="431">
        <f t="shared" si="32"/>
        <v>0</v>
      </c>
      <c r="AN76" s="465">
        <f t="shared" si="33"/>
        <v>0</v>
      </c>
      <c r="AO76" s="11"/>
    </row>
    <row r="77" spans="1:41" x14ac:dyDescent="0.35">
      <c r="A77" s="11" t="s">
        <v>108</v>
      </c>
      <c r="B77" s="11"/>
      <c r="C77" s="196" t="s">
        <v>101</v>
      </c>
      <c r="D77" s="11" t="s">
        <v>107</v>
      </c>
      <c r="E77" s="11"/>
      <c r="F77" s="11" t="s">
        <v>99</v>
      </c>
      <c r="G77" s="11"/>
      <c r="H77" s="88" t="s">
        <v>76</v>
      </c>
      <c r="I77" s="188" t="str">
        <f>IF(_epmOfflineCondition_,"T1",_xll.EVPRO($B$1,$H77,"STYLE"))</f>
        <v>T1</v>
      </c>
      <c r="J77" s="188" t="str">
        <f>IF(_epmOfflineCondition_,"Y",_xll.EVPRO($B$1,$H77,"CALC"))</f>
        <v>Y</v>
      </c>
      <c r="K77" s="189" t="str">
        <f t="shared" si="22"/>
        <v/>
      </c>
      <c r="L77" s="190" t="str">
        <f>IF(_epmOfflineCondition_,"600000",_xll.EVPRO($B$1,H77,"JDEID"))</f>
        <v>600000</v>
      </c>
      <c r="M77" s="190" t="str">
        <f>IF(_epmOfflineCondition_,"",IF(AND(I77="N",J77="N"),_xll.EVPRO($B$1,H77,"PSFTID"),""))</f>
        <v/>
      </c>
      <c r="N77" s="190" t="str">
        <f>IF(_epmOfflineCondition_,"Total Labor &amp; Related Exp",IF(_xll.EVDES(H77,$B$1)="#NODATA","",_xll.EVDES(H77,$B$1)))</f>
        <v>Total Labor &amp; Related Exp</v>
      </c>
      <c r="O77" s="238"/>
      <c r="P77" s="238"/>
      <c r="Q77" s="238"/>
      <c r="R77" s="238"/>
      <c r="S77" s="238"/>
      <c r="T77" s="238"/>
      <c r="U77" s="238"/>
      <c r="V77" s="238"/>
      <c r="W77" s="238"/>
      <c r="X77" s="238"/>
      <c r="Y77" s="238"/>
      <c r="Z77" s="238"/>
      <c r="AA77" s="238">
        <f t="shared" si="23"/>
        <v>0</v>
      </c>
      <c r="AB77" s="239" t="str">
        <f t="shared" si="24"/>
        <v/>
      </c>
      <c r="AC77" s="240"/>
      <c r="AD77" s="238"/>
      <c r="AE77" s="239" t="str">
        <f t="shared" si="25"/>
        <v/>
      </c>
      <c r="AF77" s="241">
        <f t="shared" si="26"/>
        <v>0</v>
      </c>
      <c r="AG77" s="238">
        <v>16618.61</v>
      </c>
      <c r="AH77" s="239">
        <f t="shared" si="27"/>
        <v>0.62812686502571491</v>
      </c>
      <c r="AI77" s="241">
        <f t="shared" si="28"/>
        <v>-16618.61</v>
      </c>
      <c r="AJ77" s="242">
        <f t="shared" si="29"/>
        <v>0</v>
      </c>
      <c r="AK77" s="243">
        <f t="shared" si="30"/>
        <v>0</v>
      </c>
      <c r="AL77" s="245">
        <f t="shared" si="31"/>
        <v>16.229111328125001</v>
      </c>
      <c r="AM77" s="431">
        <f t="shared" si="32"/>
        <v>0</v>
      </c>
      <c r="AN77" s="465">
        <f t="shared" si="33"/>
        <v>0</v>
      </c>
      <c r="AO77" s="11"/>
    </row>
    <row r="78" spans="1:41" x14ac:dyDescent="0.35">
      <c r="A78" s="11"/>
      <c r="B78" s="11"/>
      <c r="C78" s="11"/>
      <c r="D78" s="11"/>
      <c r="E78" s="11"/>
      <c r="F78" s="11"/>
      <c r="G78" s="11"/>
      <c r="H78" s="11"/>
      <c r="I78" s="59"/>
      <c r="J78" s="59"/>
      <c r="K78" s="11"/>
      <c r="L78" s="11"/>
      <c r="M78" s="11"/>
      <c r="N78" s="11"/>
      <c r="O78" s="129"/>
      <c r="P78" s="130"/>
      <c r="Q78" s="130"/>
      <c r="R78" s="130"/>
      <c r="S78" s="130"/>
      <c r="T78" s="130"/>
      <c r="U78" s="130"/>
      <c r="V78" s="130"/>
      <c r="W78" s="130"/>
      <c r="X78" s="130"/>
      <c r="Y78" s="130"/>
      <c r="Z78" s="130"/>
      <c r="AA78" s="130"/>
      <c r="AB78" s="131"/>
      <c r="AC78" s="11"/>
      <c r="AD78" s="129"/>
      <c r="AE78" s="130"/>
      <c r="AF78" s="131"/>
      <c r="AG78" s="129"/>
      <c r="AH78" s="130"/>
      <c r="AI78" s="131"/>
      <c r="AJ78" s="11"/>
      <c r="AK78" s="11"/>
      <c r="AL78" s="11"/>
      <c r="AM78" s="11"/>
      <c r="AN78" s="11"/>
      <c r="AO78" s="11"/>
    </row>
    <row r="79" spans="1:41" x14ac:dyDescent="0.35">
      <c r="A79" s="11"/>
      <c r="B79" s="11"/>
      <c r="C79" s="208"/>
      <c r="D79" s="11"/>
      <c r="E79" s="11"/>
      <c r="F79" s="11"/>
      <c r="G79" s="11"/>
      <c r="H79" s="11" t="s">
        <v>82</v>
      </c>
      <c r="I79" s="59" t="str">
        <f>IF(_epmOfflineCondition_,"B1",_xll.EVPRO($B$1,$H79,"STYLE"))</f>
        <v>B1</v>
      </c>
      <c r="J79" s="59" t="str">
        <f>IF(_epmOfflineCondition_,"Y",_xll.EVPRO($B$1,$H79,"CALC"))</f>
        <v>Y</v>
      </c>
      <c r="K79" s="11"/>
      <c r="L79" s="11"/>
      <c r="M79" s="11"/>
      <c r="N79" s="105" t="str">
        <f>IF(_epmOfflineCondition_,"Other Expenses",IF(_xll.EVDES(H79,$B$1)="#NODATA","",_xll.EVDES(H79,$B$1)))</f>
        <v>Other Expenses</v>
      </c>
      <c r="O79" s="119"/>
      <c r="P79" s="120"/>
      <c r="Q79" s="120"/>
      <c r="R79" s="120"/>
      <c r="S79" s="120"/>
      <c r="T79" s="120"/>
      <c r="U79" s="120"/>
      <c r="V79" s="120"/>
      <c r="W79" s="120"/>
      <c r="X79" s="120"/>
      <c r="Y79" s="120"/>
      <c r="Z79" s="120"/>
      <c r="AA79" s="120"/>
      <c r="AB79" s="121"/>
      <c r="AC79" s="11"/>
      <c r="AD79" s="119"/>
      <c r="AE79" s="120"/>
      <c r="AF79" s="121"/>
      <c r="AG79" s="119"/>
      <c r="AH79" s="120"/>
      <c r="AI79" s="121"/>
      <c r="AJ79" s="11"/>
      <c r="AK79" s="11"/>
      <c r="AL79" s="11"/>
      <c r="AM79" s="11"/>
      <c r="AN79" s="11"/>
      <c r="AO79" s="11"/>
    </row>
    <row r="80" spans="1:41" x14ac:dyDescent="0.35">
      <c r="A80" s="61" t="str">
        <f>IF(_epmOfflineCondition_,"Evdre:Ok",_xll.EVDRE($B$1,A83:B90,A93:B99))</f>
        <v>Evdre:Ok</v>
      </c>
      <c r="B80" s="11"/>
      <c r="C80" s="11"/>
      <c r="D80" s="11"/>
      <c r="E80" s="11"/>
      <c r="F80" s="11"/>
      <c r="G80" s="11"/>
      <c r="H80" s="88" t="s">
        <v>831</v>
      </c>
      <c r="I80" s="122" t="str">
        <f>IF(_epmOfflineCondition_,"T4",_xll.EVPRO($B$1,$H80,"STYLE"))</f>
        <v>T4</v>
      </c>
      <c r="J80" s="122" t="str">
        <f>IF(_epmOfflineCondition_,"Y",_xll.EVPRO($B$1,$H80,"CALC"))</f>
        <v>Y</v>
      </c>
      <c r="K80" s="179" t="str">
        <f>IF(AND(I80&lt;&gt;"B1",J80="Y"),"&gt;","")</f>
        <v>&gt;</v>
      </c>
      <c r="L80" s="90" t="str">
        <f>IF(_epmOfflineCondition_,"701500",_xll.EVPRO($B$1,H80,"JDEID"))</f>
        <v>701500</v>
      </c>
      <c r="M80" s="90" t="str">
        <f>IF(_epmOfflineCondition_,"",IF(AND(I80="N",J80="N"),_xll.EVPRO($B$1,H80,"PSFTID"),""))</f>
        <v/>
      </c>
      <c r="N80" s="90" t="str">
        <f>IF(_epmOfflineCondition_,"Operating Supplies",IF(_xll.EVDES(H80,$B$1)="#NODATA","",_xll.EVDES(H80,$B$1)))</f>
        <v>Operating Supplies</v>
      </c>
      <c r="O80" s="143"/>
      <c r="P80" s="143"/>
      <c r="Q80" s="143"/>
      <c r="R80" s="143"/>
      <c r="S80" s="143"/>
      <c r="T80" s="143"/>
      <c r="U80" s="143"/>
      <c r="V80" s="143"/>
      <c r="W80" s="143"/>
      <c r="X80" s="143"/>
      <c r="Y80" s="143"/>
      <c r="Z80" s="143"/>
      <c r="AA80" s="250">
        <f>IF($I80="B1","",SUM(O80:Z80))</f>
        <v>0</v>
      </c>
      <c r="AB80" s="144" t="str">
        <f>IF(AA80=0,"",IFERROR(AA80/AA$19,""))</f>
        <v/>
      </c>
      <c r="AC80" s="140"/>
      <c r="AD80" s="143"/>
      <c r="AE80" s="144" t="str">
        <f>IF(AD80=0,"",IFERROR(AD80/AD$19,""))</f>
        <v/>
      </c>
      <c r="AF80" s="145">
        <f>IF(AND($AA80="",AD80=""),"",$AA80-AD80)</f>
        <v>0</v>
      </c>
      <c r="AG80" s="143">
        <v>79.42</v>
      </c>
      <c r="AH80" s="144">
        <f>IF(AG80=0,"",IFERROR(AG80/AG$19,""))</f>
        <v>3.0018055433241576E-3</v>
      </c>
      <c r="AI80" s="145">
        <f>IF(AND($AA80="",AG80=""),"",$AA80-AG80)</f>
        <v>-79.42</v>
      </c>
      <c r="AJ80" s="440">
        <f>IFERROR(AA80/AA$20,0)</f>
        <v>0</v>
      </c>
      <c r="AK80" s="441">
        <f>IFERROR(AD80/AD$20,0)</f>
        <v>0</v>
      </c>
      <c r="AL80" s="442">
        <f>IFERROR(AG80/AG$20,0)</f>
        <v>7.7558593750000002E-2</v>
      </c>
      <c r="AM80" s="443">
        <f>+IFERROR(ROUND(($AB80-AE80)*100,2)&amp;" pts.",0)</f>
        <v>0</v>
      </c>
      <c r="AN80" s="444">
        <f>+IFERROR(ROUND(($AB80-AH80)*100,2)&amp;" pts.",0)</f>
        <v>0</v>
      </c>
      <c r="AO80" s="11"/>
    </row>
    <row r="81" spans="1:41" x14ac:dyDescent="0.35">
      <c r="A81" s="11"/>
      <c r="B81" s="11"/>
      <c r="C81" s="11"/>
      <c r="D81" s="11"/>
      <c r="E81" s="11"/>
      <c r="F81" s="11"/>
      <c r="G81" s="11"/>
      <c r="H81" s="88" t="s">
        <v>857</v>
      </c>
      <c r="I81" s="122" t="str">
        <f>IF(_epmOfflineCondition_,"N",_xll.EVPRO($B$1,$H81,"STYLE"))</f>
        <v>N</v>
      </c>
      <c r="J81" s="122" t="str">
        <f>IF(_epmOfflineCondition_,"N",_xll.EVPRO($B$1,$H81,"CALC"))</f>
        <v>N</v>
      </c>
      <c r="K81" s="179" t="str">
        <f>IF(AND(I81&lt;&gt;"B1",J81="Y"),"&gt;","")</f>
        <v/>
      </c>
      <c r="L81" s="90" t="str">
        <f>IF(_epmOfflineCondition_,"701600",_xll.EVPRO($B$1,H81,"JDEID"))</f>
        <v>701600</v>
      </c>
      <c r="M81" s="90" t="str">
        <f>IF(_epmOfflineCondition_,"590015",IF(AND(I81="N",J81="N"),_xll.EVPRO($B$1,H81,"PSFTID"),""))</f>
        <v>590015</v>
      </c>
      <c r="N81" s="90" t="str">
        <f>IF(_epmOfflineCondition_,"Cleaning Supplies",IF(_xll.EVDES(H81,$B$1)="#NODATA","",_xll.EVDES(H81,$B$1)))</f>
        <v>Cleaning Supplies</v>
      </c>
      <c r="O81" s="143">
        <v>68</v>
      </c>
      <c r="P81" s="143">
        <v>148</v>
      </c>
      <c r="Q81" s="143"/>
      <c r="R81" s="143"/>
      <c r="S81" s="143"/>
      <c r="T81" s="143"/>
      <c r="U81" s="143"/>
      <c r="V81" s="143"/>
      <c r="W81" s="143"/>
      <c r="X81" s="143"/>
      <c r="Y81" s="143"/>
      <c r="Z81" s="143"/>
      <c r="AA81" s="250">
        <f>IF($I81="B1","",SUM(O81:Z81))</f>
        <v>216</v>
      </c>
      <c r="AB81" s="144" t="str">
        <f>IF(AA81=0,"",IFERROR(AA81/AA$19,""))</f>
        <v/>
      </c>
      <c r="AC81" s="140"/>
      <c r="AD81" s="143"/>
      <c r="AE81" s="144" t="str">
        <f>IF(AD81=0,"",IFERROR(AD81/AD$19,""))</f>
        <v/>
      </c>
      <c r="AF81" s="145">
        <f>IF(AND($AA81="",AD81=""),"",$AA81-AD81)</f>
        <v>216</v>
      </c>
      <c r="AG81" s="143">
        <v>36</v>
      </c>
      <c r="AH81" s="144">
        <f>IF(AG81=0,"",IFERROR(AG81/AG$19,""))</f>
        <v>1.3606774056871024E-3</v>
      </c>
      <c r="AI81" s="145">
        <f>IF(AND($AA81="",AG81=""),"",$AA81-AG81)</f>
        <v>180</v>
      </c>
      <c r="AJ81" s="440">
        <f>IFERROR(AA81/AA$20,0)</f>
        <v>0</v>
      </c>
      <c r="AK81" s="441">
        <f>IFERROR(AD81/AD$20,0)</f>
        <v>0</v>
      </c>
      <c r="AL81" s="442">
        <f>IFERROR(AG81/AG$20,0)</f>
        <v>3.515625E-2</v>
      </c>
      <c r="AM81" s="443">
        <f>+IFERROR(ROUND(($AB81-AE81)*100,2)&amp;" pts.",0)</f>
        <v>0</v>
      </c>
      <c r="AN81" s="444">
        <f>+IFERROR(ROUND(($AB81-AH81)*100,2)&amp;" pts.",0)</f>
        <v>0</v>
      </c>
      <c r="AO81" s="11"/>
    </row>
    <row r="82" spans="1:41" x14ac:dyDescent="0.35">
      <c r="A82" s="62" t="s">
        <v>0</v>
      </c>
      <c r="B82" s="63" t="s">
        <v>1</v>
      </c>
      <c r="C82" s="11"/>
      <c r="D82" s="11"/>
      <c r="E82" s="11"/>
      <c r="F82" s="11"/>
      <c r="G82" s="11"/>
      <c r="H82" s="88" t="s">
        <v>858</v>
      </c>
      <c r="I82" s="122" t="str">
        <f>IF(_epmOfflineCondition_,"N",_xll.EVPRO($B$1,$H82,"STYLE"))</f>
        <v>N</v>
      </c>
      <c r="J82" s="122" t="str">
        <f>IF(_epmOfflineCondition_,"N",_xll.EVPRO($B$1,$H82,"CALC"))</f>
        <v>N</v>
      </c>
      <c r="K82" s="179" t="str">
        <f>IF(AND(I82&lt;&gt;"B1",J82="Y"),"&gt;","")</f>
        <v/>
      </c>
      <c r="L82" s="90" t="str">
        <f>IF(_epmOfflineCondition_,"701700",_xll.EVPRO($B$1,H82,"JDEID"))</f>
        <v>701700</v>
      </c>
      <c r="M82" s="90" t="str">
        <f>IF(_epmOfflineCondition_,"590026",IF(AND(I82="N",J82="N"),_xll.EVPRO($B$1,H82,"PSFTID"),""))</f>
        <v>590026</v>
      </c>
      <c r="N82" s="90" t="str">
        <f>IF(_epmOfflineCondition_,"Dishwashing Supplies",IF(_xll.EVDES(H82,$B$1)="#NODATA","",_xll.EVDES(H82,$B$1)))</f>
        <v>Dishwashing Supplies</v>
      </c>
      <c r="O82" s="143"/>
      <c r="P82" s="143"/>
      <c r="Q82" s="143"/>
      <c r="R82" s="143"/>
      <c r="S82" s="143"/>
      <c r="T82" s="143"/>
      <c r="U82" s="143"/>
      <c r="V82" s="143"/>
      <c r="W82" s="143"/>
      <c r="X82" s="143"/>
      <c r="Y82" s="143"/>
      <c r="Z82" s="143"/>
      <c r="AA82" s="250">
        <f>IF($I82="B1","",SUM(O82:Z82))</f>
        <v>0</v>
      </c>
      <c r="AB82" s="144" t="str">
        <f>IF(AA82=0,"",IFERROR(AA82/AA$19,""))</f>
        <v/>
      </c>
      <c r="AC82" s="140"/>
      <c r="AD82" s="143"/>
      <c r="AE82" s="144" t="str">
        <f>IF(AD82=0,"",IFERROR(AD82/AD$19,""))</f>
        <v/>
      </c>
      <c r="AF82" s="145">
        <f>IF(AND($AA82="",AD82=""),"",$AA82-AD82)</f>
        <v>0</v>
      </c>
      <c r="AG82" s="143">
        <v>18</v>
      </c>
      <c r="AH82" s="144">
        <f>IF(AG82=0,"",IFERROR(AG82/AG$19,""))</f>
        <v>6.8033870284355121E-4</v>
      </c>
      <c r="AI82" s="145">
        <f>IF(AND($AA82="",AG82=""),"",$AA82-AG82)</f>
        <v>-18</v>
      </c>
      <c r="AJ82" s="440">
        <f>IFERROR(AA82/AA$20,0)</f>
        <v>0</v>
      </c>
      <c r="AK82" s="441">
        <f>IFERROR(AD82/AD$20,0)</f>
        <v>0</v>
      </c>
      <c r="AL82" s="442">
        <f>IFERROR(AG82/AG$20,0)</f>
        <v>1.7578125E-2</v>
      </c>
      <c r="AM82" s="443">
        <f>+IFERROR(ROUND(($AB82-AE82)*100,2)&amp;" pts.",0)</f>
        <v>0</v>
      </c>
      <c r="AN82" s="444">
        <f>+IFERROR(ROUND(($AB82-AH82)*100,2)&amp;" pts.",0)</f>
        <v>0</v>
      </c>
      <c r="AO82" s="11"/>
    </row>
    <row r="83" spans="1:41" x14ac:dyDescent="0.35">
      <c r="A83" s="65" t="s">
        <v>2</v>
      </c>
      <c r="B83" s="66" t="str">
        <f>IF(_epmOfflineCondition_,"'IRD'!$B$2:$B$10",_xll.EVRNG($B$2:$B$10))</f>
        <v>'IRD'!$B$2:$B$10</v>
      </c>
      <c r="C83" s="11"/>
      <c r="D83" s="11"/>
      <c r="E83" s="11"/>
      <c r="F83" s="11"/>
      <c r="G83" s="11"/>
      <c r="H83" s="88" t="s">
        <v>859</v>
      </c>
      <c r="I83" s="122" t="str">
        <f>IF(_epmOfflineCondition_,"N",_xll.EVPRO($B$1,$H83,"STYLE"))</f>
        <v>N</v>
      </c>
      <c r="J83" s="122" t="str">
        <f>IF(_epmOfflineCondition_,"N",_xll.EVPRO($B$1,$H83,"CALC"))</f>
        <v>N</v>
      </c>
      <c r="K83" s="179" t="str">
        <f>IF(AND(I83&lt;&gt;"B1",J83="Y"),"&gt;","")</f>
        <v/>
      </c>
      <c r="L83" s="90" t="str">
        <f>IF(_epmOfflineCondition_,"702000",_xll.EVPRO($B$1,H83,"JDEID"))</f>
        <v>702000</v>
      </c>
      <c r="M83" s="90" t="str">
        <f>IF(_epmOfflineCondition_,"590031",IF(AND(I83="N",J83="N"),_xll.EVPRO($B$1,H83,"PSFTID"),""))</f>
        <v>590031</v>
      </c>
      <c r="N83" s="90" t="str">
        <f>IF(_epmOfflineCondition_,"Paper and Plastics",IF(_xll.EVDES(H83,$B$1)="#NODATA","",_xll.EVDES(H83,$B$1)))</f>
        <v>Paper and Plastics</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v>36</v>
      </c>
      <c r="AH83" s="144">
        <f>IF(AG83=0,"",IFERROR(AG83/AG$19,""))</f>
        <v>1.3606774056871024E-3</v>
      </c>
      <c r="AI83" s="145">
        <f>IF(AND($AA83="",AG83=""),"",$AA83-AG83)</f>
        <v>-36</v>
      </c>
      <c r="AJ83" s="440">
        <f>IFERROR(AA83/AA$20,0)</f>
        <v>0</v>
      </c>
      <c r="AK83" s="441">
        <f>IFERROR(AD83/AD$20,0)</f>
        <v>0</v>
      </c>
      <c r="AL83" s="442">
        <f>IFERROR(AG83/AG$20,0)</f>
        <v>3.515625E-2</v>
      </c>
      <c r="AM83" s="443">
        <f>+IFERROR(ROUND(($AB83-AE83)*100,2)&amp;" pts.",0)</f>
        <v>0</v>
      </c>
      <c r="AN83" s="444">
        <f>+IFERROR(ROUND(($AB83-AH83)*100,2)&amp;" pts.",0)</f>
        <v>0</v>
      </c>
      <c r="AO83" s="11"/>
    </row>
    <row r="84" spans="1:41" x14ac:dyDescent="0.35">
      <c r="A84" s="65" t="s">
        <v>3</v>
      </c>
      <c r="B84" s="66" t="str">
        <f>IF(_epmOfflineCondition_,"'IRD'!$O$16:$AN$18",_xll.EVRNG($O$16:$AN$18))</f>
        <v>'IRD'!$O$16:$AN$18</v>
      </c>
      <c r="C84" s="11"/>
      <c r="D84" s="11"/>
      <c r="E84" s="11"/>
      <c r="F84" s="11"/>
      <c r="G84" s="11"/>
      <c r="H84" s="88" t="s">
        <v>79</v>
      </c>
      <c r="I84" s="136" t="str">
        <f>IF(_epmOfflineCondition_,"T3",_xll.EVPRO($B$1,$H84,"STYLE"))</f>
        <v>T3</v>
      </c>
      <c r="J84" s="136" t="str">
        <f>IF(_epmOfflineCondition_,"Y",_xll.EVPRO($B$1,$H84,"CALC"))</f>
        <v>Y</v>
      </c>
      <c r="K84" s="104"/>
      <c r="L84" s="104"/>
      <c r="M84" s="104"/>
      <c r="N84" s="106" t="str">
        <f>IF(_epmOfflineCondition_,"Total Operations Expense",IF(_xll.EVDES(H84,$B$1)="#NODATA","",_xll.EVDES(H84,$B$1)))</f>
        <v>Total Operations Expense</v>
      </c>
      <c r="O84" s="154">
        <v>68</v>
      </c>
      <c r="P84" s="154">
        <v>148</v>
      </c>
      <c r="Q84" s="154"/>
      <c r="R84" s="154"/>
      <c r="S84" s="154"/>
      <c r="T84" s="154"/>
      <c r="U84" s="154"/>
      <c r="V84" s="154"/>
      <c r="W84" s="154"/>
      <c r="X84" s="154"/>
      <c r="Y84" s="154"/>
      <c r="Z84" s="154"/>
      <c r="AA84" s="154">
        <f>IF($I84="B1","",SUM(O84:Z84))</f>
        <v>216</v>
      </c>
      <c r="AB84" s="155" t="str">
        <f>IF(AA84=0,"",IFERROR(AA84/AA$19,""))</f>
        <v/>
      </c>
      <c r="AC84" s="140"/>
      <c r="AD84" s="154"/>
      <c r="AE84" s="155" t="str">
        <f>IF(AD84=0,"",IFERROR(AD84/AD$19,""))</f>
        <v/>
      </c>
      <c r="AF84" s="156">
        <f>IF(AND($AA84="",AD84=""),"",$AA84-AD84)</f>
        <v>216</v>
      </c>
      <c r="AG84" s="154">
        <v>169.42</v>
      </c>
      <c r="AH84" s="155">
        <f>IF(AG84=0,"",IFERROR(AG84/AG$19,""))</f>
        <v>6.4034990575419131E-3</v>
      </c>
      <c r="AI84" s="156">
        <f>IF(AND($AA84="",AG84=""),"",$AA84-AG84)</f>
        <v>46.580000000000013</v>
      </c>
      <c r="AJ84" s="477">
        <f>IFERROR(AA84/AA$20,0)</f>
        <v>0</v>
      </c>
      <c r="AK84" s="478">
        <f>IFERROR(AD84/AD$20,0)</f>
        <v>0</v>
      </c>
      <c r="AL84" s="479">
        <f>IFERROR(AG84/AG$20,0)</f>
        <v>0.16544921874999999</v>
      </c>
      <c r="AM84" s="480">
        <f>+IFERROR(ROUND(($AB84-AE84)*100,2)&amp;" pts.",0)</f>
        <v>0</v>
      </c>
      <c r="AN84" s="555">
        <f>+IFERROR(ROUND(($AB84-AH84)*100,2)&amp;" pts.",0)</f>
        <v>0</v>
      </c>
      <c r="AO84" s="11"/>
    </row>
    <row r="85" spans="1:41" x14ac:dyDescent="0.35">
      <c r="A85" s="65" t="s">
        <v>4</v>
      </c>
      <c r="B85" s="66" t="str">
        <f>IF(_epmOfflineCondition_,"'IRD'!$H$67:$H$68,'IRD'!$H$70:$H$77,'IRD'!$H$80:$H$83",_xll.EVRNG(H67:H68,H70:H77,H80:H83))</f>
        <v>'IRD'!$H$67:$H$68,'IRD'!$H$70:$H$77,'IRD'!$H$80:$H$83</v>
      </c>
      <c r="C85" s="11"/>
      <c r="D85" s="11"/>
      <c r="E85" s="11"/>
      <c r="F85" s="11"/>
      <c r="G85" s="11"/>
      <c r="H85" s="11"/>
      <c r="I85" s="59"/>
      <c r="J85" s="59"/>
      <c r="K85" s="11"/>
      <c r="L85" s="11"/>
      <c r="M85" s="11"/>
      <c r="N85" s="11"/>
      <c r="O85" s="140"/>
      <c r="P85" s="140"/>
      <c r="Q85" s="140"/>
      <c r="R85" s="140"/>
      <c r="S85" s="140"/>
      <c r="T85" s="140"/>
      <c r="U85" s="140"/>
      <c r="V85" s="140"/>
      <c r="W85" s="140"/>
      <c r="X85" s="140"/>
      <c r="Y85" s="140"/>
      <c r="Z85" s="140"/>
      <c r="AA85" s="140"/>
      <c r="AB85" s="140"/>
      <c r="AC85" s="140"/>
      <c r="AD85" s="140"/>
      <c r="AE85" s="140"/>
      <c r="AF85" s="140"/>
      <c r="AG85" s="140"/>
      <c r="AH85" s="140"/>
      <c r="AI85" s="140"/>
      <c r="AJ85" s="140"/>
      <c r="AK85" s="140"/>
      <c r="AL85" s="140"/>
      <c r="AM85" s="140"/>
      <c r="AN85" s="140"/>
      <c r="AO85" s="11"/>
    </row>
    <row r="86" spans="1:41" x14ac:dyDescent="0.35">
      <c r="A86" s="65" t="s">
        <v>5</v>
      </c>
      <c r="B86" s="66"/>
      <c r="C86" s="11"/>
      <c r="D86" s="11"/>
      <c r="E86" s="11"/>
      <c r="F86" s="11"/>
      <c r="G86" s="11"/>
      <c r="H86" s="88" t="s">
        <v>80</v>
      </c>
      <c r="I86" s="136" t="str">
        <f>IF(_epmOfflineCondition_,"T3",_xll.EVPRO($B$1,$H86,"STYLE"))</f>
        <v>T3</v>
      </c>
      <c r="J86" s="136" t="str">
        <f>IF(_epmOfflineCondition_,"Y",_xll.EVPRO($B$1,$H86,"CALC"))</f>
        <v>Y</v>
      </c>
      <c r="K86" s="106"/>
      <c r="L86" s="106"/>
      <c r="M86" s="106"/>
      <c r="N86" s="106" t="str">
        <f>IF(_epmOfflineCondition_,"Total Expenses",IF(_xll.EVDES(H86,$B$1)="#NODATA","",_xll.EVDES(H86,$B$1)))</f>
        <v>Total Expenses</v>
      </c>
      <c r="O86" s="238">
        <v>68</v>
      </c>
      <c r="P86" s="238">
        <v>148</v>
      </c>
      <c r="Q86" s="238"/>
      <c r="R86" s="238"/>
      <c r="S86" s="238"/>
      <c r="T86" s="238"/>
      <c r="U86" s="238"/>
      <c r="V86" s="238"/>
      <c r="W86" s="238"/>
      <c r="X86" s="238"/>
      <c r="Y86" s="238"/>
      <c r="Z86" s="238"/>
      <c r="AA86" s="238">
        <f>IF($I86="B1","",SUM(O86:Z86))</f>
        <v>216</v>
      </c>
      <c r="AB86" s="239" t="str">
        <f>IF(AA86=0,"",IFERROR(AA86/AA$19,""))</f>
        <v/>
      </c>
      <c r="AC86" s="140"/>
      <c r="AD86" s="238"/>
      <c r="AE86" s="239" t="str">
        <f>IF(AD86=0,"",IFERROR(AD86/AD$19,""))</f>
        <v/>
      </c>
      <c r="AF86" s="254">
        <f>IF(AND($AA86="",AD86=""),"",$AA86-AD86)</f>
        <v>216</v>
      </c>
      <c r="AG86" s="255">
        <v>16788.03</v>
      </c>
      <c r="AH86" s="256">
        <f>IF(AG86=0,"",IFERROR(AG86/AG$19,""))</f>
        <v>0.6345303640832568</v>
      </c>
      <c r="AI86" s="254">
        <f>IF(AND($AA86="",AG86=""),"",$AA86-AG86)</f>
        <v>-16572.03</v>
      </c>
      <c r="AJ86" s="466">
        <f>IFERROR(AA86/AA$20,0)</f>
        <v>0</v>
      </c>
      <c r="AK86" s="467">
        <f>IFERROR(AD86/AD$20,0)</f>
        <v>0</v>
      </c>
      <c r="AL86" s="468">
        <f>IFERROR(AG86/AG$20,0)</f>
        <v>16.394560546874999</v>
      </c>
      <c r="AM86" s="469">
        <f>+IFERROR(ROUND(($AB86-AE86)*100,2)&amp;" pts.",0)</f>
        <v>0</v>
      </c>
      <c r="AN86" s="556">
        <f>+IFERROR(ROUND(($AB86-AH86)*100,2)&amp;" pts.",0)</f>
        <v>0</v>
      </c>
      <c r="AO86" s="11"/>
    </row>
    <row r="87" spans="1:41" ht="15" thickBot="1" x14ac:dyDescent="0.4">
      <c r="A87" s="65" t="s">
        <v>6</v>
      </c>
      <c r="B87" s="66"/>
      <c r="C87" s="11"/>
      <c r="D87" s="11"/>
      <c r="E87" s="11"/>
      <c r="F87" s="11"/>
      <c r="G87" s="11"/>
      <c r="H87" s="88" t="s">
        <v>81</v>
      </c>
      <c r="I87" s="136" t="str">
        <f>IF(_epmOfflineCondition_,"T3",_xll.EVPRO($B$1,$H87,"STYLE"))</f>
        <v>T3</v>
      </c>
      <c r="J87" s="136" t="str">
        <f>IF(_epmOfflineCondition_,"Y",_xll.EVPRO($B$1,$H87,"CALC"))</f>
        <v>Y</v>
      </c>
      <c r="K87" s="106"/>
      <c r="L87" s="106"/>
      <c r="M87" s="106"/>
      <c r="N87" s="106" t="str">
        <f>IF(_epmOfflineCondition_,"Department Profit (Loss)",IF(_xll.EVDES(H87,$B$1)="#NODATA","",_xll.EVDES(H87,$B$1)))</f>
        <v>Department Profit (Loss)</v>
      </c>
      <c r="O87" s="169">
        <v>-68</v>
      </c>
      <c r="P87" s="169">
        <v>-148</v>
      </c>
      <c r="Q87" s="169"/>
      <c r="R87" s="169"/>
      <c r="S87" s="169"/>
      <c r="T87" s="169"/>
      <c r="U87" s="169"/>
      <c r="V87" s="169"/>
      <c r="W87" s="169"/>
      <c r="X87" s="169"/>
      <c r="Y87" s="169"/>
      <c r="Z87" s="169"/>
      <c r="AA87" s="169">
        <f>IF($I87="B1","",SUM(O87:Z87))</f>
        <v>-216</v>
      </c>
      <c r="AB87" s="170" t="str">
        <f>IF(AA87=0,"",IFERROR(AA87/AA$19,""))</f>
        <v/>
      </c>
      <c r="AC87" s="140"/>
      <c r="AD87" s="169"/>
      <c r="AE87" s="170" t="str">
        <f>IF(AD87=0,"",IFERROR(AD87/AD$19,""))</f>
        <v/>
      </c>
      <c r="AF87" s="171">
        <f>IF(AND($AA87="",AD87=""),"",$AA87-AD87)</f>
        <v>-216</v>
      </c>
      <c r="AG87" s="169">
        <v>4003.8699999999899</v>
      </c>
      <c r="AH87" s="170">
        <f>IF(AG87=0,"",IFERROR(AG87/AG$19,""))</f>
        <v>0.15133265123078904</v>
      </c>
      <c r="AI87" s="171">
        <f>IF(AND($AA87="",AG87=""),"",$AA87-AG87)</f>
        <v>-4219.8699999999899</v>
      </c>
      <c r="AJ87" s="483">
        <f>IFERROR(AA87/AA$20,0)</f>
        <v>0</v>
      </c>
      <c r="AK87" s="484">
        <f>IFERROR(AD87/AD$20,0)</f>
        <v>0</v>
      </c>
      <c r="AL87" s="485">
        <f>IFERROR(AG87/AG$20,0)</f>
        <v>3.9100292968749901</v>
      </c>
      <c r="AM87" s="486">
        <f>+IFERROR(ROUND(($AB87-AE87)*100,2)&amp;" pts.",0)</f>
        <v>0</v>
      </c>
      <c r="AN87" s="557">
        <f>+IFERROR(ROUND(($AB87-AH87)*100,2)&amp;" pts.",0)</f>
        <v>0</v>
      </c>
      <c r="AO87" s="11"/>
    </row>
    <row r="88" spans="1:41" ht="15" thickTop="1" x14ac:dyDescent="0.35">
      <c r="A88" s="65" t="s">
        <v>7</v>
      </c>
      <c r="B88" s="66" t="str">
        <f>IF(_epmOfflineCondition_,"'IRD'!$A$102:$F$108",_xll.EVRNG(A102:F108))</f>
        <v>'IRD'!$A$102:$F$108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47</v>
      </c>
      <c r="B89" s="66" t="str">
        <f>IF(_epmOfflineCondition_,"'IRD'!$A$125:$B$146",_xll.EVRNG($A$125:$B$146))</f>
        <v>'IRD'!$A$125:$B$146</v>
      </c>
      <c r="C89" s="11"/>
      <c r="D89" s="11"/>
      <c r="E89" s="11"/>
      <c r="F89" s="11"/>
      <c r="G89" s="11"/>
      <c r="H89" s="11"/>
      <c r="I89" s="59"/>
      <c r="J89" s="59"/>
      <c r="K89" s="11"/>
      <c r="L89" s="11"/>
      <c r="M89" s="11"/>
      <c r="N89" s="104" t="str">
        <f>N86&amp;" - Check"</f>
        <v>Total Expenses - Check</v>
      </c>
      <c r="O89" s="209">
        <f t="shared" ref="O89:AA89" si="34">SUMIF($H$35:$H$87,"600000",O$35:O$87)+SUMIF($H$35:$H$87,"700000",O$35:O$87)-SUMIF($H$35:$H$87,"TOTDEPTEXP",O$35:O$87)</f>
        <v>0</v>
      </c>
      <c r="P89" s="209">
        <f t="shared" si="34"/>
        <v>0</v>
      </c>
      <c r="Q89" s="209">
        <f t="shared" si="34"/>
        <v>0</v>
      </c>
      <c r="R89" s="209">
        <f t="shared" si="34"/>
        <v>0</v>
      </c>
      <c r="S89" s="209">
        <f t="shared" si="34"/>
        <v>0</v>
      </c>
      <c r="T89" s="209">
        <f t="shared" si="34"/>
        <v>0</v>
      </c>
      <c r="U89" s="209">
        <f t="shared" si="34"/>
        <v>0</v>
      </c>
      <c r="V89" s="209">
        <f t="shared" si="34"/>
        <v>0</v>
      </c>
      <c r="W89" s="209">
        <f t="shared" si="34"/>
        <v>0</v>
      </c>
      <c r="X89" s="209">
        <f t="shared" si="34"/>
        <v>0</v>
      </c>
      <c r="Y89" s="209">
        <f t="shared" si="34"/>
        <v>0</v>
      </c>
      <c r="Z89" s="209">
        <f t="shared" si="34"/>
        <v>0</v>
      </c>
      <c r="AA89" s="209">
        <f t="shared" si="34"/>
        <v>0</v>
      </c>
      <c r="AB89" s="100"/>
      <c r="AC89" s="11"/>
      <c r="AD89" s="209">
        <f>SUMIF($H$35:$H$87,"600000",AD$35:AD$87)+SUMIF($H$35:$H$87,"700000",AD$35:AD$87)-SUMIF($H$35:$H$87,"TOTDEPTEXP",AD$35:AD$87)</f>
        <v>0</v>
      </c>
      <c r="AE89" s="100"/>
      <c r="AF89" s="91"/>
      <c r="AG89" s="209">
        <f>SUMIF($H$35:$H$87,"600000",AG$35:AG$87)+SUMIF($H$35:$H$87,"700000",AG$35:AG$87)-SUMIF($H$35:$H$87,"TOTDEPTEXP",AG$35:AG$87)</f>
        <v>0</v>
      </c>
      <c r="AH89" s="100"/>
      <c r="AI89" s="9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Department Profit (Loss) - Check</v>
      </c>
      <c r="O90" s="209">
        <f t="shared" ref="O90:AA90" si="35">SUMIF($H$35:$H$87,"KPI_GP",O$35:O$87)-SUMIF($H$35:$H$87,"TOTDEPTEXP",O$35:O$87)-SUMIF($H$35:$H$87,"TOTDEPTPL",O$35:O$87)</f>
        <v>0</v>
      </c>
      <c r="P90" s="209">
        <f t="shared" si="35"/>
        <v>0</v>
      </c>
      <c r="Q90" s="209">
        <f t="shared" si="35"/>
        <v>0</v>
      </c>
      <c r="R90" s="209">
        <f t="shared" si="35"/>
        <v>0</v>
      </c>
      <c r="S90" s="209">
        <f t="shared" si="35"/>
        <v>0</v>
      </c>
      <c r="T90" s="209">
        <f t="shared" si="35"/>
        <v>0</v>
      </c>
      <c r="U90" s="209">
        <f t="shared" si="35"/>
        <v>0</v>
      </c>
      <c r="V90" s="209">
        <f t="shared" si="35"/>
        <v>0</v>
      </c>
      <c r="W90" s="209">
        <f t="shared" si="35"/>
        <v>0</v>
      </c>
      <c r="X90" s="209">
        <f t="shared" si="35"/>
        <v>0</v>
      </c>
      <c r="Y90" s="209">
        <f t="shared" si="35"/>
        <v>0</v>
      </c>
      <c r="Z90" s="209">
        <f t="shared" si="35"/>
        <v>0</v>
      </c>
      <c r="AA90" s="209">
        <f t="shared" si="35"/>
        <v>0</v>
      </c>
      <c r="AB90" s="100"/>
      <c r="AC90" s="11"/>
      <c r="AD90" s="209">
        <f>SUMIF($H$35:$H$87,"KPI_GP",AD$35:AD$87)-SUMIF($H$35:$H$87,"TOTDEPTEXP",AD$35:AD$87)-SUMIF($H$35:$H$87,"TOTDEPTPL",AD$35:AD$87)</f>
        <v>0</v>
      </c>
      <c r="AE90" s="100"/>
      <c r="AF90" s="91"/>
      <c r="AG90" s="209">
        <f>SUMIF($H$35:$H$87,"KPI_GP",AG$35:AG$87)-SUMIF($H$35:$H$87,"TOTDEPTEXP",AG$35:AG$87)-SUMIF($H$35:$H$87,"TOTDEPTPL",AG$35:AG$87)</f>
        <v>1.2732925824820995E-11</v>
      </c>
      <c r="AH90" s="100"/>
      <c r="AI90" s="91"/>
      <c r="AJ90" s="11"/>
      <c r="AK90" s="11"/>
      <c r="AL90" s="11"/>
      <c r="AM90" s="11"/>
      <c r="AN90" s="11"/>
      <c r="AO90" s="11"/>
    </row>
    <row r="91" spans="1:41" x14ac:dyDescent="0.35">
      <c r="A91" s="11"/>
      <c r="B91" s="11"/>
      <c r="C91" s="11"/>
      <c r="D91" s="11"/>
      <c r="E91" s="11"/>
      <c r="F91" s="11"/>
      <c r="G91" s="11"/>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37"/>
      <c r="P92" s="137"/>
      <c r="Q92" s="137"/>
      <c r="R92" s="137"/>
      <c r="S92" s="137"/>
      <c r="T92" s="137"/>
      <c r="U92" s="137"/>
      <c r="V92" s="137"/>
      <c r="W92" s="137"/>
      <c r="X92" s="137"/>
      <c r="Y92" s="137"/>
      <c r="Z92" s="137"/>
      <c r="AA92" s="137"/>
      <c r="AB92" s="11"/>
      <c r="AC92" s="11"/>
      <c r="AD92" s="137"/>
      <c r="AE92" s="11"/>
      <c r="AF92" s="11"/>
      <c r="AG92" s="137"/>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12</v>
      </c>
      <c r="B94" s="66" t="s">
        <v>22</v>
      </c>
      <c r="C94" s="11"/>
      <c r="D94" s="11"/>
      <c r="E94" s="11"/>
      <c r="F94" s="11"/>
      <c r="G94" s="76"/>
      <c r="H94" s="11"/>
      <c r="I94" s="59"/>
      <c r="J94" s="59"/>
      <c r="K94" s="11"/>
      <c r="L94" s="11"/>
      <c r="M94" s="11"/>
      <c r="N94" s="11"/>
      <c r="O94" s="137"/>
      <c r="P94" s="137"/>
      <c r="Q94" s="137"/>
      <c r="R94" s="137"/>
      <c r="S94" s="137"/>
      <c r="T94" s="137"/>
      <c r="U94" s="137"/>
      <c r="V94" s="137"/>
      <c r="W94" s="137"/>
      <c r="X94" s="137"/>
      <c r="Y94" s="137"/>
      <c r="Z94" s="137"/>
      <c r="AA94" s="137"/>
      <c r="AB94" s="11"/>
      <c r="AC94" s="11"/>
      <c r="AD94" s="137"/>
      <c r="AE94" s="11"/>
      <c r="AF94" s="11"/>
      <c r="AG94" s="137"/>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76"/>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76"/>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11"/>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IF(_epmOfflineCondition_,"'IRD'!$B$2:$B$10",_xll.EVRNG($B$2:$B$10))</f>
        <v>'IRD'!$B$2:$B$10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IF(_epmOfflineCondition_,"'IRD'!$O$16:$AN$18",_xll.EVRNG($O$16:$AN$18))</f>
        <v>'IRD'!$O$16:$AN$18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IF(_epmOfflineCondition_,"'IRD'!$H$84:$H$87",_xll.EVRNG(H84:H87))</f>
        <v>'IRD'!$H$84:$H$87</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IF(_epmOfflineCondition_,"'IRD'!$A$125:$B$146",_xll.EVRNG($A$125:$B$146))</f>
        <v>'IRD'!$A$125:$B$146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267"/>
      <c r="J160" s="11"/>
      <c r="K160" s="267"/>
      <c r="L160" s="267"/>
      <c r="M160" s="267"/>
      <c r="N160" s="11"/>
      <c r="O160" s="267"/>
      <c r="P160" s="267"/>
      <c r="Q160" s="267"/>
      <c r="R160" s="267"/>
      <c r="S160" s="267"/>
      <c r="T160" s="267"/>
      <c r="U160" s="267"/>
      <c r="V160" s="267"/>
      <c r="W160" s="267"/>
      <c r="X160" s="267"/>
      <c r="Y160" s="267"/>
      <c r="Z160" s="267"/>
      <c r="AA160" s="267"/>
      <c r="AB160" s="11"/>
      <c r="AC160" s="11"/>
      <c r="AD160" s="267"/>
      <c r="AE160" s="11"/>
      <c r="AF160" s="267"/>
      <c r="AG160" s="11"/>
      <c r="AH160" s="267"/>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267"/>
      <c r="J164" s="11"/>
      <c r="K164" s="267"/>
      <c r="L164" s="267"/>
      <c r="M164" s="267"/>
      <c r="N164" s="11"/>
      <c r="O164" s="267"/>
      <c r="P164" s="267"/>
      <c r="Q164" s="267"/>
      <c r="R164" s="267"/>
      <c r="S164" s="267"/>
      <c r="T164" s="267"/>
      <c r="U164" s="267"/>
      <c r="V164" s="267"/>
      <c r="W164" s="267"/>
      <c r="X164" s="267"/>
      <c r="Y164" s="267"/>
      <c r="Z164" s="267"/>
      <c r="AA164" s="267"/>
      <c r="AB164" s="11"/>
      <c r="AC164" s="11"/>
      <c r="AD164" s="267"/>
      <c r="AE164" s="11"/>
      <c r="AF164" s="267"/>
      <c r="AG164" s="11"/>
      <c r="AH164" s="267"/>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267"/>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267"/>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sheetData>
  <sheetProtection algorithmName="SHA-512" hashValue="O+L7mAl/AyRJFpzrGlKAr/Km9xMvv+2dPH7psV+60DztYuM5RRHfVZPQspiZVmF2HgS/lkmf3l2P3J+bwVIQtQ==" saltValue="UMY2IhvmhD/ObQTOdZBfyQ==" spinCount="100000" sheet="1" scenarios="1"/>
  <mergeCells count="2">
    <mergeCell ref="AD31:AE31"/>
    <mergeCell ref="AG31:AH31"/>
  </mergeCells>
  <dataValidations disablePrompts="1" count="2">
    <dataValidation type="list" allowBlank="1" sqref="B62 B29 B95" xr:uid="{00000000-0002-0000-1500-000000000000}">
      <formula1>"SELF,ALL,BAS,DEP,BASMEMBERS,MEMBERS,NOEXPAND,GDEP"</formula1>
    </dataValidation>
    <dataValidation type="list" allowBlank="1" sqref="B61 B28 B94" xr:uid="{00000000-0002-0000-1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434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14344" r:id="rId7" name="FPMExcelClientSheetOptionstb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0">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346</v>
      </c>
      <c r="C6" s="11" t="str">
        <f>IF(_epmOfflineCondition_,"In Room Dining",_xll.EVDES(B6,$B$1))</f>
        <v>In Room Dining</v>
      </c>
      <c r="D6" s="11"/>
      <c r="E6" s="58" t="str">
        <f>IF(_epmOfflineCondition_,"D2147",_xll.EVPRO($B$1,$B$6,$F$6))</f>
        <v>D2147</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IF(_epmOfflineCondition_,"'IRD_KPI'!$B$2:$B$10",_xll.EVRNG($B$2:$B$10))</f>
        <v>'IRD_KPI'!$B$2:$B$10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IF(_epmOfflineCondition_,"'IRD_KPI'!$O$16:$AI$18",_xll.EVRNG(O16:AI18))</f>
        <v>'IRD_KPI'!$O$16:$AI$18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IF(_epmOfflineCondition_,"'IRD_KPI'!$H$35:$H$146",_xll.EVRNG(H35:H146))</f>
        <v>'IRD_KPI'!$H$35:$H$146</v>
      </c>
      <c r="C19" s="11"/>
      <c r="D19" s="11"/>
      <c r="E19" s="11"/>
      <c r="F19" s="11"/>
      <c r="G19" s="67" t="str">
        <f>$B$6</f>
        <v>D_RS_CON</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IF(_epmOfflineCondition_,20007.82,_xll.EVGTS($B$1,1,$B$3,$B$5,$B$7,$B$9,AG$16,AG$17,AG$18,$G$19,$H$19))</f>
        <v>20007.82</v>
      </c>
      <c r="AH19" s="67"/>
      <c r="AI19" s="67"/>
    </row>
    <row r="20" spans="1:35" hidden="1" outlineLevel="1" x14ac:dyDescent="0.35">
      <c r="A20" s="65" t="s">
        <v>5</v>
      </c>
      <c r="B20" s="66"/>
      <c r="C20" s="11"/>
      <c r="D20" s="11"/>
      <c r="E20" s="11"/>
      <c r="F20" s="11"/>
      <c r="G20" s="67" t="str">
        <f>$B$6</f>
        <v>D_RS_CON</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IF(_epmOfflineCondition_,1024,_xll.EVGTS($B$1,1,$B$3,$B$5,$B$7,$B$9,AG$16,AG$17,AG$18,$G$20,$H$20))</f>
        <v>1024</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IF(_epmOfflineCondition_,"'IRD_KPI'!$A$37:$B$58",_xll.EVRNG($A$37:$B$58))</f>
        <v>'IRD_KPI'!$A$37:$B$58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IF(_epmOfflineCondition_,"In Room Dining Department",IF($N$1="",IF(_xll.EVDES(B6,$B$1)="#NODATA","",_xll.EVDES(B6,$B$1)&amp;" Department"),$N$1))</f>
        <v>In Room Dining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v>7616</v>
      </c>
      <c r="AH35" s="144">
        <f>IF(AG35=0,"",IFERROR(AG35/AG$19,""))</f>
        <v>0.3806511653943308</v>
      </c>
      <c r="AI35" s="145">
        <f t="shared" ref="AI35:AI42" si="2">IF(AND($AA35="",AG35=""),"",$AA35-AG35)</f>
        <v>-7616</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v>30</v>
      </c>
      <c r="AH36" s="144">
        <f>IF(AG36=0,"",IFERROR(AG36/AG$19,""))</f>
        <v>1.4994137292318704E-3</v>
      </c>
      <c r="AI36" s="145">
        <f t="shared" si="2"/>
        <v>-30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v>65</v>
      </c>
      <c r="AH38" s="219">
        <f>IF(AG38=0,"",IFERROR(AG38/AG$19,""))</f>
        <v>3.2487297466690527E-3</v>
      </c>
      <c r="AI38" s="220">
        <f t="shared" si="2"/>
        <v>-65</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v>7711</v>
      </c>
      <c r="AH39" s="167">
        <f>IF(AG39=0,"",IFERROR(AG39/AG$19,""))</f>
        <v>0.38539930887023177</v>
      </c>
      <c r="AI39" s="168">
        <f t="shared" si="2"/>
        <v>-7711</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v>74</v>
      </c>
      <c r="AH40" s="211"/>
      <c r="AI40" s="253">
        <f t="shared" si="2"/>
        <v>-74</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v>435</v>
      </c>
      <c r="AH41" s="211">
        <f>IF(AG41=0,"",IFERROR(AG41/AG$87,""))</f>
        <v>0.4248046875</v>
      </c>
      <c r="AI41" s="253">
        <f t="shared" si="2"/>
        <v>-435</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v>17.726436781609198</v>
      </c>
      <c r="AH42" s="495"/>
      <c r="AI42" s="496" t="e">
        <f t="shared" si="2"/>
        <v>#VALUE!</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17.73</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v>3634</v>
      </c>
      <c r="AH45" s="144">
        <f>IF(AG45=0,"",IFERROR(AG45/AG$19,""))</f>
        <v>0.18162898306762057</v>
      </c>
      <c r="AI45" s="145">
        <f t="shared" ref="AI45:AI52" si="7">IF(AND($AA45="",AG45=""),"",$AA45-AG45)</f>
        <v>-3634</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v>787</v>
      </c>
      <c r="AH46" s="144">
        <f>IF(AG46=0,"",IFERROR(AG46/AG$19,""))</f>
        <v>3.9334620163516062E-2</v>
      </c>
      <c r="AI46" s="145">
        <f t="shared" si="7"/>
        <v>-787</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v>217</v>
      </c>
      <c r="AH47" s="144">
        <f>IF(AG47=0,"",IFERROR(AG47/AG$19,""))</f>
        <v>1.0845759308110528E-2</v>
      </c>
      <c r="AI47" s="145">
        <f t="shared" si="7"/>
        <v>-217</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v>633</v>
      </c>
      <c r="AH48" s="219">
        <f>IF(AG48=0,"",IFERROR(AG48/AG$19,""))</f>
        <v>3.1637629686792464E-2</v>
      </c>
      <c r="AI48" s="220">
        <f t="shared" si="7"/>
        <v>-633</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v>5271</v>
      </c>
      <c r="AH49" s="167">
        <f>IF(AG49=0,"",IFERROR(AG49/AG$19,""))</f>
        <v>0.26344699222603962</v>
      </c>
      <c r="AI49" s="168">
        <f t="shared" si="7"/>
        <v>-5271</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v>70</v>
      </c>
      <c r="AH50" s="211"/>
      <c r="AI50" s="253">
        <f t="shared" si="7"/>
        <v>-70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v>308</v>
      </c>
      <c r="AH51" s="211">
        <f>IF(AG51=0,"",IFERROR(AG51/AG$87,""))</f>
        <v>0.30078125</v>
      </c>
      <c r="AI51" s="253">
        <f t="shared" si="7"/>
        <v>-308</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v>17.113636363636399</v>
      </c>
      <c r="AH52" s="495"/>
      <c r="AI52" s="496" t="e">
        <f t="shared" si="7"/>
        <v>#VALUE!</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17.11</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v>6056.15</v>
      </c>
      <c r="AH55" s="144">
        <f>IF(AG55=0,"",IFERROR(AG55/AG$19,""))</f>
        <v>0.30268914854291973</v>
      </c>
      <c r="AI55" s="145">
        <f t="shared" ref="AI55:AI62" si="12">IF(AND($AA55="",AG55=""),"",$AA55-AG55)</f>
        <v>-6056.15</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v>162</v>
      </c>
      <c r="AH56" s="144">
        <f>IF(AG56=0,"",IFERROR(AG56/AG$19,""))</f>
        <v>8.0968341378521002E-3</v>
      </c>
      <c r="AI56" s="145">
        <f t="shared" si="12"/>
        <v>-162</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v>109</v>
      </c>
      <c r="AH57" s="144">
        <f>IF(AG57=0,"",IFERROR(AG57/AG$19,""))</f>
        <v>5.4478698828757961E-3</v>
      </c>
      <c r="AI57" s="145">
        <f t="shared" si="12"/>
        <v>-109</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v>907</v>
      </c>
      <c r="AH58" s="219">
        <f>IF(AG58=0,"",IFERROR(AG58/AG$19,""))</f>
        <v>4.5332275080443546E-2</v>
      </c>
      <c r="AI58" s="220">
        <f t="shared" si="12"/>
        <v>-907</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v>7234.15</v>
      </c>
      <c r="AH59" s="167">
        <f>IF(AG59=0,"",IFERROR(AG59/AG$19,""))</f>
        <v>0.36156612764409113</v>
      </c>
      <c r="AI59" s="168">
        <f t="shared" si="12"/>
        <v>-7234.15</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v>69</v>
      </c>
      <c r="AH60" s="211"/>
      <c r="AI60" s="253">
        <f t="shared" si="12"/>
        <v>-69</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v>281</v>
      </c>
      <c r="AH61" s="211">
        <f>IF(AG61=0,"",IFERROR(AG61/AG$87,""))</f>
        <v>0.2744140625</v>
      </c>
      <c r="AI61" s="253">
        <f t="shared" si="12"/>
        <v>-281</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v>25.7443060498221</v>
      </c>
      <c r="AH62" s="495"/>
      <c r="AI62" s="496" t="e">
        <f t="shared" si="12"/>
        <v>#VALUE!</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25.74</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v>-208.33</v>
      </c>
      <c r="AH83" s="144">
        <f>IF(AG83=0,"",IFERROR(AG83/AG$19,""))</f>
        <v>-1.0412428740362519E-2</v>
      </c>
      <c r="AI83" s="145">
        <f>IF(AND($AA83="",AG83=""),"",$AA83-AG83)</f>
        <v>208.33</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v>20007.82</v>
      </c>
      <c r="AH85" s="508">
        <f>IF(AG85=0,"",IFERROR(AG85/AG$19,""))</f>
        <v>1</v>
      </c>
      <c r="AI85" s="509">
        <f>IF(AND($AA85="",AG85=""),"",$AA85-AG85)</f>
        <v>-20007.82</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v>1024</v>
      </c>
      <c r="AH87" s="508">
        <f>IF(AG87=0,"",IFERROR(AG87/AG$20,""))</f>
        <v>1</v>
      </c>
      <c r="AI87" s="509">
        <f>IF(AND($AA87="",AG87=""),"",$AA87-AG87)</f>
        <v>-1024</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t="str">
        <f>IF(_epmOfflineCondition_,"",IF(AND(I88="N",J88="N"),_xll.EVPRO($B$1,H88,"PSFTID"),""))</f>
        <v/>
      </c>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v>19.53888671875</v>
      </c>
      <c r="AH88" s="495"/>
      <c r="AI88" s="496" t="e">
        <f>IF(AND($AA88="",AG88=""),"",$AA88-AG88)</f>
        <v>#VALUE!</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v>30</v>
      </c>
      <c r="AH98" s="144">
        <f t="shared" ref="AH98:AH103" si="31">IF(AG98=0,"",IFERROR(AG98/AG$19,""))</f>
        <v>1.4994137292318704E-3</v>
      </c>
      <c r="AI98" s="145">
        <f t="shared" ref="AI98:AI103" si="32">IF(AND($AA98="",AG98=""),"",$AA98-AG98)</f>
        <v>-30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v>787</v>
      </c>
      <c r="AH99" s="144">
        <f t="shared" si="31"/>
        <v>3.9334620163516062E-2</v>
      </c>
      <c r="AI99" s="145">
        <f t="shared" si="32"/>
        <v>-787</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v>162</v>
      </c>
      <c r="AH100" s="144">
        <f t="shared" si="31"/>
        <v>8.0968341378521002E-3</v>
      </c>
      <c r="AI100" s="145">
        <f t="shared" si="32"/>
        <v>-162</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v>979</v>
      </c>
      <c r="AH103" s="167">
        <f t="shared" si="31"/>
        <v>4.8930868030600039E-2</v>
      </c>
      <c r="AI103" s="168">
        <f t="shared" si="32"/>
        <v>-979</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v>217</v>
      </c>
      <c r="AH107" s="144">
        <f t="shared" si="37"/>
        <v>1.0845759308110528E-2</v>
      </c>
      <c r="AI107" s="145">
        <f t="shared" si="38"/>
        <v>-217</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v>109</v>
      </c>
      <c r="AH108" s="144">
        <f t="shared" si="37"/>
        <v>5.4478698828757961E-3</v>
      </c>
      <c r="AI108" s="145">
        <f t="shared" si="38"/>
        <v>-109</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v>326</v>
      </c>
      <c r="AH111" s="167">
        <f t="shared" si="37"/>
        <v>1.6293629190986324E-2</v>
      </c>
      <c r="AI111" s="168">
        <f t="shared" si="38"/>
        <v>-326</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v>65</v>
      </c>
      <c r="AH114" s="144">
        <f t="shared" ref="AH114:AH119" si="43">IF(AG114=0,"",IFERROR(AG114/AG$19,""))</f>
        <v>3.2487297466690527E-3</v>
      </c>
      <c r="AI114" s="145">
        <f t="shared" ref="AI114:AI119" si="44">IF(AND($AA114="",AG114=""),"",$AA114-AG114)</f>
        <v>-65</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v>633</v>
      </c>
      <c r="AH115" s="144">
        <f t="shared" si="43"/>
        <v>3.1637629686792464E-2</v>
      </c>
      <c r="AI115" s="145">
        <f t="shared" si="44"/>
        <v>-633</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v>907</v>
      </c>
      <c r="AH116" s="144">
        <f t="shared" si="43"/>
        <v>4.5332275080443546E-2</v>
      </c>
      <c r="AI116" s="145">
        <f t="shared" si="44"/>
        <v>-907</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v>1605</v>
      </c>
      <c r="AH119" s="167">
        <f t="shared" si="43"/>
        <v>8.0218634513905068E-2</v>
      </c>
      <c r="AI119" s="168">
        <f t="shared" si="44"/>
        <v>-1605</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95</v>
      </c>
      <c r="AH121" s="144">
        <f t="shared" ref="AH121:AH126" si="50">IF(AG121=0,"",IFERROR(AG121/AG$19,""))</f>
        <v>4.7481434759009226E-3</v>
      </c>
      <c r="AI121" s="145">
        <f t="shared" ref="AI121:AI126" si="51">IF(AND($AA121="",AG121=""),"",$AA121-AG121)</f>
        <v>-95</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1637</v>
      </c>
      <c r="AH122" s="144">
        <f t="shared" si="50"/>
        <v>8.1818009158419053E-2</v>
      </c>
      <c r="AI122" s="145">
        <f t="shared" si="51"/>
        <v>-1637</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1178</v>
      </c>
      <c r="AH123" s="144">
        <f t="shared" si="50"/>
        <v>5.8876979101171442E-2</v>
      </c>
      <c r="AI123" s="145">
        <f t="shared" si="51"/>
        <v>-1178</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2910</v>
      </c>
      <c r="AH126" s="167">
        <f t="shared" si="50"/>
        <v>0.14544313173549142</v>
      </c>
      <c r="AI126" s="168">
        <f t="shared" si="51"/>
        <v>-2910</v>
      </c>
    </row>
    <row r="127" spans="1:35" x14ac:dyDescent="0.35">
      <c r="A127" s="11"/>
      <c r="B127" s="11"/>
      <c r="C127" s="208"/>
      <c r="D127" s="11"/>
      <c r="E127" s="11"/>
      <c r="F127" s="11"/>
      <c r="G127" s="11"/>
      <c r="H127" s="185"/>
      <c r="I127" s="122"/>
      <c r="J127" s="122"/>
      <c r="K127" s="11"/>
      <c r="L127" s="11"/>
      <c r="M127" s="90"/>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v>5022.58</v>
      </c>
      <c r="AH130" s="436">
        <f>IF(_epmOfflineCondition_,0.290219372881895,IF(AG130=0,"",IFERROR(AG130/_xll.EVGTS($B$1,1,_xll.EVPRO($B$1,$H130,"COSBASIS"),$B$3,$B$5,$B$6,$B$7,$B$9,AG$16,AG$17,AG$18),"")))</f>
        <v>0.29021937288189498</v>
      </c>
      <c r="AI130" s="145">
        <f t="shared" ref="AI130:AI141" si="59">IF(AND($AA130="",AG130=""),"",$AA130-AG130)</f>
        <v>-5022.58</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v>0.29021937288189498</v>
      </c>
      <c r="AH131" s="436"/>
      <c r="AI131" s="521">
        <f t="shared" si="59"/>
        <v>-0.29021937288189498</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v>642.92999999999995</v>
      </c>
      <c r="AH132" s="436">
        <f>IF(_epmOfflineCondition_,0.220938144329897,IF(AG132=0,"",IFERROR(AG132/_xll.EVGTS($B$1,1,_xll.EVPRO($B$1,$H132,"COSBASIS"),$B$3,$B$5,$B$6,$B$7,$B$9,AG$16,AG$17,AG$18),"")))</f>
        <v>0.220938144329897</v>
      </c>
      <c r="AI132" s="145">
        <f t="shared" si="59"/>
        <v>-642.92999999999995</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v>0.220938144329897</v>
      </c>
      <c r="AH133" s="436"/>
      <c r="AI133" s="521">
        <f t="shared" si="59"/>
        <v>-0.220938144329897</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v>186.01</v>
      </c>
      <c r="AH134" s="436">
        <f>IF(_epmOfflineCondition_,0.19,IF(AG134=0,"",IFERROR(AG134/_xll.EVGTS($B$1,1,_xll.EVPRO($B$1,$H134,"COSBASIS"),$B$3,$B$5,$B$6,$B$7,$B$9,AG$16,AG$17,AG$18),"")))</f>
        <v>0.19</v>
      </c>
      <c r="AI134" s="145">
        <f t="shared" si="59"/>
        <v>-186.01</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v>0.19</v>
      </c>
      <c r="AH135" s="436"/>
      <c r="AI135" s="521">
        <f t="shared" si="59"/>
        <v>-0.19</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v>71.72</v>
      </c>
      <c r="AH136" s="436">
        <f>IF(_epmOfflineCondition_,0.22,IF(AG136=0,"",IFERROR(AG136/_xll.EVGTS($B$1,1,_xll.EVPRO($B$1,$H136,"COSBASIS"),$B$3,$B$5,$B$6,$B$7,$B$9,AG$16,AG$17,AG$18),"")))</f>
        <v>0.22</v>
      </c>
      <c r="AI136" s="145">
        <f t="shared" si="59"/>
        <v>-71.72</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v>0.22</v>
      </c>
      <c r="AH137" s="436"/>
      <c r="AI137" s="521">
        <f t="shared" si="59"/>
        <v>-0.22</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v>385.2</v>
      </c>
      <c r="AH138" s="436">
        <f>IF(_epmOfflineCondition_,0.24,IF(AG138=0,"",IFERROR(AG138/_xll.EVGTS($B$1,1,_xll.EVPRO($B$1,$H138,"COSBASIS"),$B$3,$B$5,$B$6,$B$7,$B$9,AG$16,AG$17,AG$18),"")))</f>
        <v>0.24</v>
      </c>
      <c r="AI138" s="145">
        <f t="shared" si="59"/>
        <v>-385.2</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v>0.24</v>
      </c>
      <c r="AH139" s="436"/>
      <c r="AI139" s="521">
        <f t="shared" si="59"/>
        <v>-0.24</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v>5665.51</v>
      </c>
      <c r="AH140" s="436">
        <f>IF(_epmOfflineCondition_,0.283164782570015,IF(AG140=0,"",IFERROR(AG140/_xll.EVGTS($B$1,1,_xll.EVPRO($B$1,$H140,"COSBASIS"),$B$3,$B$5,$B$6,$B$7,$B$9,AG$16,AG$17,AG$18),"")))</f>
        <v>0.28316478257001498</v>
      </c>
      <c r="AI140" s="145">
        <f t="shared" si="59"/>
        <v>-5665.51</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f>IFERROR(AG140/AG85,"")</f>
        <v>0.28316478257001515</v>
      </c>
      <c r="AH141" s="436"/>
      <c r="AI141" s="521" t="e">
        <f t="shared" si="59"/>
        <v>#VALUE!</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f>IFERROR(AG$85/AG87,"")-AG88</f>
        <v>0</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uq0IrcXOGa4+n171JiTRf4mKcRl+kKW5bAV85IrJlwNZz/g/uVIu6An+2VyoaLO0mVgZ/q7rGTPfMTD1iYbVkQ==" saltValue="G/MUgVP61eICT2156cfJIQ==" spinCount="100000" sheet="1" scenarios="1"/>
  <mergeCells count="2">
    <mergeCell ref="AD31:AE31"/>
    <mergeCell ref="AG31:AH31"/>
  </mergeCells>
  <conditionalFormatting sqref="AD43 AF43:AG43 O43:AA43">
    <cfRule type="expression" dxfId="50" priority="15">
      <formula>ROUND(O42,2)&lt;&gt;ROUND(O43,2)</formula>
    </cfRule>
  </conditionalFormatting>
  <conditionalFormatting sqref="N43">
    <cfRule type="expression" dxfId="49" priority="14">
      <formula>$G43&lt;&gt;0</formula>
    </cfRule>
  </conditionalFormatting>
  <conditionalFormatting sqref="O53:AA53 AD53 AF53:AG53">
    <cfRule type="expression" dxfId="48" priority="13">
      <formula>ROUND(O52,2)&lt;&gt;ROUND(O53,2)</formula>
    </cfRule>
  </conditionalFormatting>
  <conditionalFormatting sqref="N53">
    <cfRule type="expression" dxfId="47" priority="12">
      <formula>$G53&lt;&gt;0</formula>
    </cfRule>
  </conditionalFormatting>
  <conditionalFormatting sqref="O63:AA63 AD63 AF63:AG63">
    <cfRule type="expression" dxfId="46" priority="11">
      <formula>ROUND(O62,2)&lt;&gt;ROUND(O63,2)</formula>
    </cfRule>
  </conditionalFormatting>
  <conditionalFormatting sqref="N63">
    <cfRule type="expression" dxfId="45" priority="10">
      <formula>$G63&lt;&gt;0</formula>
    </cfRule>
  </conditionalFormatting>
  <conditionalFormatting sqref="O73:AA73 AD73 AF73:AG73">
    <cfRule type="expression" dxfId="44" priority="9">
      <formula>ROUND(O72,2)&lt;&gt;ROUND(O73,2)</formula>
    </cfRule>
  </conditionalFormatting>
  <conditionalFormatting sqref="N73">
    <cfRule type="expression" dxfId="43" priority="8">
      <formula>$G73&lt;&gt;0</formula>
    </cfRule>
  </conditionalFormatting>
  <conditionalFormatting sqref="N82">
    <cfRule type="expression" dxfId="42" priority="7">
      <formula>$G82&lt;&gt;0</formula>
    </cfRule>
  </conditionalFormatting>
  <conditionalFormatting sqref="AD82 AF82:AG82 O82:AA82">
    <cfRule type="expression" dxfId="41" priority="6">
      <formula>ROUND(O81,2)&lt;&gt;ROUND(O82,2)</formula>
    </cfRule>
  </conditionalFormatting>
  <conditionalFormatting sqref="AI43">
    <cfRule type="expression" dxfId="40" priority="5">
      <formula>ROUND(AI42,2)&lt;&gt;ROUND(AI43,2)</formula>
    </cfRule>
  </conditionalFormatting>
  <conditionalFormatting sqref="AI53">
    <cfRule type="expression" dxfId="39" priority="4">
      <formula>ROUND(AI52,2)&lt;&gt;ROUND(AI53,2)</formula>
    </cfRule>
  </conditionalFormatting>
  <conditionalFormatting sqref="AI63">
    <cfRule type="expression" dxfId="38" priority="3">
      <formula>ROUND(AI62,2)&lt;&gt;ROUND(AI63,2)</formula>
    </cfRule>
  </conditionalFormatting>
  <conditionalFormatting sqref="AI73">
    <cfRule type="expression" dxfId="37" priority="2">
      <formula>ROUND(AI72,2)&lt;&gt;ROUND(AI73,2)</formula>
    </cfRule>
  </conditionalFormatting>
  <conditionalFormatting sqref="AI82">
    <cfRule type="expression" dxfId="36" priority="1">
      <formula>ROUND(AI81,2)&lt;&gt;ROUND(AI82,2)</formula>
    </cfRule>
  </conditionalFormatting>
  <dataValidations disablePrompts="1" count="2">
    <dataValidation type="list" allowBlank="1" sqref="B28" xr:uid="{00000000-0002-0000-1600-000000000000}">
      <formula1>"ACCOUNT,BUSINESSUNIT,CATEGORY,DATASRC,DEPARTMENT,INTCO,MEASURES,RPTCURRENCY,TIME"</formula1>
    </dataValidation>
    <dataValidation type="list" allowBlank="1" sqref="B29" xr:uid="{00000000-0002-0000-1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275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02754" r:id="rId7" name="FPMExcelClientSheetOptionstb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tabColor theme="6" tint="0.39997558519241921"/>
    <pageSetUpPr fitToPage="1"/>
  </sheetPr>
  <dimension ref="A1:AO133"/>
  <sheetViews>
    <sheetView topLeftCell="K25" zoomScale="85" zoomScaleNormal="85" workbookViewId="0">
      <pane xSplit="4" ySplit="8" topLeftCell="O33" activePane="bottomRight" state="frozen"/>
      <selection activeCell="O33" sqref="O33"/>
      <selection pane="topRight" activeCell="O33" sqref="O33"/>
      <selection pane="bottomLeft" activeCell="O33" sqref="O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347</v>
      </c>
      <c r="C6" s="11" t="str">
        <f>IF(_epmOfflineCondition_,"Banquet-Catering &amp; CS",_xll.EVDES(B6,$B$1))</f>
        <v>Banquet-Catering &amp; CS</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IF(_epmOfflineCondition_,"'BCC_CONS'!$B$2:$B$10",_xll.EVRNG($B$2:$B$10))</f>
        <v>'BCC_CONS'!$B$2:$B$10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IF(_epmOfflineCondition_,"'BCC_CONS'!$O$16:$AN$18",_xll.EVRNG($O$16:$AN$18))</f>
        <v>'BCC_CONS'!$O$16:$AN$18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IF(_epmOfflineCondition_,"'BCC_CONS'!$H$35:$H$56",_xll.EVRNG(H35:H56))</f>
        <v>'BCC_CONS'!$H$35:$H$56</v>
      </c>
      <c r="C19" s="11"/>
      <c r="D19" s="11"/>
      <c r="E19" s="11"/>
      <c r="F19" s="11"/>
      <c r="G19" s="67" t="str">
        <f>$B$6</f>
        <v>D_BCC_CON</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IF(_epmOfflineCondition_,500,_xll.EVGTS($B$1,1,$B$3,$B$5,$B$7,$B$9,P$16,P$17,P$18,$G$19,$H$19))</f>
        <v>500</v>
      </c>
      <c r="Q19" s="69">
        <f>IF(_epmOfflineCondition_,2127.1,_xll.EVGTS($B$1,1,$B$3,$B$5,$B$7,$B$9,Q$16,Q$17,Q$18,$G$19,$H$19))</f>
        <v>2127.1</v>
      </c>
      <c r="R19" s="69">
        <f>IF(_epmOfflineCondition_,17945.1,_xll.EVGTS($B$1,1,$B$3,$B$5,$B$7,$B$9,R$16,R$17,R$18,$G$19,$H$19))</f>
        <v>17945.099999999999</v>
      </c>
      <c r="S19" s="69">
        <f>IF(_epmOfflineCondition_,2354.4,_xll.EVGTS($B$1,1,$B$3,$B$5,$B$7,$B$9,S$16,S$17,S$18,$G$19,$H$19))</f>
        <v>2354.4</v>
      </c>
      <c r="T19" s="69">
        <f>IF(_epmOfflineCondition_,7174.3,_xll.EVGTS($B$1,1,$B$3,$B$5,$B$7,$B$9,T$16,T$17,T$18,$G$19,$H$19))</f>
        <v>7174.3</v>
      </c>
      <c r="U19" s="69">
        <f>IF(_epmOfflineCondition_,2824.02,_xll.EVGTS($B$1,1,$B$3,$B$5,$B$7,$B$9,U$16,U$17,U$18,$G$19,$H$19))</f>
        <v>2824.02</v>
      </c>
      <c r="V19" s="69">
        <f>IF(_epmOfflineCondition_,0,_xll.EVGTS($B$1,1,$B$3,$B$5,$B$7,$B$9,V$16,V$17,V$18,$G$19,$H$19))</f>
        <v>0</v>
      </c>
      <c r="W19" s="69">
        <f>IF(_epmOfflineCondition_,10095.2,_xll.EVGTS($B$1,1,$B$3,$B$5,$B$7,$B$9,W$16,W$17,W$18,$G$19,$H$19))</f>
        <v>10095.200000000001</v>
      </c>
      <c r="X19" s="69">
        <f>IF(_epmOfflineCondition_,8564.7,_xll.EVGTS($B$1,1,$B$3,$B$5,$B$7,$B$9,X$16,X$17,X$18,$G$19,$H$19))</f>
        <v>8564.7000000000007</v>
      </c>
      <c r="Y19" s="69">
        <f>IF(_epmOfflineCondition_,20261.5,_xll.EVGTS($B$1,1,$B$3,$B$5,$B$7,$B$9,Y$16,Y$17,Y$18,$G$19,$H$19))</f>
        <v>20261.5</v>
      </c>
      <c r="Z19" s="69">
        <f>IF(_epmOfflineCondition_,12032.26,_xll.EVGTS($B$1,1,$B$3,$B$5,$B$7,$B$9,Z$16,Z$17,Z$18,$G$19,$H$19))</f>
        <v>12032.26</v>
      </c>
      <c r="AA19" s="69">
        <f>SUM(O19:Z19)</f>
        <v>83878.579999999987</v>
      </c>
      <c r="AB19" s="67"/>
      <c r="AC19" s="67"/>
      <c r="AD19" s="69">
        <f>IF(_epmOfflineCondition_,224538.308941476,_xll.EVGTS($B$1,1,$B$3,$B$5,$B$7,$B$9,AD$16,AD$17,AD$18,$G$19,$H$19))</f>
        <v>224538.30894147599</v>
      </c>
      <c r="AE19" s="67"/>
      <c r="AF19" s="67"/>
      <c r="AG19" s="69">
        <f>IF(_epmOfflineCondition_,78918.6,_xll.EVGTS($B$1,1,$B$3,$B$5,$B$7,$B$9,AG$16,AG$17,AG$18,$G$19,$H$19))</f>
        <v>78918.600000000006</v>
      </c>
      <c r="AH19" s="67"/>
      <c r="AI19" s="67"/>
      <c r="AJ19" s="11"/>
      <c r="AK19" s="11"/>
      <c r="AL19" s="11"/>
      <c r="AM19" s="11"/>
      <c r="AN19" s="11"/>
      <c r="AO19" s="11"/>
    </row>
    <row r="20" spans="1:41" hidden="1" outlineLevel="1" x14ac:dyDescent="0.35">
      <c r="A20" s="65" t="s">
        <v>5</v>
      </c>
      <c r="B20" s="66"/>
      <c r="C20" s="11"/>
      <c r="D20" s="11"/>
      <c r="E20" s="11"/>
      <c r="F20" s="11"/>
      <c r="G20" s="67" t="str">
        <f>$B$6</f>
        <v>D_BCC_CON</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IF(_epmOfflineCondition_,10,_xll.EVGTS($B$1,1,$B$3,$B$5,$B$7,$B$9,Q$16,Q$17,Q$18,$G$20,$H$20))</f>
        <v>10</v>
      </c>
      <c r="R20" s="69">
        <f>IF(_epmOfflineCondition_,71,_xll.EVGTS($B$1,1,$B$3,$B$5,$B$7,$B$9,R$16,R$17,R$18,$G$20,$H$20))</f>
        <v>71</v>
      </c>
      <c r="S20" s="69">
        <f>IF(_epmOfflineCondition_,32,_xll.EVGTS($B$1,1,$B$3,$B$5,$B$7,$B$9,S$16,S$17,S$18,$G$20,$H$20))</f>
        <v>32</v>
      </c>
      <c r="T20" s="69">
        <f>IF(_epmOfflineCondition_,147,_xll.EVGTS($B$1,1,$B$3,$B$5,$B$7,$B$9,T$16,T$17,T$18,$G$20,$H$20))</f>
        <v>147</v>
      </c>
      <c r="U20" s="69">
        <f>IF(_epmOfflineCondition_,5,_xll.EVGTS($B$1,1,$B$3,$B$5,$B$7,$B$9,U$16,U$17,U$18,$G$20,$H$20))</f>
        <v>5</v>
      </c>
      <c r="V20" s="69">
        <f>IF(_epmOfflineCondition_,0,_xll.EVGTS($B$1,1,$B$3,$B$5,$B$7,$B$9,V$16,V$17,V$18,$G$20,$H$20))</f>
        <v>0</v>
      </c>
      <c r="W20" s="69">
        <f>IF(_epmOfflineCondition_,124,_xll.EVGTS($B$1,1,$B$3,$B$5,$B$7,$B$9,W$16,W$17,W$18,$G$20,$H$20))</f>
        <v>124</v>
      </c>
      <c r="X20" s="69">
        <f>IF(_epmOfflineCondition_,0,_xll.EVGTS($B$1,1,$B$3,$B$5,$B$7,$B$9,X$16,X$17,X$18,$G$20,$H$20))</f>
        <v>0</v>
      </c>
      <c r="Y20" s="69">
        <f>IF(_epmOfflineCondition_,201,_xll.EVGTS($B$1,1,$B$3,$B$5,$B$7,$B$9,Y$16,Y$17,Y$18,$G$20,$H$20))</f>
        <v>201</v>
      </c>
      <c r="Z20" s="69">
        <f>IF(_epmOfflineCondition_,162,_xll.EVGTS($B$1,1,$B$3,$B$5,$B$7,$B$9,Z$16,Z$17,Z$18,$G$20,$H$20))</f>
        <v>162</v>
      </c>
      <c r="AA20" s="69">
        <f>SUM(O20:Z20)</f>
        <v>752</v>
      </c>
      <c r="AB20" s="67"/>
      <c r="AC20" s="67"/>
      <c r="AD20" s="69">
        <f>IF(_epmOfflineCondition_,2096.256470591,_xll.EVGTS($B$1,1,$B$3,$B$5,$B$7,$B$9,AD$16,AD$17,AD$18,$G$20,$H$20))</f>
        <v>2096.2564705909999</v>
      </c>
      <c r="AE20" s="67"/>
      <c r="AF20" s="67"/>
      <c r="AG20" s="69">
        <f>IF(_epmOfflineCondition_,912,_xll.EVGTS($B$1,1,$B$3,$B$5,$B$7,$B$9,AG$16,AG$17,AG$18,$G$20,$H$20))</f>
        <v>912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IF(_epmOfflineCondition_,"'BCC_CONS'!$A$36:$F$44",_xll.EVRNG(A36:F44))</f>
        <v>'BCC_CONS'!$A$36:$F$44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IF(_epmOfflineCondition_,"'BCC_CONS'!$A$125:$B$130",_xll.EVRNG($A$125:$B$130))</f>
        <v>'BCC_CONS'!$A$125:$B$130</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IF(_epmOfflineCondition_,"Banquet-Catering &amp; CS Department",IF(_xll.EVDES(B6,$B$1)="#NODATA","",_xll.EVDES(B6,$B$1)&amp;" Department"))</f>
        <v>Banquet-Catering &amp; CS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c r="P35" s="564"/>
      <c r="Q35" s="564"/>
      <c r="R35" s="564"/>
      <c r="S35" s="564">
        <v>560</v>
      </c>
      <c r="T35" s="564"/>
      <c r="U35" s="564"/>
      <c r="V35" s="564"/>
      <c r="W35" s="564"/>
      <c r="X35" s="564"/>
      <c r="Y35" s="564">
        <v>5305</v>
      </c>
      <c r="Z35" s="564">
        <v>2051</v>
      </c>
      <c r="AA35" s="250">
        <f t="shared" ref="AA35:AA56" si="1">IF($I35="B1","",SUM(O35:Z35))</f>
        <v>7916</v>
      </c>
      <c r="AB35" s="565">
        <f t="shared" ref="AB35:AB56" si="2">IF(AA35=0,"",IFERROR(AA35/AA$19,""))</f>
        <v>9.4374511347235512E-2</v>
      </c>
      <c r="AC35" s="437"/>
      <c r="AD35" s="564"/>
      <c r="AE35" s="565" t="str">
        <f t="shared" ref="AE35:AE56" si="3">IF(AD35=0,"",IFERROR(AD35/AD$19,""))</f>
        <v/>
      </c>
      <c r="AF35" s="566">
        <f t="shared" ref="AF35:AF56" si="4">IF(AND($AA35="",AD35=""),"",$AA35-AD35)</f>
        <v>7916</v>
      </c>
      <c r="AG35" s="564">
        <v>10377.89</v>
      </c>
      <c r="AH35" s="565">
        <f t="shared" ref="AH35:AH56" si="5">IF(AG35=0,"",IFERROR(AG35/AG$19,""))</f>
        <v>0.13150119236783214</v>
      </c>
      <c r="AI35" s="567">
        <f t="shared" ref="AI35:AI56" si="6">IF(AND($AA35="",AG35=""),"",$AA35-AG35)</f>
        <v>-2461.8899999999994</v>
      </c>
      <c r="AJ35" s="440">
        <f t="shared" ref="AJ35:AJ56" si="7">IFERROR(AA35/AA$20,0)</f>
        <v>10.526595744680851</v>
      </c>
      <c r="AK35" s="441">
        <f t="shared" ref="AK35:AK56" si="8">IFERROR(AD35/AD$20,0)</f>
        <v>0</v>
      </c>
      <c r="AL35" s="442">
        <f t="shared" ref="AL35:AL56" si="9">IFERROR(AG35/AG$20,0)</f>
        <v>11.379265350877192</v>
      </c>
      <c r="AM35" s="443">
        <f t="shared" ref="AM35:AM56" si="10">+IFERROR(ROUND(($AB35-AE35)*100,2)&amp;" pts.",0)</f>
        <v>0</v>
      </c>
      <c r="AN35" s="444" t="str">
        <f t="shared" ref="AN35:AN56" si="11">+IFERROR(ROUND(($AB35-AH35)*100,2)&amp;" pts.",0)</f>
        <v>-3.71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c r="P36" s="564"/>
      <c r="Q36" s="564">
        <v>555</v>
      </c>
      <c r="R36" s="564"/>
      <c r="S36" s="564">
        <v>960</v>
      </c>
      <c r="T36" s="564">
        <v>2800</v>
      </c>
      <c r="U36" s="564">
        <v>25</v>
      </c>
      <c r="V36" s="564"/>
      <c r="W36" s="564">
        <v>1610</v>
      </c>
      <c r="X36" s="564">
        <v>18</v>
      </c>
      <c r="Y36" s="564">
        <v>3620</v>
      </c>
      <c r="Z36" s="564"/>
      <c r="AA36" s="250">
        <f t="shared" si="1"/>
        <v>9588</v>
      </c>
      <c r="AB36" s="565">
        <f t="shared" si="2"/>
        <v>0.11430808676064856</v>
      </c>
      <c r="AC36" s="437"/>
      <c r="AD36" s="564"/>
      <c r="AE36" s="565" t="str">
        <f t="shared" si="3"/>
        <v/>
      </c>
      <c r="AF36" s="566">
        <f t="shared" si="4"/>
        <v>9588</v>
      </c>
      <c r="AG36" s="564">
        <v>15432</v>
      </c>
      <c r="AH36" s="565">
        <f t="shared" si="5"/>
        <v>0.19554325596247271</v>
      </c>
      <c r="AI36" s="567">
        <f t="shared" si="6"/>
        <v>-5844</v>
      </c>
      <c r="AJ36" s="440">
        <f t="shared" si="7"/>
        <v>12.75</v>
      </c>
      <c r="AK36" s="441">
        <f t="shared" si="8"/>
        <v>0</v>
      </c>
      <c r="AL36" s="442">
        <f t="shared" si="9"/>
        <v>16.921052631578949</v>
      </c>
      <c r="AM36" s="443">
        <f t="shared" si="10"/>
        <v>0</v>
      </c>
      <c r="AN36" s="444" t="str">
        <f t="shared" si="11"/>
        <v>-8.12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c r="P37" s="564"/>
      <c r="Q37" s="564"/>
      <c r="R37" s="564">
        <v>12980</v>
      </c>
      <c r="S37" s="564"/>
      <c r="T37" s="564">
        <v>560</v>
      </c>
      <c r="U37" s="564"/>
      <c r="V37" s="564"/>
      <c r="W37" s="564">
        <v>4110</v>
      </c>
      <c r="X37" s="564">
        <v>5753.7</v>
      </c>
      <c r="Y37" s="564">
        <v>3990</v>
      </c>
      <c r="Z37" s="564">
        <v>1582</v>
      </c>
      <c r="AA37" s="250">
        <f t="shared" si="1"/>
        <v>28975.7</v>
      </c>
      <c r="AB37" s="565">
        <f t="shared" si="2"/>
        <v>0.34544814659475642</v>
      </c>
      <c r="AC37" s="437"/>
      <c r="AD37" s="564">
        <v>77803.213647186305</v>
      </c>
      <c r="AE37" s="565">
        <f t="shared" si="3"/>
        <v>0.34650307118624046</v>
      </c>
      <c r="AF37" s="566">
        <f t="shared" si="4"/>
        <v>-48827.513647186308</v>
      </c>
      <c r="AG37" s="564">
        <v>778.97</v>
      </c>
      <c r="AH37" s="565">
        <f t="shared" si="5"/>
        <v>9.8705501618122967E-3</v>
      </c>
      <c r="AI37" s="567">
        <f t="shared" si="6"/>
        <v>28196.73</v>
      </c>
      <c r="AJ37" s="440">
        <f t="shared" si="7"/>
        <v>38.531515957446807</v>
      </c>
      <c r="AK37" s="441">
        <f t="shared" si="8"/>
        <v>37.115312338309039</v>
      </c>
      <c r="AL37" s="442">
        <f t="shared" si="9"/>
        <v>0.85413377192982454</v>
      </c>
      <c r="AM37" s="443" t="str">
        <f t="shared" si="10"/>
        <v>-0.11 pts.</v>
      </c>
      <c r="AN37" s="444" t="str">
        <f t="shared" si="11"/>
        <v>33.56 pts.</v>
      </c>
      <c r="AO37" s="11"/>
    </row>
    <row r="38" spans="1:41" x14ac:dyDescent="0.3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c r="P38" s="564"/>
      <c r="Q38" s="564"/>
      <c r="R38" s="564"/>
      <c r="S38" s="564"/>
      <c r="T38" s="564"/>
      <c r="U38" s="564"/>
      <c r="V38" s="564"/>
      <c r="W38" s="564"/>
      <c r="X38" s="564"/>
      <c r="Y38" s="564"/>
      <c r="Z38" s="564"/>
      <c r="AA38" s="250">
        <f t="shared" si="1"/>
        <v>0</v>
      </c>
      <c r="AB38" s="565" t="str">
        <f t="shared" si="2"/>
        <v/>
      </c>
      <c r="AC38" s="437"/>
      <c r="AD38" s="564"/>
      <c r="AE38" s="565" t="str">
        <f t="shared" si="3"/>
        <v/>
      </c>
      <c r="AF38" s="566">
        <f t="shared" si="4"/>
        <v>0</v>
      </c>
      <c r="AG38" s="564">
        <v>4453</v>
      </c>
      <c r="AH38" s="565">
        <f t="shared" si="5"/>
        <v>5.6425228019757065E-2</v>
      </c>
      <c r="AI38" s="567">
        <f t="shared" si="6"/>
        <v>-4453</v>
      </c>
      <c r="AJ38" s="440">
        <f t="shared" si="7"/>
        <v>0</v>
      </c>
      <c r="AK38" s="441">
        <f t="shared" si="8"/>
        <v>0</v>
      </c>
      <c r="AL38" s="442">
        <f t="shared" si="9"/>
        <v>4.8826754385964914</v>
      </c>
      <c r="AM38" s="443">
        <f t="shared" si="10"/>
        <v>0</v>
      </c>
      <c r="AN38" s="444">
        <f t="shared" si="11"/>
        <v>0</v>
      </c>
      <c r="AO38" s="11"/>
    </row>
    <row r="39" spans="1:41" x14ac:dyDescent="0.3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v>3765</v>
      </c>
      <c r="AH39" s="446">
        <f t="shared" si="5"/>
        <v>4.7707384570937643E-2</v>
      </c>
      <c r="AI39" s="448">
        <f t="shared" si="6"/>
        <v>-3765</v>
      </c>
      <c r="AJ39" s="449">
        <f t="shared" si="7"/>
        <v>0</v>
      </c>
      <c r="AK39" s="450">
        <f t="shared" si="8"/>
        <v>0</v>
      </c>
      <c r="AL39" s="451">
        <f t="shared" si="9"/>
        <v>4.1282894736842106</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v>555</v>
      </c>
      <c r="R40" s="225">
        <v>12980</v>
      </c>
      <c r="S40" s="225">
        <v>1520</v>
      </c>
      <c r="T40" s="225">
        <v>3360</v>
      </c>
      <c r="U40" s="225">
        <v>25</v>
      </c>
      <c r="V40" s="225"/>
      <c r="W40" s="225">
        <v>5720</v>
      </c>
      <c r="X40" s="225">
        <v>5771.7</v>
      </c>
      <c r="Y40" s="225">
        <v>12915</v>
      </c>
      <c r="Z40" s="225">
        <v>3633</v>
      </c>
      <c r="AA40" s="225">
        <f t="shared" si="1"/>
        <v>46479.7</v>
      </c>
      <c r="AB40" s="226">
        <f t="shared" si="2"/>
        <v>0.55413074470264045</v>
      </c>
      <c r="AC40" s="227"/>
      <c r="AD40" s="225">
        <v>77803.213647186305</v>
      </c>
      <c r="AE40" s="226">
        <f t="shared" si="3"/>
        <v>0.34650307118624046</v>
      </c>
      <c r="AF40" s="228">
        <f t="shared" si="4"/>
        <v>-31323.513647186308</v>
      </c>
      <c r="AG40" s="225">
        <v>34806.86</v>
      </c>
      <c r="AH40" s="226">
        <f t="shared" si="5"/>
        <v>0.44104761108281187</v>
      </c>
      <c r="AI40" s="455">
        <f t="shared" si="6"/>
        <v>11672.839999999997</v>
      </c>
      <c r="AJ40" s="229">
        <f t="shared" si="7"/>
        <v>61.808111702127654</v>
      </c>
      <c r="AK40" s="230">
        <f t="shared" si="8"/>
        <v>37.115312338309039</v>
      </c>
      <c r="AL40" s="232">
        <f t="shared" si="9"/>
        <v>38.165416666666665</v>
      </c>
      <c r="AM40" s="427" t="str">
        <f t="shared" si="10"/>
        <v>20.76 pts.</v>
      </c>
      <c r="AN40" s="456" t="str">
        <f t="shared" si="11"/>
        <v>11.31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10"/>
      <c r="Q41" s="210"/>
      <c r="R41" s="210"/>
      <c r="S41" s="210"/>
      <c r="T41" s="210"/>
      <c r="U41" s="210"/>
      <c r="V41" s="210"/>
      <c r="W41" s="210"/>
      <c r="X41" s="210"/>
      <c r="Y41" s="210"/>
      <c r="Z41" s="210"/>
      <c r="AA41" s="252" t="str">
        <f t="shared" si="1"/>
        <v/>
      </c>
      <c r="AB41" s="211" t="str">
        <f t="shared" si="2"/>
        <v/>
      </c>
      <c r="AC41" s="459"/>
      <c r="AD41" s="210"/>
      <c r="AE41" s="211" t="str">
        <f t="shared" si="3"/>
        <v/>
      </c>
      <c r="AF41" s="253" t="str">
        <f t="shared" si="4"/>
        <v/>
      </c>
      <c r="AG41" s="210"/>
      <c r="AH41" s="211" t="str">
        <f t="shared" si="5"/>
        <v/>
      </c>
      <c r="AI41" s="569"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c r="Q42" s="564"/>
      <c r="R42" s="564"/>
      <c r="S42" s="564"/>
      <c r="T42" s="564"/>
      <c r="U42" s="564"/>
      <c r="V42" s="564"/>
      <c r="W42" s="564"/>
      <c r="X42" s="564"/>
      <c r="Y42" s="564"/>
      <c r="Z42" s="564"/>
      <c r="AA42" s="250">
        <f t="shared" si="1"/>
        <v>0</v>
      </c>
      <c r="AB42" s="565" t="str">
        <f t="shared" si="2"/>
        <v/>
      </c>
      <c r="AC42" s="437"/>
      <c r="AD42" s="564"/>
      <c r="AE42" s="565" t="str">
        <f t="shared" si="3"/>
        <v/>
      </c>
      <c r="AF42" s="566">
        <f t="shared" si="4"/>
        <v>0</v>
      </c>
      <c r="AG42" s="564">
        <v>258.99</v>
      </c>
      <c r="AH42" s="565">
        <f t="shared" si="5"/>
        <v>3.2817358645490413E-3</v>
      </c>
      <c r="AI42" s="567">
        <f t="shared" si="6"/>
        <v>-258.99</v>
      </c>
      <c r="AJ42" s="440">
        <f t="shared" si="7"/>
        <v>0</v>
      </c>
      <c r="AK42" s="441">
        <f t="shared" si="8"/>
        <v>0</v>
      </c>
      <c r="AL42" s="442">
        <f t="shared" si="9"/>
        <v>0.28398026315789476</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c r="P43" s="564"/>
      <c r="Q43" s="564"/>
      <c r="R43" s="564"/>
      <c r="S43" s="564"/>
      <c r="T43" s="564">
        <v>90</v>
      </c>
      <c r="U43" s="564">
        <v>22</v>
      </c>
      <c r="V43" s="564"/>
      <c r="W43" s="564"/>
      <c r="X43" s="564"/>
      <c r="Y43" s="564">
        <v>660</v>
      </c>
      <c r="Z43" s="564"/>
      <c r="AA43" s="250">
        <f t="shared" si="1"/>
        <v>772</v>
      </c>
      <c r="AB43" s="565">
        <f t="shared" si="2"/>
        <v>9.203780035379713E-3</v>
      </c>
      <c r="AC43" s="437"/>
      <c r="AD43" s="564"/>
      <c r="AE43" s="565" t="str">
        <f t="shared" si="3"/>
        <v/>
      </c>
      <c r="AF43" s="566">
        <f t="shared" si="4"/>
        <v>772</v>
      </c>
      <c r="AG43" s="564">
        <v>109</v>
      </c>
      <c r="AH43" s="565">
        <f t="shared" si="5"/>
        <v>1.3811699650019132E-3</v>
      </c>
      <c r="AI43" s="567">
        <f t="shared" si="6"/>
        <v>663</v>
      </c>
      <c r="AJ43" s="440">
        <f t="shared" si="7"/>
        <v>1.0265957446808511</v>
      </c>
      <c r="AK43" s="441">
        <f t="shared" si="8"/>
        <v>0</v>
      </c>
      <c r="AL43" s="442">
        <f t="shared" si="9"/>
        <v>0.11951754385964912</v>
      </c>
      <c r="AM43" s="443">
        <f t="shared" si="10"/>
        <v>0</v>
      </c>
      <c r="AN43" s="444" t="str">
        <f t="shared" si="11"/>
        <v>0.78 pts.</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c r="P44" s="564"/>
      <c r="Q44" s="564"/>
      <c r="R44" s="564">
        <v>828</v>
      </c>
      <c r="S44" s="564"/>
      <c r="T44" s="564">
        <v>1365</v>
      </c>
      <c r="U44" s="564">
        <v>142</v>
      </c>
      <c r="V44" s="564"/>
      <c r="W44" s="564">
        <v>690</v>
      </c>
      <c r="X44" s="564"/>
      <c r="Y44" s="564"/>
      <c r="Z44" s="564"/>
      <c r="AA44" s="250">
        <f t="shared" si="1"/>
        <v>3025</v>
      </c>
      <c r="AB44" s="565">
        <f t="shared" si="2"/>
        <v>3.6064034465056516E-2</v>
      </c>
      <c r="AC44" s="437"/>
      <c r="AD44" s="564">
        <v>71818.351058941305</v>
      </c>
      <c r="AE44" s="565">
        <f t="shared" si="3"/>
        <v>0.31984898878729934</v>
      </c>
      <c r="AF44" s="566">
        <f t="shared" si="4"/>
        <v>-68793.351058941305</v>
      </c>
      <c r="AG44" s="564">
        <v>1797</v>
      </c>
      <c r="AH44" s="565">
        <f t="shared" si="5"/>
        <v>2.2770297496407688E-2</v>
      </c>
      <c r="AI44" s="567">
        <f t="shared" si="6"/>
        <v>1228</v>
      </c>
      <c r="AJ44" s="440">
        <f t="shared" si="7"/>
        <v>4.0226063829787231</v>
      </c>
      <c r="AK44" s="441">
        <f t="shared" si="8"/>
        <v>34.260288312285319</v>
      </c>
      <c r="AL44" s="442">
        <f t="shared" si="9"/>
        <v>1.9703947368421053</v>
      </c>
      <c r="AM44" s="443" t="str">
        <f t="shared" si="10"/>
        <v>-28.38 pts.</v>
      </c>
      <c r="AN44" s="444" t="str">
        <f t="shared" si="11"/>
        <v>1.33 pts.</v>
      </c>
      <c r="AO44" s="11"/>
    </row>
    <row r="45" spans="1:41" x14ac:dyDescent="0.3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45"/>
      <c r="P45" s="251"/>
      <c r="Q45" s="251"/>
      <c r="R45" s="251"/>
      <c r="S45" s="251"/>
      <c r="T45" s="251"/>
      <c r="U45" s="251"/>
      <c r="V45" s="251"/>
      <c r="W45" s="251"/>
      <c r="X45" s="251"/>
      <c r="Y45" s="251"/>
      <c r="Z45" s="251"/>
      <c r="AA45" s="251">
        <f t="shared" si="1"/>
        <v>0</v>
      </c>
      <c r="AB45" s="446" t="str">
        <f t="shared" si="2"/>
        <v/>
      </c>
      <c r="AC45" s="437"/>
      <c r="AD45" s="251"/>
      <c r="AE45" s="446" t="str">
        <f t="shared" si="3"/>
        <v/>
      </c>
      <c r="AF45" s="447">
        <f t="shared" si="4"/>
        <v>0</v>
      </c>
      <c r="AG45" s="251">
        <v>2922</v>
      </c>
      <c r="AH45" s="446">
        <f t="shared" si="5"/>
        <v>3.7025492089317345E-2</v>
      </c>
      <c r="AI45" s="448">
        <f t="shared" si="6"/>
        <v>-2922</v>
      </c>
      <c r="AJ45" s="449">
        <f t="shared" si="7"/>
        <v>0</v>
      </c>
      <c r="AK45" s="450">
        <f t="shared" si="8"/>
        <v>0</v>
      </c>
      <c r="AL45" s="451">
        <f t="shared" si="9"/>
        <v>3.2039473684210527</v>
      </c>
      <c r="AM45" s="452">
        <f t="shared" si="10"/>
        <v>0</v>
      </c>
      <c r="AN45" s="453">
        <f t="shared" si="11"/>
        <v>0</v>
      </c>
      <c r="AO45" s="11"/>
    </row>
    <row r="46" spans="1:41" x14ac:dyDescent="0.3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54"/>
      <c r="P46" s="225"/>
      <c r="Q46" s="225"/>
      <c r="R46" s="225">
        <v>828</v>
      </c>
      <c r="S46" s="225"/>
      <c r="T46" s="225">
        <v>1455</v>
      </c>
      <c r="U46" s="225">
        <v>164</v>
      </c>
      <c r="V46" s="225"/>
      <c r="W46" s="225">
        <v>690</v>
      </c>
      <c r="X46" s="225"/>
      <c r="Y46" s="225">
        <v>660</v>
      </c>
      <c r="Z46" s="225"/>
      <c r="AA46" s="225">
        <f t="shared" si="1"/>
        <v>3797</v>
      </c>
      <c r="AB46" s="226">
        <f t="shared" si="2"/>
        <v>4.5267814500436231E-2</v>
      </c>
      <c r="AC46" s="227"/>
      <c r="AD46" s="225">
        <v>71818.351058941305</v>
      </c>
      <c r="AE46" s="226">
        <f t="shared" si="3"/>
        <v>0.31984898878729934</v>
      </c>
      <c r="AF46" s="228">
        <f t="shared" si="4"/>
        <v>-68021.351058941305</v>
      </c>
      <c r="AG46" s="225">
        <v>5086.99</v>
      </c>
      <c r="AH46" s="226">
        <f t="shared" si="5"/>
        <v>6.4458695415275991E-2</v>
      </c>
      <c r="AI46" s="455">
        <f t="shared" si="6"/>
        <v>-1289.9899999999998</v>
      </c>
      <c r="AJ46" s="229">
        <f t="shared" si="7"/>
        <v>5.0492021276595747</v>
      </c>
      <c r="AK46" s="230">
        <f t="shared" si="8"/>
        <v>34.260288312285319</v>
      </c>
      <c r="AL46" s="232">
        <f t="shared" si="9"/>
        <v>5.5778399122807016</v>
      </c>
      <c r="AM46" s="427" t="str">
        <f t="shared" si="10"/>
        <v>-27.46 pts.</v>
      </c>
      <c r="AN46" s="456" t="str">
        <f t="shared" si="11"/>
        <v>-1.92 pts.</v>
      </c>
      <c r="AO46" s="11"/>
    </row>
    <row r="47" spans="1:41" x14ac:dyDescent="0.35">
      <c r="A47" s="61" t="str">
        <f>IF(_epmOfflineCondition_,"Evdre:Ok",_xll.EVDRE($B$1,A50:B57,A60:B66))</f>
        <v>Evdre:Ok</v>
      </c>
      <c r="B47" s="11"/>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0"/>
      <c r="P47" s="216"/>
      <c r="Q47" s="216"/>
      <c r="R47" s="216"/>
      <c r="S47" s="216"/>
      <c r="T47" s="216"/>
      <c r="U47" s="216"/>
      <c r="V47" s="216"/>
      <c r="W47" s="216"/>
      <c r="X47" s="216"/>
      <c r="Y47" s="216"/>
      <c r="Z47" s="216"/>
      <c r="AA47" s="216">
        <f t="shared" si="1"/>
        <v>0</v>
      </c>
      <c r="AB47" s="218" t="str">
        <f t="shared" si="2"/>
        <v/>
      </c>
      <c r="AC47" s="459"/>
      <c r="AD47" s="216"/>
      <c r="AE47" s="218" t="str">
        <f t="shared" si="3"/>
        <v/>
      </c>
      <c r="AF47" s="233">
        <f t="shared" si="4"/>
        <v>0</v>
      </c>
      <c r="AG47" s="216"/>
      <c r="AH47" s="218" t="str">
        <f t="shared" si="5"/>
        <v/>
      </c>
      <c r="AI47" s="531">
        <f t="shared" si="6"/>
        <v>0</v>
      </c>
      <c r="AJ47" s="532">
        <f t="shared" si="7"/>
        <v>0</v>
      </c>
      <c r="AK47" s="533">
        <f t="shared" si="8"/>
        <v>0</v>
      </c>
      <c r="AL47" s="534">
        <f t="shared" si="9"/>
        <v>0</v>
      </c>
      <c r="AM47" s="535">
        <f t="shared" si="10"/>
        <v>0</v>
      </c>
      <c r="AN47" s="536">
        <f t="shared" si="11"/>
        <v>0</v>
      </c>
      <c r="AO47" s="11"/>
    </row>
    <row r="48" spans="1:41" x14ac:dyDescent="0.3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54"/>
      <c r="P48" s="225"/>
      <c r="Q48" s="225">
        <v>555</v>
      </c>
      <c r="R48" s="225">
        <v>13808</v>
      </c>
      <c r="S48" s="225">
        <v>1520</v>
      </c>
      <c r="T48" s="225">
        <v>4815</v>
      </c>
      <c r="U48" s="225">
        <v>189</v>
      </c>
      <c r="V48" s="225"/>
      <c r="W48" s="225">
        <v>6410</v>
      </c>
      <c r="X48" s="225">
        <v>5771.7</v>
      </c>
      <c r="Y48" s="225">
        <v>13575</v>
      </c>
      <c r="Z48" s="225">
        <v>3633</v>
      </c>
      <c r="AA48" s="225">
        <f t="shared" si="1"/>
        <v>50276.7</v>
      </c>
      <c r="AB48" s="226">
        <f t="shared" si="2"/>
        <v>0.59939855920307672</v>
      </c>
      <c r="AC48" s="227"/>
      <c r="AD48" s="225">
        <v>149621.564706128</v>
      </c>
      <c r="AE48" s="226">
        <f t="shared" si="3"/>
        <v>0.66635205997354152</v>
      </c>
      <c r="AF48" s="228">
        <f t="shared" si="4"/>
        <v>-99344.864706128006</v>
      </c>
      <c r="AG48" s="225">
        <v>39893.85</v>
      </c>
      <c r="AH48" s="226">
        <f t="shared" si="5"/>
        <v>0.50550630649808781</v>
      </c>
      <c r="AI48" s="455">
        <f t="shared" si="6"/>
        <v>10382.849999999999</v>
      </c>
      <c r="AJ48" s="229">
        <f t="shared" si="7"/>
        <v>66.85731382978723</v>
      </c>
      <c r="AK48" s="230">
        <f t="shared" si="8"/>
        <v>71.375600650594549</v>
      </c>
      <c r="AL48" s="232">
        <f t="shared" si="9"/>
        <v>43.743256578947367</v>
      </c>
      <c r="AM48" s="427" t="str">
        <f t="shared" si="10"/>
        <v>-6.7 pts.</v>
      </c>
      <c r="AN48" s="456" t="str">
        <f t="shared" si="11"/>
        <v>9.39 pts.</v>
      </c>
      <c r="AO48" s="11"/>
    </row>
    <row r="49" spans="1:41" x14ac:dyDescent="0.3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10"/>
      <c r="Q49" s="210"/>
      <c r="R49" s="210"/>
      <c r="S49" s="210"/>
      <c r="T49" s="210"/>
      <c r="U49" s="210"/>
      <c r="V49" s="210"/>
      <c r="W49" s="210"/>
      <c r="X49" s="210"/>
      <c r="Y49" s="210"/>
      <c r="Z49" s="210"/>
      <c r="AA49" s="252" t="str">
        <f t="shared" si="1"/>
        <v/>
      </c>
      <c r="AB49" s="211" t="str">
        <f t="shared" si="2"/>
        <v/>
      </c>
      <c r="AC49" s="459"/>
      <c r="AD49" s="210"/>
      <c r="AE49" s="211" t="str">
        <f t="shared" si="3"/>
        <v/>
      </c>
      <c r="AF49" s="253" t="str">
        <f t="shared" si="4"/>
        <v/>
      </c>
      <c r="AG49" s="210"/>
      <c r="AH49" s="211" t="str">
        <f t="shared" si="5"/>
        <v/>
      </c>
      <c r="AI49" s="569" t="str">
        <f t="shared" si="6"/>
        <v/>
      </c>
      <c r="AJ49" s="234">
        <f t="shared" si="7"/>
        <v>0</v>
      </c>
      <c r="AK49" s="235">
        <f t="shared" si="8"/>
        <v>0</v>
      </c>
      <c r="AL49" s="237">
        <f t="shared" si="9"/>
        <v>0</v>
      </c>
      <c r="AM49" s="429">
        <f t="shared" si="10"/>
        <v>0</v>
      </c>
      <c r="AN49" s="462">
        <f t="shared" si="11"/>
        <v>0</v>
      </c>
      <c r="AO49" s="11"/>
    </row>
    <row r="50" spans="1:41" x14ac:dyDescent="0.35">
      <c r="A50" s="65" t="s">
        <v>2</v>
      </c>
      <c r="B50" s="66" t="str">
        <f>IF(_epmOfflineCondition_,"'BCC_CONS'!$B$2:$B$10",_xll.EVRNG($B$2:$B$10))</f>
        <v>'BCC_CONS'!$B$2:$B$10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c r="P50" s="564"/>
      <c r="Q50" s="564"/>
      <c r="R50" s="564"/>
      <c r="S50" s="564"/>
      <c r="T50" s="564"/>
      <c r="U50" s="564"/>
      <c r="V50" s="564"/>
      <c r="W50" s="564">
        <v>75</v>
      </c>
      <c r="X50" s="564"/>
      <c r="Y50" s="564"/>
      <c r="Z50" s="564"/>
      <c r="AA50" s="250">
        <f t="shared" si="1"/>
        <v>75</v>
      </c>
      <c r="AB50" s="565">
        <f t="shared" si="2"/>
        <v>8.9414961483611204E-4</v>
      </c>
      <c r="AC50" s="437"/>
      <c r="AD50" s="564">
        <v>13000</v>
      </c>
      <c r="AE50" s="565">
        <f t="shared" si="3"/>
        <v>5.7896579257610513E-2</v>
      </c>
      <c r="AF50" s="566">
        <f t="shared" si="4"/>
        <v>-12925</v>
      </c>
      <c r="AG50" s="564">
        <v>6913.73</v>
      </c>
      <c r="AH50" s="565">
        <f t="shared" si="5"/>
        <v>8.7605836900299786E-2</v>
      </c>
      <c r="AI50" s="567">
        <f t="shared" si="6"/>
        <v>-6838.73</v>
      </c>
      <c r="AJ50" s="440">
        <f t="shared" si="7"/>
        <v>9.9734042553191488E-2</v>
      </c>
      <c r="AK50" s="441">
        <f t="shared" si="8"/>
        <v>6.2015312450460298</v>
      </c>
      <c r="AL50" s="442">
        <f t="shared" si="9"/>
        <v>7.5808442982456139</v>
      </c>
      <c r="AM50" s="443" t="str">
        <f t="shared" si="10"/>
        <v>-5.7 pts.</v>
      </c>
      <c r="AN50" s="444" t="str">
        <f t="shared" si="11"/>
        <v>-8.67 pts.</v>
      </c>
      <c r="AO50" s="11"/>
    </row>
    <row r="51" spans="1:41" x14ac:dyDescent="0.35">
      <c r="A51" s="65" t="s">
        <v>3</v>
      </c>
      <c r="B51" s="66" t="str">
        <f>IF(_epmOfflineCondition_,"'BCC_CONS'!$O$16:$AN$18",_xll.EVRNG($O$16:$AN$18))</f>
        <v>'BCC_CONS'!$O$16:$AN$18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c r="P51" s="564">
        <v>500</v>
      </c>
      <c r="Q51" s="564">
        <v>1450</v>
      </c>
      <c r="R51" s="564">
        <v>800</v>
      </c>
      <c r="S51" s="564">
        <v>500</v>
      </c>
      <c r="T51" s="564">
        <v>1000</v>
      </c>
      <c r="U51" s="564">
        <v>2000</v>
      </c>
      <c r="V51" s="564"/>
      <c r="W51" s="564">
        <v>1900</v>
      </c>
      <c r="X51" s="564">
        <v>1550</v>
      </c>
      <c r="Y51" s="564">
        <v>3250</v>
      </c>
      <c r="Z51" s="564">
        <v>7500</v>
      </c>
      <c r="AA51" s="250">
        <f t="shared" si="1"/>
        <v>20450</v>
      </c>
      <c r="AB51" s="565">
        <f t="shared" si="2"/>
        <v>0.24380479497864654</v>
      </c>
      <c r="AC51" s="437"/>
      <c r="AD51" s="564">
        <v>29000</v>
      </c>
      <c r="AE51" s="565">
        <f t="shared" si="3"/>
        <v>0.1291539075746696</v>
      </c>
      <c r="AF51" s="566">
        <f t="shared" si="4"/>
        <v>-8550</v>
      </c>
      <c r="AG51" s="564">
        <v>22825</v>
      </c>
      <c r="AH51" s="565">
        <f t="shared" si="5"/>
        <v>0.28922205918503369</v>
      </c>
      <c r="AI51" s="567">
        <f t="shared" si="6"/>
        <v>-2375</v>
      </c>
      <c r="AJ51" s="440">
        <f t="shared" si="7"/>
        <v>27.194148936170212</v>
      </c>
      <c r="AK51" s="441">
        <f t="shared" si="8"/>
        <v>13.834185085102682</v>
      </c>
      <c r="AL51" s="442">
        <f t="shared" si="9"/>
        <v>25.027412280701753</v>
      </c>
      <c r="AM51" s="443" t="str">
        <f t="shared" si="10"/>
        <v>11.47 pts.</v>
      </c>
      <c r="AN51" s="444" t="str">
        <f t="shared" si="11"/>
        <v>-4.54 pts.</v>
      </c>
      <c r="AO51" s="11"/>
    </row>
    <row r="52" spans="1:41" x14ac:dyDescent="0.35">
      <c r="A52" s="65" t="s">
        <v>4</v>
      </c>
      <c r="B52" s="66" t="str">
        <f>IF(_epmOfflineCondition_,"'BCC_CONS'!$H$60:$H$68",_xll.EVRNG(H60:H68))</f>
        <v>'BCC_CONS'!$H$60:$H$68</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c r="P52" s="564"/>
      <c r="Q52" s="564">
        <v>122.1</v>
      </c>
      <c r="R52" s="564">
        <v>3037.1</v>
      </c>
      <c r="S52" s="564">
        <v>334.4</v>
      </c>
      <c r="T52" s="564">
        <v>1059.3</v>
      </c>
      <c r="U52" s="564">
        <v>35.020000000000003</v>
      </c>
      <c r="V52" s="564"/>
      <c r="W52" s="564">
        <v>1410.2</v>
      </c>
      <c r="X52" s="564">
        <v>1243</v>
      </c>
      <c r="Y52" s="564">
        <v>2986.5</v>
      </c>
      <c r="Z52" s="564">
        <v>799.26</v>
      </c>
      <c r="AA52" s="250">
        <f t="shared" si="1"/>
        <v>11026.88</v>
      </c>
      <c r="AB52" s="565">
        <f t="shared" si="2"/>
        <v>0.1314624067312537</v>
      </c>
      <c r="AC52" s="437"/>
      <c r="AD52" s="564">
        <v>32916.744235348102</v>
      </c>
      <c r="AE52" s="565">
        <f t="shared" si="3"/>
        <v>0.14659745319417888</v>
      </c>
      <c r="AF52" s="566">
        <f t="shared" si="4"/>
        <v>-21889.864235348105</v>
      </c>
      <c r="AG52" s="564">
        <v>8565.49</v>
      </c>
      <c r="AH52" s="565">
        <f t="shared" si="5"/>
        <v>0.10853575709655264</v>
      </c>
      <c r="AI52" s="567">
        <f t="shared" si="6"/>
        <v>2461.3899999999994</v>
      </c>
      <c r="AJ52" s="440">
        <f t="shared" si="7"/>
        <v>14.663404255319147</v>
      </c>
      <c r="AK52" s="441">
        <f t="shared" si="8"/>
        <v>15.702632143130772</v>
      </c>
      <c r="AL52" s="442">
        <f t="shared" si="9"/>
        <v>9.3919846491228061</v>
      </c>
      <c r="AM52" s="443" t="str">
        <f t="shared" si="10"/>
        <v>-1.51 pts.</v>
      </c>
      <c r="AN52" s="444" t="str">
        <f t="shared" si="11"/>
        <v>2.29 pts.</v>
      </c>
      <c r="AO52" s="11"/>
    </row>
    <row r="53" spans="1:41" x14ac:dyDescent="0.3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c r="P53" s="564"/>
      <c r="Q53" s="564"/>
      <c r="R53" s="564">
        <v>300</v>
      </c>
      <c r="S53" s="564"/>
      <c r="T53" s="564">
        <v>300</v>
      </c>
      <c r="U53" s="564">
        <v>600</v>
      </c>
      <c r="V53" s="564"/>
      <c r="W53" s="564">
        <v>300</v>
      </c>
      <c r="X53" s="564"/>
      <c r="Y53" s="564">
        <v>450</v>
      </c>
      <c r="Z53" s="564">
        <v>100</v>
      </c>
      <c r="AA53" s="250">
        <f t="shared" si="1"/>
        <v>2050</v>
      </c>
      <c r="AB53" s="565">
        <f t="shared" si="2"/>
        <v>2.4440089472187062E-2</v>
      </c>
      <c r="AC53" s="437"/>
      <c r="AD53" s="564"/>
      <c r="AE53" s="565" t="str">
        <f t="shared" si="3"/>
        <v/>
      </c>
      <c r="AF53" s="566">
        <f t="shared" si="4"/>
        <v>2050</v>
      </c>
      <c r="AG53" s="564">
        <v>720.53</v>
      </c>
      <c r="AH53" s="565">
        <f t="shared" si="5"/>
        <v>9.1300403200259492E-3</v>
      </c>
      <c r="AI53" s="567">
        <f t="shared" si="6"/>
        <v>1329.47</v>
      </c>
      <c r="AJ53" s="440">
        <f t="shared" si="7"/>
        <v>2.7260638297872339</v>
      </c>
      <c r="AK53" s="441">
        <f t="shared" si="8"/>
        <v>0</v>
      </c>
      <c r="AL53" s="442">
        <f t="shared" si="9"/>
        <v>0.79005482456140352</v>
      </c>
      <c r="AM53" s="443">
        <f t="shared" si="10"/>
        <v>0</v>
      </c>
      <c r="AN53" s="444" t="str">
        <f t="shared" si="11"/>
        <v>1.53 pts.</v>
      </c>
      <c r="AO53" s="11"/>
    </row>
    <row r="54" spans="1:41" x14ac:dyDescent="0.3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45"/>
      <c r="P54" s="251"/>
      <c r="Q54" s="251"/>
      <c r="R54" s="251"/>
      <c r="S54" s="251"/>
      <c r="T54" s="251"/>
      <c r="U54" s="251"/>
      <c r="V54" s="251"/>
      <c r="W54" s="251"/>
      <c r="X54" s="251"/>
      <c r="Y54" s="251"/>
      <c r="Z54" s="251"/>
      <c r="AA54" s="251">
        <f t="shared" si="1"/>
        <v>0</v>
      </c>
      <c r="AB54" s="446" t="str">
        <f t="shared" si="2"/>
        <v/>
      </c>
      <c r="AC54" s="437"/>
      <c r="AD54" s="251"/>
      <c r="AE54" s="446" t="str">
        <f t="shared" si="3"/>
        <v/>
      </c>
      <c r="AF54" s="447">
        <f t="shared" si="4"/>
        <v>0</v>
      </c>
      <c r="AG54" s="251"/>
      <c r="AH54" s="446" t="str">
        <f t="shared" si="5"/>
        <v/>
      </c>
      <c r="AI54" s="448">
        <f t="shared" si="6"/>
        <v>0</v>
      </c>
      <c r="AJ54" s="449">
        <f t="shared" si="7"/>
        <v>0</v>
      </c>
      <c r="AK54" s="450">
        <f t="shared" si="8"/>
        <v>0</v>
      </c>
      <c r="AL54" s="451">
        <f t="shared" si="9"/>
        <v>0</v>
      </c>
      <c r="AM54" s="452">
        <f t="shared" si="10"/>
        <v>0</v>
      </c>
      <c r="AN54" s="453">
        <f t="shared" si="11"/>
        <v>0</v>
      </c>
      <c r="AO54" s="11"/>
    </row>
    <row r="55" spans="1:41" x14ac:dyDescent="0.35">
      <c r="A55" s="65" t="s">
        <v>7</v>
      </c>
      <c r="B55" s="66" t="str">
        <f>IF(_epmOfflineCondition_,"'BCC_CONS'!$A$69:$F$77",_xll.EVRNG(A69:F77))</f>
        <v>'BCC_CONS'!$A$69:$F$77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63"/>
      <c r="P55" s="238">
        <v>500</v>
      </c>
      <c r="Q55" s="238">
        <v>1572.1</v>
      </c>
      <c r="R55" s="238">
        <v>4137.1000000000004</v>
      </c>
      <c r="S55" s="238">
        <v>834.4</v>
      </c>
      <c r="T55" s="238">
        <v>2359.3000000000002</v>
      </c>
      <c r="U55" s="238">
        <v>2635.02</v>
      </c>
      <c r="V55" s="238"/>
      <c r="W55" s="238">
        <v>3685.2</v>
      </c>
      <c r="X55" s="238">
        <v>2793</v>
      </c>
      <c r="Y55" s="238">
        <v>6686.5</v>
      </c>
      <c r="Z55" s="238">
        <v>8399.26</v>
      </c>
      <c r="AA55" s="238">
        <f t="shared" si="1"/>
        <v>33601.880000000005</v>
      </c>
      <c r="AB55" s="239">
        <f t="shared" si="2"/>
        <v>0.4006014407969235</v>
      </c>
      <c r="AC55" s="240"/>
      <c r="AD55" s="238">
        <v>74916.744235348102</v>
      </c>
      <c r="AE55" s="239">
        <f t="shared" si="3"/>
        <v>0.33364794002645898</v>
      </c>
      <c r="AF55" s="241">
        <f t="shared" si="4"/>
        <v>-41314.864235348097</v>
      </c>
      <c r="AG55" s="238">
        <v>39024.75</v>
      </c>
      <c r="AH55" s="239">
        <f t="shared" si="5"/>
        <v>0.49449369350191208</v>
      </c>
      <c r="AI55" s="464">
        <f t="shared" si="6"/>
        <v>-5422.8699999999953</v>
      </c>
      <c r="AJ55" s="242">
        <f t="shared" si="7"/>
        <v>44.683351063829797</v>
      </c>
      <c r="AK55" s="243">
        <f t="shared" si="8"/>
        <v>35.738348473279487</v>
      </c>
      <c r="AL55" s="245">
        <f t="shared" si="9"/>
        <v>42.790296052631582</v>
      </c>
      <c r="AM55" s="431" t="str">
        <f t="shared" si="10"/>
        <v>6.7 pts.</v>
      </c>
      <c r="AN55" s="465" t="str">
        <f t="shared" si="11"/>
        <v>-9.39 pts.</v>
      </c>
      <c r="AO55" s="11"/>
    </row>
    <row r="56" spans="1:41" x14ac:dyDescent="0.35">
      <c r="A56" s="65" t="s">
        <v>47</v>
      </c>
      <c r="B56" s="66" t="str">
        <f>IF(_epmOfflineCondition_,"'BCC_CONS'!$A$125:$B$130",_xll.EVRNG($A$125:$B$130))</f>
        <v>'BCC_CONS'!$A$125:$B$130</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454"/>
      <c r="P56" s="225">
        <v>500</v>
      </c>
      <c r="Q56" s="225">
        <v>2127.1</v>
      </c>
      <c r="R56" s="225">
        <v>17945.099999999999</v>
      </c>
      <c r="S56" s="225">
        <v>2354.4</v>
      </c>
      <c r="T56" s="225">
        <v>7174.3</v>
      </c>
      <c r="U56" s="225">
        <v>2824.02</v>
      </c>
      <c r="V56" s="225"/>
      <c r="W56" s="225">
        <v>10095.200000000001</v>
      </c>
      <c r="X56" s="225">
        <v>8564.7000000000007</v>
      </c>
      <c r="Y56" s="225">
        <v>20261.5</v>
      </c>
      <c r="Z56" s="225">
        <v>12032.26</v>
      </c>
      <c r="AA56" s="225">
        <f t="shared" si="1"/>
        <v>83878.579999999987</v>
      </c>
      <c r="AB56" s="226">
        <f t="shared" si="2"/>
        <v>1</v>
      </c>
      <c r="AC56" s="227"/>
      <c r="AD56" s="225">
        <v>224538.30894147599</v>
      </c>
      <c r="AE56" s="226">
        <f t="shared" si="3"/>
        <v>1</v>
      </c>
      <c r="AF56" s="228">
        <f t="shared" si="4"/>
        <v>-140659.728941476</v>
      </c>
      <c r="AG56" s="225">
        <v>78918.600000000006</v>
      </c>
      <c r="AH56" s="226">
        <f t="shared" si="5"/>
        <v>1</v>
      </c>
      <c r="AI56" s="455">
        <f t="shared" si="6"/>
        <v>4959.9799999999814</v>
      </c>
      <c r="AJ56" s="229">
        <f t="shared" si="7"/>
        <v>111.54066489361701</v>
      </c>
      <c r="AK56" s="230">
        <f t="shared" si="8"/>
        <v>107.11394912387398</v>
      </c>
      <c r="AL56" s="232">
        <f t="shared" si="9"/>
        <v>86.533552631578956</v>
      </c>
      <c r="AM56" s="427" t="str">
        <f t="shared" si="10"/>
        <v>0 pts.</v>
      </c>
      <c r="AN56" s="456" t="str">
        <f t="shared" si="11"/>
        <v>0 pts.</v>
      </c>
      <c r="AO56" s="11"/>
    </row>
    <row r="57" spans="1:41" x14ac:dyDescent="0.35">
      <c r="A57" s="65" t="s">
        <v>8</v>
      </c>
      <c r="B57" s="66"/>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203"/>
      <c r="AE57" s="204"/>
      <c r="AF57" s="118"/>
      <c r="AG57" s="204"/>
      <c r="AH57" s="204"/>
      <c r="AI57" s="118"/>
      <c r="AJ57" s="11"/>
      <c r="AK57" s="11"/>
      <c r="AL57" s="11"/>
      <c r="AM57" s="11"/>
      <c r="AN57" s="11"/>
      <c r="AO57" s="11"/>
    </row>
    <row r="58" spans="1:41" x14ac:dyDescent="0.35">
      <c r="A58" s="11"/>
      <c r="B58" s="11"/>
      <c r="C58" s="11"/>
      <c r="D58" s="11"/>
      <c r="E58" s="11"/>
      <c r="F58" s="11"/>
      <c r="G58" s="76"/>
      <c r="H58" s="11" t="s">
        <v>281</v>
      </c>
      <c r="I58" s="59" t="str">
        <f>IF(_epmOfflineCondition_,"B1",_xll.EVPRO($B$1,$H58,"STYLE"))</f>
        <v>B1</v>
      </c>
      <c r="J58" s="59" t="str">
        <f>IF(_epmOfflineCondition_,"Y",_xll.EVPRO($B$1,$H58,"CALC"))</f>
        <v>Y</v>
      </c>
      <c r="K58" s="11"/>
      <c r="L58" s="11"/>
      <c r="M58" s="11"/>
      <c r="N58" s="105" t="str">
        <f>IF(_epmOfflineCondition_,"Cost of Sales",IF(_xll.EVDES(H58,$B$1)="#NODATA","",_xll.EVDES(H58,$B$1)))</f>
        <v>Cost of Sales</v>
      </c>
      <c r="O58" s="203"/>
      <c r="P58" s="204"/>
      <c r="Q58" s="204"/>
      <c r="R58" s="204"/>
      <c r="S58" s="204"/>
      <c r="T58" s="204"/>
      <c r="U58" s="204"/>
      <c r="V58" s="204"/>
      <c r="W58" s="204"/>
      <c r="X58" s="204"/>
      <c r="Y58" s="204"/>
      <c r="Z58" s="204"/>
      <c r="AA58" s="204"/>
      <c r="AB58" s="410"/>
      <c r="AC58" s="11"/>
      <c r="AD58" s="411"/>
      <c r="AE58" s="412"/>
      <c r="AF58" s="118"/>
      <c r="AG58" s="204"/>
      <c r="AH58" s="412"/>
      <c r="AI58" s="118"/>
      <c r="AJ58" s="11"/>
      <c r="AK58" s="11"/>
      <c r="AL58" s="11"/>
      <c r="AM58" s="11"/>
      <c r="AN58" s="11"/>
      <c r="AO58" s="11"/>
    </row>
    <row r="59" spans="1:41" x14ac:dyDescent="0.35">
      <c r="A59" s="62" t="s">
        <v>9</v>
      </c>
      <c r="B59" s="63" t="s">
        <v>10</v>
      </c>
      <c r="C59" s="11"/>
      <c r="D59" s="11"/>
      <c r="E59" s="11"/>
      <c r="F59" s="11"/>
      <c r="G59" s="11"/>
      <c r="H59" s="11" t="s">
        <v>284</v>
      </c>
      <c r="I59" s="59" t="str">
        <f>IF(_epmOfflineCondition_,"B1",_xll.EVPRO($B$1,$H59,"STYLE"))</f>
        <v>B1</v>
      </c>
      <c r="J59" s="59" t="str">
        <f>IF(_epmOfflineCondition_,"Y",_xll.EVPRO($B$1,$H59,"CALC"))</f>
        <v>Y</v>
      </c>
      <c r="K59" s="11"/>
      <c r="L59" s="11"/>
      <c r="M59" s="11"/>
      <c r="N59" s="53" t="str">
        <f>IF(_epmOfflineCondition_,"Cost of Food &amp; Beverage Sales",IF(_xll.EVDES(H59,$B$1)="#NODATA","",_xll.EVDES(H59,$B$1)))</f>
        <v>Cost of Food &amp; Beverage Sales</v>
      </c>
      <c r="O59" s="203"/>
      <c r="P59" s="204"/>
      <c r="Q59" s="204"/>
      <c r="R59" s="204"/>
      <c r="S59" s="204"/>
      <c r="T59" s="204"/>
      <c r="U59" s="204"/>
      <c r="V59" s="204"/>
      <c r="W59" s="204"/>
      <c r="X59" s="204"/>
      <c r="Y59" s="204"/>
      <c r="Z59" s="204"/>
      <c r="AA59" s="204"/>
      <c r="AB59" s="118"/>
      <c r="AC59" s="11"/>
      <c r="AD59" s="203"/>
      <c r="AE59" s="204"/>
      <c r="AF59" s="118"/>
      <c r="AG59" s="204"/>
      <c r="AH59" s="204"/>
      <c r="AI59" s="118"/>
      <c r="AJ59" s="11"/>
      <c r="AK59" s="11"/>
      <c r="AL59" s="11"/>
      <c r="AM59" s="11"/>
      <c r="AN59" s="11"/>
      <c r="AO59" s="11"/>
    </row>
    <row r="60" spans="1:41" x14ac:dyDescent="0.35">
      <c r="A60" s="65" t="s">
        <v>11</v>
      </c>
      <c r="B60" s="66" t="s">
        <v>21</v>
      </c>
      <c r="C60" s="11"/>
      <c r="D60" s="11"/>
      <c r="E60" s="11"/>
      <c r="F60" s="11"/>
      <c r="G60" s="11"/>
      <c r="H60" s="88" t="s">
        <v>285</v>
      </c>
      <c r="I60" s="122" t="str">
        <f>IF(_epmOfflineCondition_,"T5",_xll.EVPRO($B$1,$H60,"STYLE"))</f>
        <v>T5</v>
      </c>
      <c r="J60" s="122" t="str">
        <f>IF(_epmOfflineCondition_,"Y",_xll.EVPRO($B$1,$H60,"CALC"))</f>
        <v>Y</v>
      </c>
      <c r="K60" s="179" t="str">
        <f t="shared" ref="K60:K70" si="12">IF(AND(I60&gt;="T5"),"&gt;","")</f>
        <v>&gt;</v>
      </c>
      <c r="L60" s="90" t="str">
        <f>IF(_epmOfflineCondition_,"561100",_xll.EVPRO($B$1,H60,"JDEID"))</f>
        <v>561100</v>
      </c>
      <c r="M60" s="90" t="str">
        <f>IF(_epmOfflineCondition_,"",IF(AND(I60="N",J60="N"),_xll.EVPRO($B$1,H60,"PSFTID"),""))</f>
        <v/>
      </c>
      <c r="N60" s="90" t="str">
        <f>IF(_epmOfflineCondition_,"Cost of Food Sales",IF(_xll.EVDES(H60,$B$1)="#NODATA","",_xll.EVDES(H60,$B$1)))</f>
        <v>Cost of Food Sales</v>
      </c>
      <c r="O60" s="563"/>
      <c r="P60" s="564"/>
      <c r="Q60" s="564">
        <v>116</v>
      </c>
      <c r="R60" s="564">
        <v>2712.82</v>
      </c>
      <c r="S60" s="564">
        <v>317.68</v>
      </c>
      <c r="T60" s="564">
        <v>702.24</v>
      </c>
      <c r="U60" s="564">
        <v>5.23</v>
      </c>
      <c r="V60" s="564"/>
      <c r="W60" s="564">
        <v>1195.48</v>
      </c>
      <c r="X60" s="564">
        <v>1408.58</v>
      </c>
      <c r="Y60" s="564">
        <v>2699.24</v>
      </c>
      <c r="Z60" s="564">
        <v>773.7</v>
      </c>
      <c r="AA60" s="250">
        <f t="shared" ref="AA60:AA68" si="13">IF($I60="B1","",SUM(O60:Z60))</f>
        <v>9930.9700000000012</v>
      </c>
      <c r="AB60" s="565">
        <f>IF(_epmOfflineCondition_,0.213662523639352,IF(AA60=0,"",IFERROR(AA60/_xll.EVGTS($B$1,1,_xll.EVPRO($B$1,$H60,"COSBASIS"),$B$3,$B$5,$B$6,$B$7,$B$9,AA$16,AA$17,AA$11),"")))</f>
        <v>0.21366252363935201</v>
      </c>
      <c r="AC60" s="437"/>
      <c r="AD60" s="564">
        <v>15560.64</v>
      </c>
      <c r="AE60" s="565">
        <f>IF(_epmOfflineCondition_,0.199999964918708,IF(AD60=0,"",IFERROR(AD60/_xll.EVGTS($B$1,1,_xll.EVPRO($B$1,$H60,"COSBASIS"),$B$3,$B$5,$B$6,$B$7,$B$9,AD$16,AD$17,AD$18),"")))</f>
        <v>0.199999964918708</v>
      </c>
      <c r="AF60" s="566">
        <f t="shared" ref="AF60:AF70" si="14">IF(AND($AA60="",AD60=""),"",$AA60-AD60)</f>
        <v>-5629.6699999999983</v>
      </c>
      <c r="AG60" s="564">
        <v>9189.52</v>
      </c>
      <c r="AH60" s="565">
        <f>IF(_epmOfflineCondition_,0.264014622404894,IF(AG60=0,"",IFERROR(AG60/_xll.EVGTS($B$1,1,_xll.EVPRO($B$1,$H60,"COSBASIS"),$B$3,$B$5,$B$6,$B$7,$B$9,AG$16,AG$17,AG$18),"")))</f>
        <v>0.26401462240489398</v>
      </c>
      <c r="AI60" s="567">
        <f t="shared" ref="AI60:AI70" si="15">IF(AND($AA60="",AG60=""),"",$AA60-AG60)</f>
        <v>741.45000000000073</v>
      </c>
      <c r="AJ60" s="440">
        <f t="shared" ref="AJ60:AJ70" si="16">IFERROR(AA60/AA$20,0)</f>
        <v>13.206077127659576</v>
      </c>
      <c r="AK60" s="441">
        <f t="shared" ref="AK60:AK70" si="17">IFERROR(AD60/AD$20,0)</f>
        <v>7.4230611656086962</v>
      </c>
      <c r="AL60" s="442">
        <f t="shared" ref="AL60:AL70" si="18">IFERROR(AG60/AG$20,0)</f>
        <v>10.076228070175439</v>
      </c>
      <c r="AM60" s="443" t="str">
        <f t="shared" ref="AM60:AM70" si="19">+IFERROR(ROUND(($AB60-AE60)*100,2)&amp;" pts.",0)</f>
        <v>1.37 pts.</v>
      </c>
      <c r="AN60" s="444" t="str">
        <f t="shared" ref="AN60:AN70" si="20">+IFERROR(ROUND(($AB60-AH60)*100,2)&amp;" pts.",0)</f>
        <v>-5.04 pts.</v>
      </c>
      <c r="AO60" s="11"/>
    </row>
    <row r="61" spans="1:41" x14ac:dyDescent="0.35">
      <c r="A61" s="65" t="s">
        <v>12</v>
      </c>
      <c r="B61" s="66" t="s">
        <v>22</v>
      </c>
      <c r="C61" s="11"/>
      <c r="D61" s="11"/>
      <c r="E61" s="11"/>
      <c r="F61" s="11"/>
      <c r="G61" s="11"/>
      <c r="H61" s="88" t="s">
        <v>636</v>
      </c>
      <c r="I61" s="122" t="str">
        <f>IF(_epmOfflineCondition_,"T5",_xll.EVPRO($B$1,$H61,"STYLE"))</f>
        <v>T5</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IF(_epmOfflineCondition_,"Cost of Beverage Sales",IF(_xll.EVDES(H61,$B$1)="#NODATA","",_xll.EVDES(H61,$B$1)))</f>
        <v>Cost of Beverage Sales</v>
      </c>
      <c r="O61" s="445"/>
      <c r="P61" s="251"/>
      <c r="Q61" s="251"/>
      <c r="R61" s="251">
        <v>161.46</v>
      </c>
      <c r="S61" s="251"/>
      <c r="T61" s="251">
        <v>283.73</v>
      </c>
      <c r="U61" s="251">
        <v>31.98</v>
      </c>
      <c r="V61" s="251"/>
      <c r="W61" s="251">
        <v>134.55000000000001</v>
      </c>
      <c r="X61" s="251"/>
      <c r="Y61" s="251">
        <v>128.69999999999999</v>
      </c>
      <c r="Z61" s="251"/>
      <c r="AA61" s="251">
        <f t="shared" si="13"/>
        <v>740.42000000000007</v>
      </c>
      <c r="AB61" s="446">
        <f>IF(_epmOfflineCondition_,0.195001316829076,IF(AA61=0,"",IFERROR(AA61/_xll.EVGTS($B$1,1,_xll.EVPRO($B$1,$H61,"COSBASIS"),$B$3,$B$5,$B$6,$B$7,$B$9,AA$16,AA$17,AA$11),"")))</f>
        <v>0.19500131682907601</v>
      </c>
      <c r="AC61" s="437"/>
      <c r="AD61" s="251">
        <v>12687.91</v>
      </c>
      <c r="AE61" s="446">
        <f>IF(_epmOfflineCondition_,0.176666684947793,IF(AD61=0,"",IFERROR(AD61/_xll.EVGTS($B$1,1,_xll.EVPRO($B$1,$H61,"COSBASIS"),$B$3,$B$5,$B$6,$B$7,$B$9,AD$16,AD$17,AD$18),"")))</f>
        <v>0.176666684947793</v>
      </c>
      <c r="AF61" s="447">
        <f t="shared" si="14"/>
        <v>-11947.49</v>
      </c>
      <c r="AG61" s="251">
        <v>610.94000000000005</v>
      </c>
      <c r="AH61" s="446">
        <f>IF(_epmOfflineCondition_,0.120098525847309,IF(AG61=0,"",IFERROR(AG61/_xll.EVGTS($B$1,1,_xll.EVPRO($B$1,$H61,"COSBASIS"),$B$3,$B$5,$B$6,$B$7,$B$9,AG$16,AG$17,AG$18),"")))</f>
        <v>0.120098525847309</v>
      </c>
      <c r="AI61" s="448">
        <f t="shared" si="15"/>
        <v>129.48000000000002</v>
      </c>
      <c r="AJ61" s="449">
        <f t="shared" si="16"/>
        <v>0.98460106382978729</v>
      </c>
      <c r="AK61" s="450">
        <f t="shared" si="17"/>
        <v>6.0526515614870746</v>
      </c>
      <c r="AL61" s="451">
        <f t="shared" si="18"/>
        <v>0.66989035087719306</v>
      </c>
      <c r="AM61" s="452" t="str">
        <f t="shared" si="19"/>
        <v>1.83 pts.</v>
      </c>
      <c r="AN61" s="453" t="str">
        <f t="shared" si="20"/>
        <v>7.49 pts.</v>
      </c>
      <c r="AO61" s="11"/>
    </row>
    <row r="62" spans="1:41" x14ac:dyDescent="0.35">
      <c r="A62" s="65" t="s">
        <v>13</v>
      </c>
      <c r="B62" s="66" t="str">
        <f>"DEP(COS_FB) AND "&amp;$E$6&amp;"=Y,COS_FB,COSOTH,DEP(COS_OTHR) AND "&amp;$E$6&amp;"=Y,COS_OTHR,500001"</f>
        <v>DEP(COS_FB) AND D2148=Y,COS_FB,COSOTH,DEP(COS_OTHR) AND D2148=Y,COS_OTHR,500001</v>
      </c>
      <c r="C62" s="11"/>
      <c r="D62" s="11"/>
      <c r="E62" s="11"/>
      <c r="F62" s="11"/>
      <c r="G62" s="11"/>
      <c r="H62" s="88" t="s">
        <v>286</v>
      </c>
      <c r="I62" s="188" t="str">
        <f>IF(_epmOfflineCondition_,"T4",_xll.EVPRO($B$1,$H62,"STYLE"))</f>
        <v>T4</v>
      </c>
      <c r="J62" s="188" t="str">
        <f>IF(_epmOfflineCondition_,"Y",_xll.EVPRO($B$1,$H62,"CALC"))</f>
        <v>Y</v>
      </c>
      <c r="K62" s="189" t="str">
        <f t="shared" si="12"/>
        <v/>
      </c>
      <c r="L62" s="190" t="str">
        <f>IF(_epmOfflineCondition_,"",_xll.EVPRO($B$1,H62,"JDEID"))</f>
        <v/>
      </c>
      <c r="M62" s="190" t="str">
        <f>IF(_epmOfflineCondition_,"",IF(AND(I62="N",J62="N"),_xll.EVPRO($B$1,H62,"PSFTID"),""))</f>
        <v/>
      </c>
      <c r="N62" s="190" t="str">
        <f>IF(_epmOfflineCondition_,"Total Cost of Food &amp; Beverage Sales",IF(_xll.EVDES(H62,$B$1)="#NODATA","",_xll.EVDES(H62,$B$1)))</f>
        <v>Total Cost of Food &amp; Beverage Sales</v>
      </c>
      <c r="O62" s="454"/>
      <c r="P62" s="225"/>
      <c r="Q62" s="225">
        <v>116</v>
      </c>
      <c r="R62" s="225">
        <v>2874.28</v>
      </c>
      <c r="S62" s="225">
        <v>317.68</v>
      </c>
      <c r="T62" s="225">
        <v>985.97</v>
      </c>
      <c r="U62" s="225">
        <v>37.21</v>
      </c>
      <c r="V62" s="225"/>
      <c r="W62" s="225">
        <v>1330.03</v>
      </c>
      <c r="X62" s="225">
        <v>1408.58</v>
      </c>
      <c r="Y62" s="225">
        <v>2827.94</v>
      </c>
      <c r="Z62" s="225">
        <v>773.7</v>
      </c>
      <c r="AA62" s="225">
        <f t="shared" si="13"/>
        <v>10671.390000000001</v>
      </c>
      <c r="AB62" s="226">
        <f>IF(_epmOfflineCondition_,0.212253190841881,IF(AA62=0,"",IFERROR(AA62/_xll.EVGTS($B$1,1,_xll.EVPRO($B$1,$H62,"COSBASIS"),$B$3,$B$5,$B$6,$B$7,$B$9,AA$16,AA$17,AA$11),"")))</f>
        <v>0.21225319084188099</v>
      </c>
      <c r="AC62" s="227"/>
      <c r="AD62" s="225">
        <v>28248.55</v>
      </c>
      <c r="AE62" s="226">
        <f>IF(_epmOfflineCondition_,0.188799990532668,IF(AD62=0,"",IFERROR(AD62/_xll.EVGTS($B$1,1,_xll.EVPRO($B$1,$H62,"COSBASIS"),$B$3,$B$5,$B$6,$B$7,$B$9,AD$16,AD$17,AD$18),"")))</f>
        <v>0.18879999053266799</v>
      </c>
      <c r="AF62" s="228">
        <f t="shared" si="14"/>
        <v>-17577.159999999996</v>
      </c>
      <c r="AG62" s="225">
        <v>9800.4599999999991</v>
      </c>
      <c r="AH62" s="226">
        <f>IF(_epmOfflineCondition_,0.245663429325573,IF(AG62=0,"",IFERROR(AG62/_xll.EVGTS($B$1,1,_xll.EVPRO($B$1,$H62,"COSBASIS"),$B$3,$B$5,$B$6,$B$7,$B$9,AG$16,AG$17,AG$18),"")))</f>
        <v>0.245663429325573</v>
      </c>
      <c r="AI62" s="455">
        <f t="shared" si="15"/>
        <v>870.93000000000211</v>
      </c>
      <c r="AJ62" s="229">
        <f t="shared" si="16"/>
        <v>14.190678191489363</v>
      </c>
      <c r="AK62" s="230">
        <f t="shared" si="17"/>
        <v>13.475712727095772</v>
      </c>
      <c r="AL62" s="232">
        <f t="shared" si="18"/>
        <v>10.74611842105263</v>
      </c>
      <c r="AM62" s="427" t="str">
        <f t="shared" si="19"/>
        <v>2.35 pts.</v>
      </c>
      <c r="AN62" s="456" t="str">
        <f t="shared" si="20"/>
        <v>-3.34 pts.</v>
      </c>
      <c r="AO62" s="11"/>
    </row>
    <row r="63" spans="1:41" x14ac:dyDescent="0.35">
      <c r="A63" s="65" t="s">
        <v>14</v>
      </c>
      <c r="B63" s="66"/>
      <c r="C63" s="11"/>
      <c r="D63" s="11"/>
      <c r="E63" s="11"/>
      <c r="F63" s="11"/>
      <c r="G63" s="11"/>
      <c r="H63" s="88" t="s">
        <v>287</v>
      </c>
      <c r="I63" s="188" t="str">
        <f>IF(_epmOfflineCondition_,"B1",_xll.EVPRO($B$1,$H63,"STYLE"))</f>
        <v>B1</v>
      </c>
      <c r="J63" s="188" t="str">
        <f>IF(_epmOfflineCondition_,"Y",_xll.EVPRO($B$1,$H63,"CALC"))</f>
        <v>Y</v>
      </c>
      <c r="K63" s="189" t="str">
        <f t="shared" si="12"/>
        <v/>
      </c>
      <c r="L63" s="190" t="str">
        <f>IF(_epmOfflineCondition_,"",_xll.EVPRO($B$1,H63,"JDEID"))</f>
        <v/>
      </c>
      <c r="M63" s="190" t="str">
        <f>IF(_epmOfflineCondition_,"",IF(AND(I63="N",J63="N"),_xll.EVPRO($B$1,H63,"PSFTID"),""))</f>
        <v/>
      </c>
      <c r="N63" s="190" t="str">
        <f>IF(_epmOfflineCondition_,"Cost of Other Revenue",IF(_xll.EVDES(H63,$B$1)="#NODATA","",_xll.EVDES(H63,$B$1)))</f>
        <v>Cost of Other Revenue</v>
      </c>
      <c r="O63" s="568"/>
      <c r="P63" s="210"/>
      <c r="Q63" s="210"/>
      <c r="R63" s="210"/>
      <c r="S63" s="210"/>
      <c r="T63" s="210"/>
      <c r="U63" s="210"/>
      <c r="V63" s="210"/>
      <c r="W63" s="210"/>
      <c r="X63" s="210"/>
      <c r="Y63" s="210"/>
      <c r="Z63" s="210"/>
      <c r="AA63" s="252" t="str">
        <f t="shared" si="13"/>
        <v/>
      </c>
      <c r="AB63" s="211" t="str">
        <f>IF(_epmOfflineCondition_,"",IF(AA63=0,"",IFERROR(AA63/_xll.EVGTS($B$1,1,_xll.EVPRO($B$1,$H63,"COSBASIS"),$B$3,$B$5,$B$6,$B$7,$B$9,AA$16,AA$17,AA$11),"")))</f>
        <v/>
      </c>
      <c r="AC63" s="459"/>
      <c r="AD63" s="210"/>
      <c r="AE63" s="211" t="str">
        <f>IF(_epmOfflineCondition_,"",IF(AD63=0,"",IFERROR(AD63/_xll.EVGTS($B$1,1,_xll.EVPRO($B$1,$H63,"COSBASIS"),$B$3,$B$5,$B$6,$B$7,$B$9,AD$16,AD$17,AD$18),"")))</f>
        <v/>
      </c>
      <c r="AF63" s="253" t="str">
        <f t="shared" si="14"/>
        <v/>
      </c>
      <c r="AG63" s="210"/>
      <c r="AH63" s="211" t="str">
        <f>IF(_epmOfflineCondition_,"",IF(AG63=0,"",IFERROR(AG63/_xll.EVGTS($B$1,1,_xll.EVPRO($B$1,$H63,"COSBASIS"),$B$3,$B$5,$B$6,$B$7,$B$9,AG$16,AG$17,AG$18),"")))</f>
        <v/>
      </c>
      <c r="AI63" s="569" t="str">
        <f t="shared" si="15"/>
        <v/>
      </c>
      <c r="AJ63" s="234">
        <f t="shared" si="16"/>
        <v>0</v>
      </c>
      <c r="AK63" s="235">
        <f t="shared" si="17"/>
        <v>0</v>
      </c>
      <c r="AL63" s="237">
        <f t="shared" si="18"/>
        <v>0</v>
      </c>
      <c r="AM63" s="429">
        <f t="shared" si="19"/>
        <v>0</v>
      </c>
      <c r="AN63" s="462">
        <f t="shared" si="20"/>
        <v>0</v>
      </c>
      <c r="AO63" s="11"/>
    </row>
    <row r="64" spans="1:41" x14ac:dyDescent="0.35">
      <c r="A64" s="65" t="s">
        <v>15</v>
      </c>
      <c r="B64" s="66"/>
      <c r="C64" s="11"/>
      <c r="D64" s="11"/>
      <c r="E64" s="11"/>
      <c r="F64" s="11"/>
      <c r="G64" s="11"/>
      <c r="H64" s="88" t="s">
        <v>637</v>
      </c>
      <c r="I64" s="122" t="str">
        <f>IF(_epmOfflineCondition_,"N",_xll.EVPRO($B$1,$H64,"STYLE"))</f>
        <v>N</v>
      </c>
      <c r="J64" s="122" t="str">
        <f>IF(_epmOfflineCondition_,"N",_xll.EVPRO($B$1,$H64,"CALC"))</f>
        <v>N</v>
      </c>
      <c r="K64" s="179" t="str">
        <f t="shared" si="12"/>
        <v/>
      </c>
      <c r="L64" s="90" t="str">
        <f>IF(_epmOfflineCondition_,"568300",_xll.EVPRO($B$1,H64,"JDEID"))</f>
        <v>568300</v>
      </c>
      <c r="M64" s="90" t="str">
        <f>IF(_epmOfflineCondition_,"306005",IF(AND(I64="N",J64="N"),_xll.EVPRO($B$1,H64,"PSFTID"),""))</f>
        <v>306005</v>
      </c>
      <c r="N64" s="90" t="str">
        <f>IF(_epmOfflineCondition_,"A/V Cost of Sales",IF(_xll.EVDES(H64,$B$1)="#NODATA","",_xll.EVDES(H64,$B$1)))</f>
        <v>A/V Cost of Sales</v>
      </c>
      <c r="O64" s="563"/>
      <c r="P64" s="564"/>
      <c r="Q64" s="564"/>
      <c r="R64" s="564"/>
      <c r="S64" s="564"/>
      <c r="T64" s="564"/>
      <c r="U64" s="564"/>
      <c r="V64" s="564"/>
      <c r="W64" s="564"/>
      <c r="X64" s="564"/>
      <c r="Y64" s="564"/>
      <c r="Z64" s="564"/>
      <c r="AA64" s="250">
        <f t="shared" si="13"/>
        <v>0</v>
      </c>
      <c r="AB64" s="565" t="str">
        <f>IF(_epmOfflineCondition_,"",IF(AA64=0,"",IFERROR(AA64/_xll.EVGTS($B$1,1,_xll.EVPRO($B$1,$H64,"COSBASIS"),$B$3,$B$5,$B$6,$B$7,$B$9,AA$16,AA$17,AA$11),"")))</f>
        <v/>
      </c>
      <c r="AC64" s="437"/>
      <c r="AD64" s="564"/>
      <c r="AE64" s="565" t="str">
        <f>IF(_epmOfflineCondition_,"",IF(AD64=0,"",IFERROR(AD64/_xll.EVGTS($B$1,1,_xll.EVPRO($B$1,$H64,"COSBASIS"),$B$3,$B$5,$B$6,$B$7,$B$9,AD$16,AD$17,AD$18),"")))</f>
        <v/>
      </c>
      <c r="AF64" s="566">
        <f t="shared" si="14"/>
        <v>0</v>
      </c>
      <c r="AG64" s="564">
        <v>471</v>
      </c>
      <c r="AH64" s="565">
        <f>IF(_epmOfflineCondition_,0.0681253100714086,IF(AG64=0,"",IFERROR(AG64/_xll.EVGTS($B$1,1,_xll.EVPRO($B$1,$H64,"COSBASIS"),$B$3,$B$5,$B$6,$B$7,$B$9,AG$16,AG$17,AG$18),"")))</f>
        <v>6.8125310071408596E-2</v>
      </c>
      <c r="AI64" s="567">
        <f t="shared" si="15"/>
        <v>-471</v>
      </c>
      <c r="AJ64" s="440">
        <f t="shared" si="16"/>
        <v>0</v>
      </c>
      <c r="AK64" s="441">
        <f t="shared" si="17"/>
        <v>0</v>
      </c>
      <c r="AL64" s="442">
        <f t="shared" si="18"/>
        <v>0.51644736842105265</v>
      </c>
      <c r="AM64" s="443">
        <f t="shared" si="19"/>
        <v>0</v>
      </c>
      <c r="AN64" s="444">
        <f t="shared" si="20"/>
        <v>0</v>
      </c>
      <c r="AO64" s="11"/>
    </row>
    <row r="65" spans="1:41" x14ac:dyDescent="0.35">
      <c r="A65" s="65" t="s">
        <v>16</v>
      </c>
      <c r="B65" s="66"/>
      <c r="C65" s="11"/>
      <c r="D65" s="11"/>
      <c r="E65" s="11"/>
      <c r="F65" s="11"/>
      <c r="G65" s="11"/>
      <c r="H65" s="88" t="s">
        <v>638</v>
      </c>
      <c r="I65" s="122" t="str">
        <f>IF(_epmOfflineCondition_,"N",_xll.EVPRO($B$1,$H65,"STYLE"))</f>
        <v>N</v>
      </c>
      <c r="J65" s="122" t="str">
        <f>IF(_epmOfflineCondition_,"N",_xll.EVPRO($B$1,$H65,"CALC"))</f>
        <v>N</v>
      </c>
      <c r="K65" s="179" t="str">
        <f t="shared" si="12"/>
        <v/>
      </c>
      <c r="L65" s="90" t="str">
        <f>IF(_epmOfflineCondition_,"568350",_xll.EVPRO($B$1,H65,"JDEID"))</f>
        <v>568350</v>
      </c>
      <c r="M65" s="90" t="str">
        <f>IF(_epmOfflineCondition_,"306099",IF(AND(I65="N",J65="N"),_xll.EVPRO($B$1,H65,"PSFTID"),""))</f>
        <v>306099</v>
      </c>
      <c r="N65" s="90" t="str">
        <f>IF(_epmOfflineCondition_,"Public Room Rental",IF(_xll.EVDES(H65,$B$1)="#NODATA","",_xll.EVDES(H65,$B$1)))</f>
        <v>Public Room Rental</v>
      </c>
      <c r="O65" s="563"/>
      <c r="P65" s="564"/>
      <c r="Q65" s="564"/>
      <c r="R65" s="564"/>
      <c r="S65" s="564"/>
      <c r="T65" s="564"/>
      <c r="U65" s="564"/>
      <c r="V65" s="564"/>
      <c r="W65" s="564"/>
      <c r="X65" s="564"/>
      <c r="Y65" s="564"/>
      <c r="Z65" s="564"/>
      <c r="AA65" s="250">
        <f t="shared" si="13"/>
        <v>0</v>
      </c>
      <c r="AB65" s="565" t="str">
        <f>IF(_epmOfflineCondition_,"",IF(AA65=0,"",IFERROR(AA65/_xll.EVGTS($B$1,1,_xll.EVPRO($B$1,$H65,"COSBASIS"),$B$3,$B$5,$B$6,$B$7,$B$9,AA$16,AA$17,AA$11),"")))</f>
        <v/>
      </c>
      <c r="AC65" s="437"/>
      <c r="AD65" s="564"/>
      <c r="AE65" s="565" t="str">
        <f>IF(_epmOfflineCondition_,"",IF(AD65=0,"",IFERROR(AD65/_xll.EVGTS($B$1,1,_xll.EVPRO($B$1,$H65,"COSBASIS"),$B$3,$B$5,$B$6,$B$7,$B$9,AD$16,AD$17,AD$18),"")))</f>
        <v/>
      </c>
      <c r="AF65" s="566">
        <f t="shared" si="14"/>
        <v>0</v>
      </c>
      <c r="AG65" s="564"/>
      <c r="AH65" s="565" t="str">
        <f>IF(_epmOfflineCondition_,"",IF(AG65=0,"",IFERROR(AG65/_xll.EVGTS($B$1,1,_xll.EVPRO($B$1,$H65,"COSBASIS"),$B$3,$B$5,$B$6,$B$7,$B$9,AG$16,AG$17,AG$18),"")))</f>
        <v/>
      </c>
      <c r="AI65" s="567">
        <f t="shared" si="15"/>
        <v>0</v>
      </c>
      <c r="AJ65" s="440">
        <f t="shared" si="16"/>
        <v>0</v>
      </c>
      <c r="AK65" s="441">
        <f t="shared" si="17"/>
        <v>0</v>
      </c>
      <c r="AL65" s="442">
        <f t="shared" si="18"/>
        <v>0</v>
      </c>
      <c r="AM65" s="443">
        <f t="shared" si="19"/>
        <v>0</v>
      </c>
      <c r="AN65" s="444">
        <f t="shared" si="20"/>
        <v>0</v>
      </c>
      <c r="AO65" s="11"/>
    </row>
    <row r="66" spans="1:41" x14ac:dyDescent="0.35">
      <c r="A66" s="65" t="s">
        <v>17</v>
      </c>
      <c r="B66" s="66"/>
      <c r="C66" s="11"/>
      <c r="D66" s="11"/>
      <c r="E66" s="11"/>
      <c r="F66" s="11"/>
      <c r="G66" s="11"/>
      <c r="H66" s="88" t="s">
        <v>639</v>
      </c>
      <c r="I66" s="122" t="str">
        <f>IF(_epmOfflineCondition_,"T5",_xll.EVPRO($B$1,$H66,"STYLE"))</f>
        <v>T5</v>
      </c>
      <c r="J66" s="122" t="str">
        <f>IF(_epmOfflineCondition_,"Y",_xll.EVPRO($B$1,$H66,"CALC"))</f>
        <v>Y</v>
      </c>
      <c r="K66" s="179" t="str">
        <f t="shared" si="12"/>
        <v>&gt;</v>
      </c>
      <c r="L66" s="90" t="str">
        <f>IF(_epmOfflineCondition_,"",_xll.EVPRO($B$1,H66,"JDEID"))</f>
        <v/>
      </c>
      <c r="M66" s="90" t="str">
        <f>IF(_epmOfflineCondition_,"",IF(AND(I66="N",J66="N"),_xll.EVPRO($B$1,H66,"PSFTID"),""))</f>
        <v/>
      </c>
      <c r="N66" s="90" t="str">
        <f>IF(_epmOfflineCondition_,"Miscellaneous Cost",IF(_xll.EVDES(H66,$B$1)="#NODATA","",_xll.EVDES(H66,$B$1)))</f>
        <v>Miscellaneous Cost</v>
      </c>
      <c r="O66" s="445"/>
      <c r="P66" s="251"/>
      <c r="Q66" s="251"/>
      <c r="R66" s="251"/>
      <c r="S66" s="251"/>
      <c r="T66" s="251"/>
      <c r="U66" s="251"/>
      <c r="V66" s="251"/>
      <c r="W66" s="251"/>
      <c r="X66" s="251"/>
      <c r="Y66" s="251"/>
      <c r="Z66" s="251"/>
      <c r="AA66" s="251">
        <f t="shared" si="13"/>
        <v>0</v>
      </c>
      <c r="AB66" s="446" t="str">
        <f>IF(_epmOfflineCondition_,"",IF(AA66=0,"",IFERROR(AA66/_xll.EVGTS($B$1,1,_xll.EVPRO($B$1,$H66,"COSBASIS"),$B$3,$B$5,$B$6,$B$7,$B$9,AA$16,AA$17,AA$11),"")))</f>
        <v/>
      </c>
      <c r="AC66" s="437"/>
      <c r="AD66" s="251"/>
      <c r="AE66" s="446" t="str">
        <f>IF(_epmOfflineCondition_,"",IF(AD66=0,"",IFERROR(AD66/_xll.EVGTS($B$1,1,_xll.EVPRO($B$1,$H66,"COSBASIS"),$B$3,$B$5,$B$6,$B$7,$B$9,AD$16,AD$17,AD$18),"")))</f>
        <v/>
      </c>
      <c r="AF66" s="447">
        <f t="shared" si="14"/>
        <v>0</v>
      </c>
      <c r="AG66" s="251"/>
      <c r="AH66" s="446" t="str">
        <f>IF(_epmOfflineCondition_,"",IF(AG66=0,"",IFERROR(AG66/_xll.EVGTS($B$1,1,_xll.EVPRO($B$1,$H66,"COSBASIS"),$B$3,$B$5,$B$6,$B$7,$B$9,AG$16,AG$17,AG$18),"")))</f>
        <v/>
      </c>
      <c r="AI66" s="448">
        <f t="shared" si="15"/>
        <v>0</v>
      </c>
      <c r="AJ66" s="449">
        <f t="shared" si="16"/>
        <v>0</v>
      </c>
      <c r="AK66" s="450">
        <f t="shared" si="17"/>
        <v>0</v>
      </c>
      <c r="AL66" s="451">
        <f t="shared" si="18"/>
        <v>0</v>
      </c>
      <c r="AM66" s="452">
        <f t="shared" si="19"/>
        <v>0</v>
      </c>
      <c r="AN66" s="453">
        <f t="shared" si="20"/>
        <v>0</v>
      </c>
      <c r="AO66" s="11"/>
    </row>
    <row r="67" spans="1:41" x14ac:dyDescent="0.35">
      <c r="A67" s="11"/>
      <c r="B67" s="11"/>
      <c r="C67" s="11"/>
      <c r="D67" s="11"/>
      <c r="E67" s="11"/>
      <c r="F67" s="11"/>
      <c r="G67" s="11"/>
      <c r="H67" s="88" t="s">
        <v>288</v>
      </c>
      <c r="I67" s="188" t="str">
        <f>IF(_epmOfflineCondition_,"T4",_xll.EVPRO($B$1,$H67,"STYLE"))</f>
        <v>T4</v>
      </c>
      <c r="J67" s="188" t="str">
        <f>IF(_epmOfflineCondition_,"Y",_xll.EVPRO($B$1,$H67,"CALC"))</f>
        <v>Y</v>
      </c>
      <c r="K67" s="189" t="str">
        <f t="shared" si="12"/>
        <v/>
      </c>
      <c r="L67" s="190" t="str">
        <f>IF(_epmOfflineCondition_,"",_xll.EVPRO($B$1,H67,"JDEID"))</f>
        <v/>
      </c>
      <c r="M67" s="190" t="str">
        <f>IF(_epmOfflineCondition_,"",IF(AND(I67="N",J67="N"),_xll.EVPRO($B$1,H67,"PSFTID"),""))</f>
        <v/>
      </c>
      <c r="N67" s="190" t="str">
        <f>IF(_epmOfflineCondition_,"Total Cost of Other Revenue",IF(_xll.EVDES(H67,$B$1)="#NODATA","",_xll.EVDES(H67,$B$1)))</f>
        <v>Total Cost of Other Revenue</v>
      </c>
      <c r="O67" s="463"/>
      <c r="P67" s="238"/>
      <c r="Q67" s="238"/>
      <c r="R67" s="238"/>
      <c r="S67" s="238"/>
      <c r="T67" s="238"/>
      <c r="U67" s="238"/>
      <c r="V67" s="238"/>
      <c r="W67" s="238"/>
      <c r="X67" s="238"/>
      <c r="Y67" s="238"/>
      <c r="Z67" s="238"/>
      <c r="AA67" s="238">
        <f t="shared" si="13"/>
        <v>0</v>
      </c>
      <c r="AB67" s="239" t="str">
        <f>IF(_epmOfflineCondition_,"",IF(AA67=0,"",IFERROR(AA67/_xll.EVGTS($B$1,1,_xll.EVPRO($B$1,$H67,"COSBASIS"),$B$3,$B$5,$B$6,$B$7,$B$9,AA$16,AA$17,AA$11),"")))</f>
        <v/>
      </c>
      <c r="AC67" s="240"/>
      <c r="AD67" s="238"/>
      <c r="AE67" s="239" t="str">
        <f>IF(_epmOfflineCondition_,"",IF(AD67=0,"",IFERROR(AD67/_xll.EVGTS($B$1,1,_xll.EVPRO($B$1,$H67,"COSBASIS"),$B$3,$B$5,$B$6,$B$7,$B$9,AD$16,AD$17,AD$18),"")))</f>
        <v/>
      </c>
      <c r="AF67" s="241">
        <f t="shared" si="14"/>
        <v>0</v>
      </c>
      <c r="AG67" s="238">
        <v>471</v>
      </c>
      <c r="AH67" s="239">
        <f>IF(_epmOfflineCondition_,0.0120692637364749,IF(AG67=0,"",IFERROR(AG67/_xll.EVGTS($B$1,1,_xll.EVPRO($B$1,$H67,"COSBASIS"),$B$3,$B$5,$B$6,$B$7,$B$9,AG$16,AG$17,AG$18),"")))</f>
        <v>1.20692637364749E-2</v>
      </c>
      <c r="AI67" s="464">
        <f t="shared" si="15"/>
        <v>-471</v>
      </c>
      <c r="AJ67" s="242">
        <f t="shared" si="16"/>
        <v>0</v>
      </c>
      <c r="AK67" s="243">
        <f t="shared" si="17"/>
        <v>0</v>
      </c>
      <c r="AL67" s="245">
        <f t="shared" si="18"/>
        <v>0.51644736842105265</v>
      </c>
      <c r="AM67" s="431">
        <f t="shared" si="19"/>
        <v>0</v>
      </c>
      <c r="AN67" s="465">
        <f t="shared" si="20"/>
        <v>0</v>
      </c>
      <c r="AO67" s="11"/>
    </row>
    <row r="68" spans="1:41" x14ac:dyDescent="0.35">
      <c r="A68" s="97" t="s">
        <v>92</v>
      </c>
      <c r="B68" s="98" t="s">
        <v>93</v>
      </c>
      <c r="C68" s="98" t="s">
        <v>94</v>
      </c>
      <c r="D68" s="98" t="s">
        <v>95</v>
      </c>
      <c r="E68" s="98" t="s">
        <v>96</v>
      </c>
      <c r="F68" s="99" t="s">
        <v>97</v>
      </c>
      <c r="G68" s="11"/>
      <c r="H68" s="88" t="s">
        <v>289</v>
      </c>
      <c r="I68" s="188" t="str">
        <f>IF(_epmOfflineCondition_,"T3",_xll.EVPRO($B$1,$H68,"STYLE"))</f>
        <v>T3</v>
      </c>
      <c r="J68" s="188" t="str">
        <f>IF(_epmOfflineCondition_,"Y",_xll.EVPRO($B$1,$H68,"CALC"))</f>
        <v>Y</v>
      </c>
      <c r="K68" s="189" t="str">
        <f t="shared" si="12"/>
        <v/>
      </c>
      <c r="L68" s="190" t="str">
        <f>IF(_epmOfflineCondition_,"500001",_xll.EVPRO($B$1,H68,"JDEID"))</f>
        <v>500001</v>
      </c>
      <c r="M68" s="190" t="str">
        <f>IF(_epmOfflineCondition_,"",IF(AND(I68="N",J68="N"),_xll.EVPRO($B$1,H68,"PSFTID"),""))</f>
        <v/>
      </c>
      <c r="N68" s="190" t="str">
        <f>IF(_epmOfflineCondition_,"Total Cost of Sales",IF(_xll.EVDES(H68,$B$1)="#NODATA","",_xll.EVDES(H68,$B$1)))</f>
        <v>Total Cost of Sales</v>
      </c>
      <c r="O68" s="454"/>
      <c r="P68" s="225"/>
      <c r="Q68" s="225">
        <v>116</v>
      </c>
      <c r="R68" s="225">
        <v>2874.28</v>
      </c>
      <c r="S68" s="225">
        <v>317.68</v>
      </c>
      <c r="T68" s="225">
        <v>985.97</v>
      </c>
      <c r="U68" s="225">
        <v>37.21</v>
      </c>
      <c r="V68" s="225"/>
      <c r="W68" s="225">
        <v>1330.03</v>
      </c>
      <c r="X68" s="225">
        <v>1408.58</v>
      </c>
      <c r="Y68" s="225">
        <v>2827.94</v>
      </c>
      <c r="Z68" s="225">
        <v>773.7</v>
      </c>
      <c r="AA68" s="225">
        <f t="shared" si="13"/>
        <v>10671.390000000001</v>
      </c>
      <c r="AB68" s="226">
        <f>IF(_epmOfflineCondition_,0.127224256776879,IF(AA68=0,"",IFERROR(AA68/_xll.EVGTS($B$1,1,_xll.EVPRO($B$1,$H68,"COSBASIS"),$B$3,$B$5,$B$6,$B$7,$B$9,AA$16,AA$17,AA$11),"")))</f>
        <v>0.12722425677687901</v>
      </c>
      <c r="AC68" s="227"/>
      <c r="AD68" s="225">
        <v>28248.55</v>
      </c>
      <c r="AE68" s="226">
        <f>IF(_epmOfflineCondition_,0.125807262614429,IF(AD68=0,"",IFERROR(AD68/_xll.EVGTS($B$1,1,_xll.EVPRO($B$1,$H68,"COSBASIS"),$B$3,$B$5,$B$6,$B$7,$B$9,AD$16,AD$17,AD$18),"")))</f>
        <v>0.12580726261442901</v>
      </c>
      <c r="AF68" s="228">
        <f t="shared" si="14"/>
        <v>-17577.159999999996</v>
      </c>
      <c r="AG68" s="225">
        <v>10271.459999999999</v>
      </c>
      <c r="AH68" s="226">
        <f>IF(_epmOfflineCondition_,0.130152587602922,IF(AG68=0,"",IFERROR(AG68/_xll.EVGTS($B$1,1,_xll.EVPRO($B$1,$H68,"COSBASIS"),$B$3,$B$5,$B$6,$B$7,$B$9,AG$16,AG$17,AG$18),"")))</f>
        <v>0.130152587602922</v>
      </c>
      <c r="AI68" s="455">
        <f t="shared" si="15"/>
        <v>399.93000000000211</v>
      </c>
      <c r="AJ68" s="229">
        <f t="shared" si="16"/>
        <v>14.190678191489363</v>
      </c>
      <c r="AK68" s="230">
        <f t="shared" si="17"/>
        <v>13.475712727095772</v>
      </c>
      <c r="AL68" s="232">
        <f t="shared" si="18"/>
        <v>11.262565789473683</v>
      </c>
      <c r="AM68" s="427" t="str">
        <f t="shared" si="19"/>
        <v>0.14 pts.</v>
      </c>
      <c r="AN68" s="456" t="str">
        <f t="shared" si="20"/>
        <v>-0.29 pts.</v>
      </c>
      <c r="AO68" s="11"/>
    </row>
    <row r="69" spans="1:41" x14ac:dyDescent="0.35">
      <c r="A69" s="11"/>
      <c r="B69" s="11"/>
      <c r="C69" s="11"/>
      <c r="D69" s="11"/>
      <c r="E69" s="11"/>
      <c r="F69" s="11"/>
      <c r="G69" s="11"/>
      <c r="H69" s="185" t="s">
        <v>175</v>
      </c>
      <c r="I69" s="89" t="str">
        <f>IF(_epmOfflineCondition_,"B1",_xll.EVPRO($B$1,$H69,"STYLE"))</f>
        <v>B1</v>
      </c>
      <c r="J69" s="89" t="str">
        <f>IF(_epmOfflineCondition_,"Y",_xll.EVPRO($B$1,$H69,"CALC"))</f>
        <v>Y</v>
      </c>
      <c r="K69" s="265" t="str">
        <f t="shared" si="12"/>
        <v/>
      </c>
      <c r="L69" s="265"/>
      <c r="M69" s="265"/>
      <c r="N69" s="106" t="str">
        <f>IF(_epmOfflineCondition_,"BLANKROW",IF(_xll.EVDES(H69,$B$1)="#NODATA","",_xll.EVDES(H69,$B$1)))</f>
        <v>BLANKROW</v>
      </c>
      <c r="O69" s="205"/>
      <c r="P69" s="205"/>
      <c r="Q69" s="205"/>
      <c r="R69" s="205"/>
      <c r="S69" s="205"/>
      <c r="T69" s="205"/>
      <c r="U69" s="205"/>
      <c r="V69" s="205"/>
      <c r="W69" s="205"/>
      <c r="X69" s="205"/>
      <c r="Y69" s="205"/>
      <c r="Z69" s="205"/>
      <c r="AA69" s="205"/>
      <c r="AB69" s="206" t="str">
        <f>IF(_epmOfflineCondition_,"",IF(O69=0,"",IFERROR(O69/_xll.EVGTS($B$1,1,INDEX(#REF!,MATCH($H69,#REF!,0)),$B$3,$B$5,$B$6,$B$7,$B$9,O$16,O$17,O$18),"")))</f>
        <v/>
      </c>
      <c r="AC69" s="11"/>
      <c r="AD69" s="205"/>
      <c r="AE69" s="206" t="str">
        <f>IF(_epmOfflineCondition_,"",IF(AD69=0,"",IFERROR(AD69/_xll.EVGTS($B$1,1,INDEX(#REF!,MATCH($H69,#REF!,0)),$B$3,$B$5,$B$6,$B$7,$B$9,AD$16,AD$17,AD$18),"")))</f>
        <v/>
      </c>
      <c r="AF69" s="207" t="str">
        <f t="shared" si="14"/>
        <v/>
      </c>
      <c r="AG69" s="205"/>
      <c r="AH69" s="206" t="str">
        <f>IF(_epmOfflineCondition_,"",IF(AG69=0,"",IFERROR(AG69/_xll.EVGTS($B$1,1,INDEX(#REF!,MATCH($H69,#REF!,0)),$B$3,$B$5,$B$6,$B$7,$B$9,AG$16,AG$17,AG$18),"")))</f>
        <v/>
      </c>
      <c r="AI69" s="207" t="str">
        <f t="shared" si="15"/>
        <v/>
      </c>
      <c r="AJ69" s="523">
        <f t="shared" si="16"/>
        <v>0</v>
      </c>
      <c r="AK69" s="524">
        <f t="shared" si="17"/>
        <v>0</v>
      </c>
      <c r="AL69" s="525">
        <f t="shared" si="18"/>
        <v>0</v>
      </c>
      <c r="AM69" s="526">
        <f t="shared" si="19"/>
        <v>0</v>
      </c>
      <c r="AN69" s="527">
        <f t="shared" si="20"/>
        <v>0</v>
      </c>
      <c r="AO69" s="11"/>
    </row>
    <row r="70" spans="1:41" x14ac:dyDescent="0.35">
      <c r="A70" s="11" t="s">
        <v>209</v>
      </c>
      <c r="B70" s="11" t="s">
        <v>21</v>
      </c>
      <c r="C70" s="395"/>
      <c r="D70" s="11" t="s">
        <v>590</v>
      </c>
      <c r="E70" s="11"/>
      <c r="F70" s="11" t="s">
        <v>99</v>
      </c>
      <c r="G70" s="11"/>
      <c r="H70" s="185" t="s">
        <v>292</v>
      </c>
      <c r="I70" s="89" t="str">
        <f>IF(_epmOfflineCondition_,"T3",_xll.EVPRO($B$1,$H70,"STYLE"))</f>
        <v>T3</v>
      </c>
      <c r="J70" s="89" t="str">
        <f>IF(_epmOfflineCondition_,"Y",_xll.EVPRO($B$1,$H70,"CALC"))</f>
        <v>Y</v>
      </c>
      <c r="K70" s="265" t="str">
        <f t="shared" si="12"/>
        <v/>
      </c>
      <c r="L70" s="265"/>
      <c r="M70" s="265"/>
      <c r="N70" s="106" t="str">
        <f>IF(_epmOfflineCondition_,"Gross Profit",IF(_xll.EVDES(H70,$B$1)="#NODATA","",_xll.EVDES(H70,$B$1)))</f>
        <v>Gross Profit</v>
      </c>
      <c r="O70" s="123">
        <f t="shared" ref="O70:Z70" si="21">SUMIF($H$35:$H$68,"400000",O35:O68)-SUMIF($H$35:$H$68,"500001",O35:O68)</f>
        <v>0</v>
      </c>
      <c r="P70" s="123">
        <f t="shared" si="21"/>
        <v>500</v>
      </c>
      <c r="Q70" s="123">
        <f t="shared" si="21"/>
        <v>2011.1</v>
      </c>
      <c r="R70" s="123">
        <f t="shared" si="21"/>
        <v>15070.819999999998</v>
      </c>
      <c r="S70" s="123">
        <f t="shared" si="21"/>
        <v>2036.72</v>
      </c>
      <c r="T70" s="123">
        <f t="shared" si="21"/>
        <v>6188.33</v>
      </c>
      <c r="U70" s="123">
        <f t="shared" si="21"/>
        <v>2786.81</v>
      </c>
      <c r="V70" s="123">
        <f t="shared" si="21"/>
        <v>0</v>
      </c>
      <c r="W70" s="123">
        <f t="shared" si="21"/>
        <v>8765.17</v>
      </c>
      <c r="X70" s="123">
        <f t="shared" si="21"/>
        <v>7156.1200000000008</v>
      </c>
      <c r="Y70" s="123">
        <f t="shared" si="21"/>
        <v>17433.560000000001</v>
      </c>
      <c r="Z70" s="123">
        <f t="shared" si="21"/>
        <v>11258.56</v>
      </c>
      <c r="AA70" s="123">
        <f>IF($I70="B1","",SUM(O70:Z70))</f>
        <v>73207.19</v>
      </c>
      <c r="AB70" s="192" t="str">
        <f>IF(O70=0,"",IFERROR(O70/O$19,""))</f>
        <v/>
      </c>
      <c r="AC70" s="11"/>
      <c r="AD70" s="123">
        <f>SUMIF($H$35:$H$68,"400000",AD35:AD68)-SUMIF($H$35:$H$68,"500001",AD35:AD68)</f>
        <v>196289.758941476</v>
      </c>
      <c r="AE70" s="192">
        <f>IF(AD70=0,"",IFERROR(AD70/AD$19,""))</f>
        <v>0.87419273738557135</v>
      </c>
      <c r="AF70" s="125">
        <f t="shared" si="14"/>
        <v>-123082.568941476</v>
      </c>
      <c r="AG70" s="123">
        <f>SUMIF($H$35:$H$68,"400000",AG35:AG68)-SUMIF($H$35:$H$68,"500001",AG35:AG68)</f>
        <v>68647.140000000014</v>
      </c>
      <c r="AH70" s="192">
        <f>IF(AG70=0,"",IFERROR(AG70/AG$19,""))</f>
        <v>0.86984741239707764</v>
      </c>
      <c r="AI70" s="125">
        <f t="shared" si="15"/>
        <v>4560.0499999999884</v>
      </c>
      <c r="AJ70" s="388">
        <f t="shared" si="16"/>
        <v>97.349986702127666</v>
      </c>
      <c r="AK70" s="389">
        <f t="shared" si="17"/>
        <v>93.638236396778211</v>
      </c>
      <c r="AL70" s="390">
        <f t="shared" si="18"/>
        <v>75.270986842105273</v>
      </c>
      <c r="AM70" s="391">
        <f t="shared" si="19"/>
        <v>0</v>
      </c>
      <c r="AN70" s="544">
        <f t="shared" si="20"/>
        <v>0</v>
      </c>
      <c r="AO70" s="11"/>
    </row>
    <row r="71" spans="1:41" x14ac:dyDescent="0.35">
      <c r="A71" s="11" t="s">
        <v>105</v>
      </c>
      <c r="B71" s="11"/>
      <c r="C71" s="104" t="s">
        <v>101</v>
      </c>
      <c r="D71" s="11" t="s">
        <v>106</v>
      </c>
      <c r="E71" s="11"/>
      <c r="F71" s="11" t="s">
        <v>98</v>
      </c>
      <c r="G71" s="11"/>
      <c r="H71" s="11"/>
      <c r="I71" s="59"/>
      <c r="J71" s="59"/>
      <c r="K71" s="11"/>
      <c r="L71" s="11"/>
      <c r="M71" s="11"/>
      <c r="N71" s="11"/>
      <c r="O71" s="393"/>
      <c r="P71" s="394"/>
      <c r="Q71" s="394"/>
      <c r="R71" s="394"/>
      <c r="S71" s="394"/>
      <c r="T71" s="394"/>
      <c r="U71" s="394"/>
      <c r="V71" s="394"/>
      <c r="W71" s="394"/>
      <c r="X71" s="394"/>
      <c r="Y71" s="394"/>
      <c r="Z71" s="394"/>
      <c r="AA71" s="394"/>
      <c r="AB71" s="118"/>
      <c r="AC71" s="11"/>
      <c r="AD71" s="203"/>
      <c r="AE71" s="204"/>
      <c r="AF71" s="118"/>
      <c r="AG71" s="204"/>
      <c r="AH71" s="204"/>
      <c r="AI71" s="118"/>
      <c r="AJ71" s="11"/>
      <c r="AK71" s="11"/>
      <c r="AL71" s="11"/>
      <c r="AM71" s="11"/>
      <c r="AN71" s="11"/>
      <c r="AO71" s="11"/>
    </row>
    <row r="72" spans="1:41" x14ac:dyDescent="0.35">
      <c r="A72" s="11" t="s">
        <v>104</v>
      </c>
      <c r="B72" s="11"/>
      <c r="C72" s="104" t="s">
        <v>101</v>
      </c>
      <c r="D72" s="11" t="s">
        <v>106</v>
      </c>
      <c r="E72" s="11"/>
      <c r="F72" s="11" t="s">
        <v>98</v>
      </c>
      <c r="G72" s="11"/>
      <c r="H72" s="11" t="s">
        <v>73</v>
      </c>
      <c r="I72" s="59" t="str">
        <f>IF(_epmOfflineCondition_,"B1",_xll.EVPRO($B$1,$H72,"STYLE"))</f>
        <v>B1</v>
      </c>
      <c r="J72" s="59" t="str">
        <f>IF(_epmOfflineCondition_,"Y",_xll.EVPRO($B$1,$H72,"CALC"))</f>
        <v>Y</v>
      </c>
      <c r="K72" s="11"/>
      <c r="L72" s="11"/>
      <c r="M72" s="11"/>
      <c r="N72" s="105" t="str">
        <f>IF(_epmOfflineCondition_,"Labor &amp; Related Expenses",IF(_xll.EVDES(H72,$B$1)="#NODATA","",_xll.EVDES(H72,$B$1)))</f>
        <v>Labor &amp; Related Expenses</v>
      </c>
      <c r="O72" s="203"/>
      <c r="P72" s="204"/>
      <c r="Q72" s="204"/>
      <c r="R72" s="204"/>
      <c r="S72" s="204"/>
      <c r="T72" s="204"/>
      <c r="U72" s="204"/>
      <c r="V72" s="204"/>
      <c r="W72" s="204"/>
      <c r="X72" s="204"/>
      <c r="Y72" s="204"/>
      <c r="Z72" s="204"/>
      <c r="AA72" s="204"/>
      <c r="AB72" s="410"/>
      <c r="AC72" s="11"/>
      <c r="AD72" s="411"/>
      <c r="AE72" s="412"/>
      <c r="AF72" s="118"/>
      <c r="AG72" s="204"/>
      <c r="AH72" s="412"/>
      <c r="AI72" s="118"/>
      <c r="AJ72" s="11"/>
      <c r="AK72" s="11"/>
      <c r="AL72" s="11"/>
      <c r="AM72" s="11"/>
      <c r="AN72" s="11"/>
      <c r="AO72" s="11"/>
    </row>
    <row r="73" spans="1:41" x14ac:dyDescent="0.35">
      <c r="A73" s="11" t="s">
        <v>100</v>
      </c>
      <c r="B73" s="11"/>
      <c r="C73" s="53" t="s">
        <v>101</v>
      </c>
      <c r="D73" s="11" t="s">
        <v>106</v>
      </c>
      <c r="E73" s="11"/>
      <c r="F73" s="11" t="s">
        <v>98</v>
      </c>
      <c r="G73" s="11"/>
      <c r="H73" s="11" t="s">
        <v>74</v>
      </c>
      <c r="I73" s="59" t="str">
        <f>IF(_epmOfflineCondition_,"B1",_xll.EVPRO($B$1,$H73,"STYLE"))</f>
        <v>B1</v>
      </c>
      <c r="J73" s="59" t="str">
        <f>IF(_epmOfflineCondition_,"Y",_xll.EVPRO($B$1,$H73,"CALC"))</f>
        <v>Y</v>
      </c>
      <c r="K73" s="11"/>
      <c r="L73" s="11"/>
      <c r="M73" s="11"/>
      <c r="N73" s="53" t="str">
        <f>IF(_epmOfflineCondition_,"Salaries &amp; Wages",IF(_xll.EVDES(H73,$B$1)="#NODATA","",_xll.EVDES(H73,$B$1)))</f>
        <v>Salaries &amp; Wages</v>
      </c>
      <c r="O73" s="119"/>
      <c r="P73" s="120"/>
      <c r="Q73" s="120"/>
      <c r="R73" s="120"/>
      <c r="S73" s="120"/>
      <c r="T73" s="120"/>
      <c r="U73" s="120"/>
      <c r="V73" s="120"/>
      <c r="W73" s="120"/>
      <c r="X73" s="120"/>
      <c r="Y73" s="120"/>
      <c r="Z73" s="120"/>
      <c r="AA73" s="120"/>
      <c r="AB73" s="121"/>
      <c r="AC73" s="11"/>
      <c r="AD73" s="119"/>
      <c r="AE73" s="120"/>
      <c r="AF73" s="121"/>
      <c r="AG73" s="120"/>
      <c r="AH73" s="120"/>
      <c r="AI73" s="121"/>
      <c r="AJ73" s="11"/>
      <c r="AK73" s="11"/>
      <c r="AL73" s="11"/>
      <c r="AM73" s="11"/>
      <c r="AN73" s="11"/>
      <c r="AO73" s="11"/>
    </row>
    <row r="74" spans="1:41" hidden="1" x14ac:dyDescent="0.35">
      <c r="A74" s="11" t="s">
        <v>102</v>
      </c>
      <c r="B74" s="11"/>
      <c r="C74" s="106" t="s">
        <v>101</v>
      </c>
      <c r="D74" s="11" t="s">
        <v>106</v>
      </c>
      <c r="E74" s="11"/>
      <c r="F74" s="11" t="s">
        <v>98</v>
      </c>
      <c r="G74" s="11"/>
      <c r="H74" s="88" t="s">
        <v>667</v>
      </c>
      <c r="I74" s="122" t="str">
        <f>IF(_epmOfflineCondition_,"",_xll.EVPRO($B$1,$H74,"STYLE"))</f>
        <v/>
      </c>
      <c r="J74" s="122" t="str">
        <f>IF(_epmOfflineCondition_,"",_xll.EVPRO($B$1,$H74,"CALC"))</f>
        <v/>
      </c>
      <c r="K74" s="179" t="str">
        <f t="shared" ref="K74:K88" si="22">IF(AND(I74&gt;="T3"),"&gt;","")</f>
        <v/>
      </c>
      <c r="L74" s="90" t="str">
        <f>IF(_epmOfflineCondition_,"",_xll.EVPRO($B$1,H74,"JDEID"))</f>
        <v/>
      </c>
      <c r="M74" s="90" t="str">
        <f>IF(_epmOfflineCondition_,"",IF(AND(I74="N",J74="N"),_xll.EVPRO($B$1,H74,"PSFTID"),""))</f>
        <v/>
      </c>
      <c r="N74" s="90" t="str">
        <f>IF(_epmOfflineCondition_,"",IF(_xll.EVDES(H74,$B$1)="#NODATA","",_xll.EVDES(H74,$B$1)))</f>
        <v/>
      </c>
      <c r="O74" s="210"/>
      <c r="P74" s="210"/>
      <c r="Q74" s="210"/>
      <c r="R74" s="210"/>
      <c r="S74" s="210"/>
      <c r="T74" s="210"/>
      <c r="U74" s="210"/>
      <c r="V74" s="210"/>
      <c r="W74" s="210"/>
      <c r="X74" s="210"/>
      <c r="Y74" s="210"/>
      <c r="Z74" s="210"/>
      <c r="AA74" s="250">
        <f t="shared" ref="AA74:AA88" si="23">IF($I74="B1","",SUM(O74:Z74))</f>
        <v>0</v>
      </c>
      <c r="AB74" s="211" t="str">
        <f t="shared" ref="AB74:AB88" si="24">IF(AA74=0,"",IFERROR(AA74/AA$19,""))</f>
        <v/>
      </c>
      <c r="AC74" s="140"/>
      <c r="AD74" s="210"/>
      <c r="AE74" s="211" t="str">
        <f t="shared" ref="AE74:AE88" si="25">IF(AD74=0,"",IFERROR(AD74/AD$19,""))</f>
        <v/>
      </c>
      <c r="AF74" s="253">
        <f t="shared" ref="AF74:AF88" si="26">IF(AND($AA74="",AD74=""),"",$AA74-AD74)</f>
        <v>0</v>
      </c>
      <c r="AG74" s="210"/>
      <c r="AH74" s="211" t="str">
        <f t="shared" ref="AH74:AH88" si="27">IF(AG74=0,"",IFERROR(AG74/AG$19,""))</f>
        <v/>
      </c>
      <c r="AI74" s="253">
        <f t="shared" ref="AI74:AI88" si="28">IF(AND($AA74="",AG74=""),"",$AA74-AG74)</f>
        <v>0</v>
      </c>
      <c r="AJ74" s="440">
        <f t="shared" ref="AJ74:AJ88" si="29">IFERROR(AA74/AA$20,0)</f>
        <v>0</v>
      </c>
      <c r="AK74" s="441">
        <f t="shared" ref="AK74:AK88" si="30">IFERROR(AD74/AD$20,0)</f>
        <v>0</v>
      </c>
      <c r="AL74" s="442">
        <f t="shared" ref="AL74:AL88" si="31">IFERROR(AG74/AG$20,0)</f>
        <v>0</v>
      </c>
      <c r="AM74" s="443">
        <f t="shared" ref="AM74:AM88" si="32">+IFERROR(ROUND(($AB74-AE74)*100,2)&amp;" pts.",0)</f>
        <v>0</v>
      </c>
      <c r="AN74" s="444">
        <f t="shared" ref="AN74:AN88" si="33">+IFERROR(ROUND(($AB74-AH74)*100,2)&amp;" pts.",0)</f>
        <v>0</v>
      </c>
      <c r="AO74" s="11"/>
    </row>
    <row r="75" spans="1:41" hidden="1" x14ac:dyDescent="0.35">
      <c r="A75" s="11" t="s">
        <v>102</v>
      </c>
      <c r="B75" s="11"/>
      <c r="C75" s="196" t="s">
        <v>101</v>
      </c>
      <c r="D75" s="11" t="s">
        <v>107</v>
      </c>
      <c r="E75" s="11"/>
      <c r="F75" s="11" t="s">
        <v>99</v>
      </c>
      <c r="G75" s="11"/>
      <c r="H75" s="88"/>
      <c r="I75" s="122" t="str">
        <f>IF(_epmOfflineCondition_,"",_xll.EVPRO($B$1,$H75,"STYLE"))</f>
        <v/>
      </c>
      <c r="J75" s="122" t="str">
        <f>IF(_epmOfflineCondition_,"",_xll.EVPRO($B$1,$H75,"CALC"))</f>
        <v/>
      </c>
      <c r="K75" s="179" t="str">
        <f t="shared" si="22"/>
        <v/>
      </c>
      <c r="L75" s="90" t="str">
        <f>IF(_epmOfflineCondition_,"",_xll.EVPRO($B$1,H75,"JDEID"))</f>
        <v/>
      </c>
      <c r="M75" s="90" t="str">
        <f>IF(_epmOfflineCondition_,"",IF(AND(I75="N",J75="N"),_xll.EVPRO($B$1,H75,"PSFTID"),""))</f>
        <v/>
      </c>
      <c r="N75" s="90" t="str">
        <f>IF(_epmOfflineCondition_,"",IF(_xll.EVDES(H75,$B$1)="#NODATA","",_xll.EVDES(H75,$B$1)))</f>
        <v/>
      </c>
      <c r="O75" s="210"/>
      <c r="P75" s="210"/>
      <c r="Q75" s="210"/>
      <c r="R75" s="210"/>
      <c r="S75" s="210"/>
      <c r="T75" s="210"/>
      <c r="U75" s="210"/>
      <c r="V75" s="210"/>
      <c r="W75" s="210"/>
      <c r="X75" s="210"/>
      <c r="Y75" s="210"/>
      <c r="Z75" s="210"/>
      <c r="AA75" s="250">
        <f t="shared" si="23"/>
        <v>0</v>
      </c>
      <c r="AB75" s="211" t="str">
        <f t="shared" si="24"/>
        <v/>
      </c>
      <c r="AC75" s="140"/>
      <c r="AD75" s="210"/>
      <c r="AE75" s="211" t="str">
        <f t="shared" si="25"/>
        <v/>
      </c>
      <c r="AF75" s="253">
        <f t="shared" si="26"/>
        <v>0</v>
      </c>
      <c r="AG75" s="210"/>
      <c r="AH75" s="211" t="str">
        <f t="shared" si="27"/>
        <v/>
      </c>
      <c r="AI75" s="253">
        <f t="shared" si="28"/>
        <v>0</v>
      </c>
      <c r="AJ75" s="440">
        <f t="shared" si="29"/>
        <v>0</v>
      </c>
      <c r="AK75" s="441">
        <f t="shared" si="30"/>
        <v>0</v>
      </c>
      <c r="AL75" s="442">
        <f t="shared" si="31"/>
        <v>0</v>
      </c>
      <c r="AM75" s="443">
        <f t="shared" si="32"/>
        <v>0</v>
      </c>
      <c r="AN75" s="444">
        <f t="shared" si="33"/>
        <v>0</v>
      </c>
      <c r="AO75" s="11"/>
    </row>
    <row r="76" spans="1:41" x14ac:dyDescent="0.35">
      <c r="A76" s="11" t="s">
        <v>108</v>
      </c>
      <c r="B76" s="11"/>
      <c r="C76" s="106" t="s">
        <v>101</v>
      </c>
      <c r="D76" s="11" t="s">
        <v>106</v>
      </c>
      <c r="E76" s="11"/>
      <c r="F76" s="11" t="s">
        <v>98</v>
      </c>
      <c r="G76" s="11"/>
      <c r="H76" s="88" t="s">
        <v>75</v>
      </c>
      <c r="I76" s="89" t="str">
        <f>IF(_epmOfflineCondition_,"B1",_xll.EVPRO($B$1,$H76,"STYLE"))</f>
        <v>B1</v>
      </c>
      <c r="J76" s="89" t="str">
        <f>IF(_epmOfflineCondition_,"Y",_xll.EVPRO($B$1,$H76,"CALC"))</f>
        <v>Y</v>
      </c>
      <c r="K76" s="265" t="str">
        <f t="shared" si="22"/>
        <v/>
      </c>
      <c r="L76" s="106" t="str">
        <f>IF(_epmOfflineCondition_,"",_xll.EVPRO($B$1,H76,"JDEID"))</f>
        <v/>
      </c>
      <c r="M76" s="90" t="str">
        <f>IF(_epmOfflineCondition_,"",IF(AND(I76="N",J76="N"),_xll.EVPRO($B$1,H76,"PSFTID"),""))</f>
        <v/>
      </c>
      <c r="N76" s="106" t="str">
        <f>IF(_epmOfflineCondition_,"Non-Management",IF(_xll.EVDES(H76,$B$1)="#NODATA","",_xll.EVDES(H76,$B$1)))</f>
        <v>Non-Management</v>
      </c>
      <c r="O76" s="197"/>
      <c r="P76" s="197"/>
      <c r="Q76" s="197"/>
      <c r="R76" s="197"/>
      <c r="S76" s="197"/>
      <c r="T76" s="197"/>
      <c r="U76" s="197"/>
      <c r="V76" s="197"/>
      <c r="W76" s="197"/>
      <c r="X76" s="197"/>
      <c r="Y76" s="197"/>
      <c r="Z76" s="197"/>
      <c r="AA76" s="180" t="str">
        <f t="shared" si="23"/>
        <v/>
      </c>
      <c r="AB76" s="198" t="str">
        <f t="shared" si="24"/>
        <v/>
      </c>
      <c r="AC76" s="11"/>
      <c r="AD76" s="197"/>
      <c r="AE76" s="198" t="str">
        <f t="shared" si="25"/>
        <v/>
      </c>
      <c r="AF76" s="199" t="str">
        <f t="shared" si="26"/>
        <v/>
      </c>
      <c r="AG76" s="197"/>
      <c r="AH76" s="198" t="str">
        <f t="shared" si="27"/>
        <v/>
      </c>
      <c r="AI76" s="199" t="str">
        <f t="shared" si="28"/>
        <v/>
      </c>
      <c r="AJ76" s="397">
        <f t="shared" si="29"/>
        <v>0</v>
      </c>
      <c r="AK76" s="398">
        <f t="shared" si="30"/>
        <v>0</v>
      </c>
      <c r="AL76" s="399">
        <f t="shared" si="31"/>
        <v>0</v>
      </c>
      <c r="AM76" s="400">
        <f t="shared" si="32"/>
        <v>0</v>
      </c>
      <c r="AN76" s="401">
        <f t="shared" si="33"/>
        <v>0</v>
      </c>
      <c r="AO76" s="11"/>
    </row>
    <row r="77" spans="1:41" x14ac:dyDescent="0.35">
      <c r="A77" s="11" t="s">
        <v>108</v>
      </c>
      <c r="B77" s="11"/>
      <c r="C77" s="196" t="s">
        <v>101</v>
      </c>
      <c r="D77" s="11" t="s">
        <v>107</v>
      </c>
      <c r="E77" s="11"/>
      <c r="F77" s="11" t="s">
        <v>99</v>
      </c>
      <c r="G77" s="11"/>
      <c r="H77" s="88" t="s">
        <v>863</v>
      </c>
      <c r="I77" s="122" t="str">
        <f>IF(_epmOfflineCondition_,"T3",_xll.EVPRO($B$1,$H77,"STYLE"))</f>
        <v>T3</v>
      </c>
      <c r="J77" s="122" t="str">
        <f>IF(_epmOfflineCondition_,"Y",_xll.EVPRO($B$1,$H77,"CALC"))</f>
        <v>Y</v>
      </c>
      <c r="K77" s="179" t="str">
        <f t="shared" si="22"/>
        <v>&gt;</v>
      </c>
      <c r="L77" s="90" t="str">
        <f>IF(_epmOfflineCondition_,"",_xll.EVPRO($B$1,H77,"JDEID"))</f>
        <v/>
      </c>
      <c r="M77" s="90" t="str">
        <f>IF(_epmOfflineCondition_,"",IF(AND(I77="N",J77="N"),_xll.EVPRO($B$1,H77,"PSFTID"),""))</f>
        <v/>
      </c>
      <c r="N77" s="90" t="str">
        <f>IF(_epmOfflineCondition_,"Banquet &amp; Conf/Catering Service",IF(_xll.EVDES(H77,$B$1)="#NODATA","",_xll.EVDES(H77,$B$1)))</f>
        <v>Banquet &amp; Conf/Catering Service</v>
      </c>
      <c r="O77" s="216"/>
      <c r="P77" s="216"/>
      <c r="Q77" s="216"/>
      <c r="R77" s="216"/>
      <c r="S77" s="216"/>
      <c r="T77" s="216"/>
      <c r="U77" s="216"/>
      <c r="V77" s="216"/>
      <c r="W77" s="216"/>
      <c r="X77" s="216">
        <v>188.46</v>
      </c>
      <c r="Y77" s="216">
        <v>591.55999999999995</v>
      </c>
      <c r="Z77" s="216">
        <v>186.72</v>
      </c>
      <c r="AA77" s="251">
        <f t="shared" si="23"/>
        <v>966.74</v>
      </c>
      <c r="AB77" s="218">
        <f t="shared" si="24"/>
        <v>1.152546931528884E-2</v>
      </c>
      <c r="AC77" s="140"/>
      <c r="AD77" s="216"/>
      <c r="AE77" s="218" t="str">
        <f t="shared" si="25"/>
        <v/>
      </c>
      <c r="AF77" s="233">
        <f t="shared" si="26"/>
        <v>966.74</v>
      </c>
      <c r="AG77" s="216">
        <v>2046.46</v>
      </c>
      <c r="AH77" s="218">
        <f t="shared" si="27"/>
        <v>2.5931276023649683E-2</v>
      </c>
      <c r="AI77" s="233">
        <f t="shared" si="28"/>
        <v>-1079.72</v>
      </c>
      <c r="AJ77" s="449">
        <f t="shared" si="29"/>
        <v>1.2855585106382978</v>
      </c>
      <c r="AK77" s="450">
        <f t="shared" si="30"/>
        <v>0</v>
      </c>
      <c r="AL77" s="451">
        <f t="shared" si="31"/>
        <v>2.2439254385964911</v>
      </c>
      <c r="AM77" s="452">
        <f t="shared" si="32"/>
        <v>0</v>
      </c>
      <c r="AN77" s="453" t="str">
        <f t="shared" si="33"/>
        <v>-1.44 pts.</v>
      </c>
      <c r="AO77" s="11"/>
    </row>
    <row r="78" spans="1:41" x14ac:dyDescent="0.35">
      <c r="A78" s="11"/>
      <c r="B78" s="11"/>
      <c r="C78" s="11"/>
      <c r="D78" s="11"/>
      <c r="E78" s="11"/>
      <c r="F78" s="11"/>
      <c r="G78" s="11"/>
      <c r="H78" s="88" t="s">
        <v>864</v>
      </c>
      <c r="I78" s="122" t="str">
        <f>IF(_epmOfflineCondition_,"T3",_xll.EVPRO($B$1,$H78,"STYLE"))</f>
        <v>T3</v>
      </c>
      <c r="J78" s="122" t="str">
        <f>IF(_epmOfflineCondition_,"Y",_xll.EVPRO($B$1,$H78,"CALC"))</f>
        <v>Y</v>
      </c>
      <c r="K78" s="179" t="str">
        <f t="shared" si="22"/>
        <v>&gt;</v>
      </c>
      <c r="L78" s="90" t="str">
        <f>IF(_epmOfflineCondition_,"",_xll.EVPRO($B$1,H78,"JDEID"))</f>
        <v/>
      </c>
      <c r="M78" s="90" t="str">
        <f>IF(_epmOfflineCondition_,"",IF(AND(I78="N",J78="N"),_xll.EVPRO($B$1,H78,"PSFTID"),""))</f>
        <v/>
      </c>
      <c r="N78" s="90" t="str">
        <f>IF(_epmOfflineCondition_,"F&amp;B Kitchen",IF(_xll.EVDES(H78,$B$1)="#NODATA","",_xll.EVDES(H78,$B$1)))</f>
        <v>F&amp;B Kitchen</v>
      </c>
      <c r="O78" s="216"/>
      <c r="P78" s="216"/>
      <c r="Q78" s="216"/>
      <c r="R78" s="216"/>
      <c r="S78" s="216"/>
      <c r="T78" s="216"/>
      <c r="U78" s="216"/>
      <c r="V78" s="216"/>
      <c r="W78" s="216"/>
      <c r="X78" s="216"/>
      <c r="Y78" s="216"/>
      <c r="Z78" s="216"/>
      <c r="AA78" s="251">
        <f t="shared" si="23"/>
        <v>0</v>
      </c>
      <c r="AB78" s="218" t="str">
        <f t="shared" si="24"/>
        <v/>
      </c>
      <c r="AC78" s="140"/>
      <c r="AD78" s="216"/>
      <c r="AE78" s="218" t="str">
        <f t="shared" si="25"/>
        <v/>
      </c>
      <c r="AF78" s="233">
        <f t="shared" si="26"/>
        <v>0</v>
      </c>
      <c r="AG78" s="216">
        <v>4188</v>
      </c>
      <c r="AH78" s="218">
        <f t="shared" si="27"/>
        <v>5.306733773787168E-2</v>
      </c>
      <c r="AI78" s="233">
        <f t="shared" si="28"/>
        <v>-4188</v>
      </c>
      <c r="AJ78" s="449">
        <f t="shared" si="29"/>
        <v>0</v>
      </c>
      <c r="AK78" s="450">
        <f t="shared" si="30"/>
        <v>0</v>
      </c>
      <c r="AL78" s="451">
        <f t="shared" si="31"/>
        <v>4.5921052631578947</v>
      </c>
      <c r="AM78" s="452">
        <f t="shared" si="32"/>
        <v>0</v>
      </c>
      <c r="AN78" s="453">
        <f t="shared" si="33"/>
        <v>0</v>
      </c>
      <c r="AO78" s="11"/>
    </row>
    <row r="79" spans="1:41" x14ac:dyDescent="0.35">
      <c r="A79" s="11"/>
      <c r="B79" s="11"/>
      <c r="C79" s="208"/>
      <c r="D79" s="11"/>
      <c r="E79" s="11"/>
      <c r="F79" s="11"/>
      <c r="G79" s="11"/>
      <c r="H79" s="88" t="s">
        <v>865</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Venues",IF(_xll.EVDES(H79,$B$1)="#NODATA","",_xll.EVDES(H79,$B$1)))</f>
        <v>F&amp;B Venues</v>
      </c>
      <c r="O79" s="216"/>
      <c r="P79" s="216"/>
      <c r="Q79" s="216"/>
      <c r="R79" s="216"/>
      <c r="S79" s="216"/>
      <c r="T79" s="216"/>
      <c r="U79" s="216"/>
      <c r="V79" s="216"/>
      <c r="W79" s="216"/>
      <c r="X79" s="216"/>
      <c r="Y79" s="216"/>
      <c r="Z79" s="216"/>
      <c r="AA79" s="251">
        <f t="shared" si="23"/>
        <v>0</v>
      </c>
      <c r="AB79" s="218" t="str">
        <f t="shared" si="24"/>
        <v/>
      </c>
      <c r="AC79" s="140"/>
      <c r="AD79" s="216"/>
      <c r="AE79" s="218" t="str">
        <f t="shared" si="25"/>
        <v/>
      </c>
      <c r="AF79" s="233">
        <f t="shared" si="26"/>
        <v>0</v>
      </c>
      <c r="AG79" s="216">
        <v>2810</v>
      </c>
      <c r="AH79" s="218">
        <f t="shared" si="27"/>
        <v>3.560630827206767E-2</v>
      </c>
      <c r="AI79" s="233">
        <f t="shared" si="28"/>
        <v>-2810</v>
      </c>
      <c r="AJ79" s="449">
        <f t="shared" si="29"/>
        <v>0</v>
      </c>
      <c r="AK79" s="450">
        <f t="shared" si="30"/>
        <v>0</v>
      </c>
      <c r="AL79" s="451">
        <f t="shared" si="31"/>
        <v>3.0811403508771931</v>
      </c>
      <c r="AM79" s="452">
        <f t="shared" si="32"/>
        <v>0</v>
      </c>
      <c r="AN79" s="453">
        <f t="shared" si="33"/>
        <v>0</v>
      </c>
      <c r="AO79" s="11"/>
    </row>
    <row r="80" spans="1:41" x14ac:dyDescent="0.35">
      <c r="A80" s="61" t="str">
        <f>IF(_epmOfflineCondition_,"Evdre:Ok",_xll.EVDRE($B$1,A83:B90,A93:B99))</f>
        <v>Evdre:Ok</v>
      </c>
      <c r="B80" s="11"/>
      <c r="C80" s="11"/>
      <c r="D80" s="11"/>
      <c r="E80" s="11"/>
      <c r="F80" s="11"/>
      <c r="G80" s="11"/>
      <c r="H80" s="88" t="s">
        <v>848</v>
      </c>
      <c r="I80" s="188" t="str">
        <f>IF(_epmOfflineCondition_,"T2",_xll.EVPRO($B$1,$H80,"STYLE"))</f>
        <v>T2</v>
      </c>
      <c r="J80" s="188" t="str">
        <f>IF(_epmOfflineCondition_,"Y",_xll.EVPRO($B$1,$H80,"CALC"))</f>
        <v>Y</v>
      </c>
      <c r="K80" s="189" t="str">
        <f t="shared" si="22"/>
        <v/>
      </c>
      <c r="L80" s="190" t="str">
        <f>IF(_epmOfflineCondition_,"",_xll.EVPRO($B$1,H80,"JDEID"))</f>
        <v/>
      </c>
      <c r="M80" s="190" t="str">
        <f>IF(_epmOfflineCondition_,"",IF(AND(I80="N",J80="N"),_xll.EVPRO($B$1,H80,"PSFTID"),""))</f>
        <v/>
      </c>
      <c r="N80" s="190" t="str">
        <f>IF(_epmOfflineCondition_,"Total Salaries and Wages",IF(_xll.EVDES(H80,$B$1)="#NODATA","",_xll.EVDES(H80,$B$1)))</f>
        <v>Total Salaries and Wages</v>
      </c>
      <c r="O80" s="225"/>
      <c r="P80" s="225"/>
      <c r="Q80" s="225"/>
      <c r="R80" s="225"/>
      <c r="S80" s="225"/>
      <c r="T80" s="225"/>
      <c r="U80" s="225"/>
      <c r="V80" s="225"/>
      <c r="W80" s="225"/>
      <c r="X80" s="225">
        <v>188.46</v>
      </c>
      <c r="Y80" s="225">
        <v>591.55999999999995</v>
      </c>
      <c r="Z80" s="225">
        <v>186.72</v>
      </c>
      <c r="AA80" s="225">
        <f t="shared" si="23"/>
        <v>966.74</v>
      </c>
      <c r="AB80" s="226">
        <f t="shared" si="24"/>
        <v>1.152546931528884E-2</v>
      </c>
      <c r="AC80" s="227"/>
      <c r="AD80" s="225"/>
      <c r="AE80" s="226" t="str">
        <f t="shared" si="25"/>
        <v/>
      </c>
      <c r="AF80" s="228">
        <f t="shared" si="26"/>
        <v>966.74</v>
      </c>
      <c r="AG80" s="225">
        <v>9044.4599999999991</v>
      </c>
      <c r="AH80" s="226">
        <f t="shared" si="27"/>
        <v>0.11460492203358902</v>
      </c>
      <c r="AI80" s="228">
        <f t="shared" si="28"/>
        <v>-8077.7199999999993</v>
      </c>
      <c r="AJ80" s="229">
        <f t="shared" si="29"/>
        <v>1.2855585106382978</v>
      </c>
      <c r="AK80" s="230">
        <f t="shared" si="30"/>
        <v>0</v>
      </c>
      <c r="AL80" s="232">
        <f t="shared" si="31"/>
        <v>9.9171710526315788</v>
      </c>
      <c r="AM80" s="427">
        <f t="shared" si="32"/>
        <v>0</v>
      </c>
      <c r="AN80" s="456" t="str">
        <f t="shared" si="33"/>
        <v>-10.31 pts.</v>
      </c>
      <c r="AO80" s="11"/>
    </row>
    <row r="81" spans="1:41" x14ac:dyDescent="0.35">
      <c r="A81" s="11"/>
      <c r="B81" s="11"/>
      <c r="C81" s="11"/>
      <c r="D81" s="11"/>
      <c r="E81" s="11"/>
      <c r="F81" s="11"/>
      <c r="G81" s="11"/>
      <c r="H81" s="88" t="s">
        <v>866</v>
      </c>
      <c r="I81" s="122" t="str">
        <f>IF(_epmOfflineCondition_,"T3",_xll.EVPRO($B$1,$H81,"STYLE"))</f>
        <v>T3</v>
      </c>
      <c r="J81" s="122" t="str">
        <f>IF(_epmOfflineCondition_,"Y",_xll.EVPRO($B$1,$H81,"CALC"))</f>
        <v>Y</v>
      </c>
      <c r="K81" s="179" t="str">
        <f t="shared" si="22"/>
        <v>&gt;</v>
      </c>
      <c r="L81" s="90" t="str">
        <f>IF(_epmOfflineCondition_,"",_xll.EVPRO($B$1,H81,"JDEID"))</f>
        <v/>
      </c>
      <c r="M81" s="90" t="str">
        <f>IF(_epmOfflineCondition_,"",IF(AND(I81="N",J81="N"),_xll.EVPRO($B$1,H81,"PSFTID"),""))</f>
        <v/>
      </c>
      <c r="N81" s="90" t="str">
        <f>IF(_epmOfflineCondition_,"Service Charge Distribution",IF(_xll.EVDES(H81,$B$1)="#NODATA","",_xll.EVDES(H81,$B$1)))</f>
        <v>Service Charge Distribution</v>
      </c>
      <c r="O81" s="216"/>
      <c r="P81" s="216"/>
      <c r="Q81" s="216">
        <v>122.1</v>
      </c>
      <c r="R81" s="216">
        <v>2490.1799999999998</v>
      </c>
      <c r="S81" s="216">
        <v>-516.46</v>
      </c>
      <c r="T81" s="216">
        <v>866.7</v>
      </c>
      <c r="U81" s="216">
        <v>401.93</v>
      </c>
      <c r="V81" s="216"/>
      <c r="W81" s="216">
        <v>866.79</v>
      </c>
      <c r="X81" s="216">
        <v>1242.6400000000001</v>
      </c>
      <c r="Y81" s="216">
        <v>3506.1</v>
      </c>
      <c r="Z81" s="216">
        <v>-23.41</v>
      </c>
      <c r="AA81" s="216">
        <f t="shared" si="23"/>
        <v>8956.57</v>
      </c>
      <c r="AB81" s="218">
        <f t="shared" si="24"/>
        <v>0.106780181543369</v>
      </c>
      <c r="AC81" s="140"/>
      <c r="AD81" s="216">
        <v>13535.1764698394</v>
      </c>
      <c r="AE81" s="218">
        <f t="shared" si="25"/>
        <v>6.0280032096292437E-2</v>
      </c>
      <c r="AF81" s="233">
        <f t="shared" si="26"/>
        <v>-4578.6064698394002</v>
      </c>
      <c r="AG81" s="216">
        <v>7283.93</v>
      </c>
      <c r="AH81" s="218">
        <f t="shared" si="27"/>
        <v>9.2296746267673271E-2</v>
      </c>
      <c r="AI81" s="233">
        <f t="shared" si="28"/>
        <v>1672.6399999999994</v>
      </c>
      <c r="AJ81" s="532">
        <f t="shared" si="29"/>
        <v>11.910332446808511</v>
      </c>
      <c r="AK81" s="533">
        <f t="shared" si="30"/>
        <v>6.4568322911477587</v>
      </c>
      <c r="AL81" s="534">
        <f t="shared" si="31"/>
        <v>7.9867653508771932</v>
      </c>
      <c r="AM81" s="535" t="str">
        <f t="shared" si="32"/>
        <v>4.65 pts.</v>
      </c>
      <c r="AN81" s="536" t="str">
        <f t="shared" si="33"/>
        <v>1.45 pts.</v>
      </c>
      <c r="AO81" s="11"/>
    </row>
    <row r="82" spans="1:41" x14ac:dyDescent="0.35">
      <c r="A82" s="62" t="s">
        <v>0</v>
      </c>
      <c r="B82" s="63" t="s">
        <v>1</v>
      </c>
      <c r="C82" s="11"/>
      <c r="D82" s="11"/>
      <c r="E82" s="11"/>
      <c r="F82" s="11"/>
      <c r="G82" s="11"/>
      <c r="H82" s="88" t="s">
        <v>867</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IF(_epmOfflineCondition_,"Contracted &amp; Leased Labor",IF(_xll.EVDES(H82,$B$1)="#NODATA","",_xll.EVDES(H82,$B$1)))</f>
        <v>Contracted &amp; Leased Labor</v>
      </c>
      <c r="O82" s="216"/>
      <c r="P82" s="216"/>
      <c r="Q82" s="216"/>
      <c r="R82" s="216"/>
      <c r="S82" s="216"/>
      <c r="T82" s="216"/>
      <c r="U82" s="216"/>
      <c r="V82" s="216"/>
      <c r="W82" s="216"/>
      <c r="X82" s="216"/>
      <c r="Y82" s="216"/>
      <c r="Z82" s="216"/>
      <c r="AA82" s="251">
        <f t="shared" si="23"/>
        <v>0</v>
      </c>
      <c r="AB82" s="218" t="str">
        <f t="shared" si="24"/>
        <v/>
      </c>
      <c r="AC82" s="140"/>
      <c r="AD82" s="216"/>
      <c r="AE82" s="218" t="str">
        <f t="shared" si="25"/>
        <v/>
      </c>
      <c r="AF82" s="233">
        <f t="shared" si="26"/>
        <v>0</v>
      </c>
      <c r="AG82" s="216">
        <v>6809.53</v>
      </c>
      <c r="AH82" s="218">
        <f t="shared" si="27"/>
        <v>8.6285489098894289E-2</v>
      </c>
      <c r="AI82" s="233">
        <f t="shared" si="28"/>
        <v>-6809.53</v>
      </c>
      <c r="AJ82" s="449">
        <f t="shared" si="29"/>
        <v>0</v>
      </c>
      <c r="AK82" s="450">
        <f t="shared" si="30"/>
        <v>0</v>
      </c>
      <c r="AL82" s="451">
        <f t="shared" si="31"/>
        <v>7.4665899122807016</v>
      </c>
      <c r="AM82" s="452">
        <f t="shared" si="32"/>
        <v>0</v>
      </c>
      <c r="AN82" s="453">
        <f t="shared" si="33"/>
        <v>0</v>
      </c>
      <c r="AO82" s="11"/>
    </row>
    <row r="83" spans="1:41" x14ac:dyDescent="0.35">
      <c r="A83" s="65" t="s">
        <v>2</v>
      </c>
      <c r="B83" s="66" t="str">
        <f>IF(_epmOfflineCondition_,"'BCC_CONS'!$B$2:$B$10",_xll.EVRNG($B$2:$B$10))</f>
        <v>'BCC_CONS'!$B$2:$B$10</v>
      </c>
      <c r="C83" s="11"/>
      <c r="D83" s="11"/>
      <c r="E83" s="11"/>
      <c r="F83" s="11"/>
      <c r="G83" s="11"/>
      <c r="H83" s="88" t="s">
        <v>850</v>
      </c>
      <c r="I83" s="188" t="str">
        <f>IF(_epmOfflineCondition_,"T2",_xll.EVPRO($B$1,$H83,"STYLE"))</f>
        <v>T2</v>
      </c>
      <c r="J83" s="188" t="str">
        <f>IF(_epmOfflineCondition_,"Y",_xll.EVPRO($B$1,$H83,"CALC"))</f>
        <v>Y</v>
      </c>
      <c r="K83" s="189" t="str">
        <f t="shared" si="22"/>
        <v/>
      </c>
      <c r="L83" s="190" t="str">
        <f>IF(_epmOfflineCondition_,"",_xll.EVPRO($B$1,H83,"JDEID"))</f>
        <v/>
      </c>
      <c r="M83" s="190" t="str">
        <f>IF(_epmOfflineCondition_,"",IF(AND(I83="N",J83="N"),_xll.EVPRO($B$1,H83,"PSFTID"),""))</f>
        <v/>
      </c>
      <c r="N83" s="190" t="str">
        <f>IF(_epmOfflineCondition_,"Total Labor Expense",IF(_xll.EVDES(H83,$B$1)="#NODATA","",_xll.EVDES(H83,$B$1)))</f>
        <v>Total Labor Expense</v>
      </c>
      <c r="O83" s="225"/>
      <c r="P83" s="225"/>
      <c r="Q83" s="225">
        <v>122.1</v>
      </c>
      <c r="R83" s="225">
        <v>2490.1799999999998</v>
      </c>
      <c r="S83" s="225">
        <v>-516.46</v>
      </c>
      <c r="T83" s="225">
        <v>866.7</v>
      </c>
      <c r="U83" s="225">
        <v>401.93</v>
      </c>
      <c r="V83" s="225"/>
      <c r="W83" s="225">
        <v>866.79</v>
      </c>
      <c r="X83" s="225">
        <v>1431.1</v>
      </c>
      <c r="Y83" s="225">
        <v>4097.66</v>
      </c>
      <c r="Z83" s="225">
        <v>163.31</v>
      </c>
      <c r="AA83" s="225">
        <f t="shared" si="23"/>
        <v>9923.31</v>
      </c>
      <c r="AB83" s="226">
        <f t="shared" si="24"/>
        <v>0.11830565085865785</v>
      </c>
      <c r="AC83" s="227"/>
      <c r="AD83" s="225">
        <v>13535.1764698394</v>
      </c>
      <c r="AE83" s="226">
        <f t="shared" si="25"/>
        <v>6.0280032096292437E-2</v>
      </c>
      <c r="AF83" s="228">
        <f t="shared" si="26"/>
        <v>-3611.8664698394005</v>
      </c>
      <c r="AG83" s="225">
        <v>23137.919999999998</v>
      </c>
      <c r="AH83" s="226">
        <f t="shared" si="27"/>
        <v>0.29318715740015655</v>
      </c>
      <c r="AI83" s="228">
        <f t="shared" si="28"/>
        <v>-13214.609999999999</v>
      </c>
      <c r="AJ83" s="229">
        <f t="shared" si="29"/>
        <v>13.195890957446808</v>
      </c>
      <c r="AK83" s="230">
        <f t="shared" si="30"/>
        <v>6.4568322911477587</v>
      </c>
      <c r="AL83" s="232">
        <f t="shared" si="31"/>
        <v>25.370526315789473</v>
      </c>
      <c r="AM83" s="427" t="str">
        <f t="shared" si="32"/>
        <v>5.8 pts.</v>
      </c>
      <c r="AN83" s="456" t="str">
        <f t="shared" si="33"/>
        <v>-17.49 pts.</v>
      </c>
      <c r="AO83" s="11"/>
    </row>
    <row r="84" spans="1:41" x14ac:dyDescent="0.35">
      <c r="A84" s="65" t="s">
        <v>3</v>
      </c>
      <c r="B84" s="66" t="str">
        <f>IF(_epmOfflineCondition_,"'BCC_CONS'!$O$16:$AN$18",_xll.EVRNG($O$16:$AN$18))</f>
        <v>'BCC_CONS'!$O$16:$AN$18</v>
      </c>
      <c r="C84" s="11"/>
      <c r="D84" s="11"/>
      <c r="E84" s="11"/>
      <c r="F84" s="11"/>
      <c r="G84" s="11"/>
      <c r="H84" s="88" t="s">
        <v>851</v>
      </c>
      <c r="I84" s="122" t="str">
        <f>IF(_epmOfflineCondition_,"T3",_xll.EVPRO($B$1,$H84,"STYLE"))</f>
        <v>T3</v>
      </c>
      <c r="J84" s="122" t="str">
        <f>IF(_epmOfflineCondition_,"Y",_xll.EVPRO($B$1,$H84,"CALC"))</f>
        <v>Y</v>
      </c>
      <c r="K84" s="179" t="str">
        <f t="shared" si="22"/>
        <v>&gt;</v>
      </c>
      <c r="L84" s="90" t="str">
        <f>IF(_epmOfflineCondition_,"",_xll.EVPRO($B$1,H84,"JDEID"))</f>
        <v/>
      </c>
      <c r="M84" s="90" t="str">
        <f>IF(_epmOfflineCondition_,"",IF(AND(I84="N",J84="N"),_xll.EVPRO($B$1,H84,"PSFTID"),""))</f>
        <v/>
      </c>
      <c r="N84" s="90" t="str">
        <f>IF(_epmOfflineCondition_,"Payroll Taxes",IF(_xll.EVDES(H84,$B$1)="#NODATA","",_xll.EVDES(H84,$B$1)))</f>
        <v>Payroll Taxes</v>
      </c>
      <c r="O84" s="216">
        <v>-10.47</v>
      </c>
      <c r="P84" s="216"/>
      <c r="Q84" s="216"/>
      <c r="R84" s="216"/>
      <c r="S84" s="216"/>
      <c r="T84" s="216"/>
      <c r="U84" s="216"/>
      <c r="V84" s="216"/>
      <c r="W84" s="216"/>
      <c r="X84" s="216">
        <v>63.27</v>
      </c>
      <c r="Y84" s="216">
        <v>117.06</v>
      </c>
      <c r="Z84" s="216">
        <v>45.79</v>
      </c>
      <c r="AA84" s="216">
        <f t="shared" si="23"/>
        <v>215.65</v>
      </c>
      <c r="AB84" s="218">
        <f t="shared" si="24"/>
        <v>2.5709781925254342E-3</v>
      </c>
      <c r="AC84" s="140"/>
      <c r="AD84" s="216"/>
      <c r="AE84" s="218" t="str">
        <f t="shared" si="25"/>
        <v/>
      </c>
      <c r="AF84" s="233">
        <f t="shared" si="26"/>
        <v>215.65</v>
      </c>
      <c r="AG84" s="216">
        <v>856.98</v>
      </c>
      <c r="AH84" s="218">
        <f t="shared" si="27"/>
        <v>1.0859037033094859E-2</v>
      </c>
      <c r="AI84" s="233">
        <f t="shared" si="28"/>
        <v>-641.33000000000004</v>
      </c>
      <c r="AJ84" s="532">
        <f t="shared" si="29"/>
        <v>0.2867686170212766</v>
      </c>
      <c r="AK84" s="533">
        <f t="shared" si="30"/>
        <v>0</v>
      </c>
      <c r="AL84" s="534">
        <f t="shared" si="31"/>
        <v>0.93967105263157902</v>
      </c>
      <c r="AM84" s="535">
        <f t="shared" si="32"/>
        <v>0</v>
      </c>
      <c r="AN84" s="536" t="str">
        <f t="shared" si="33"/>
        <v>-0.83 pts.</v>
      </c>
      <c r="AO84" s="11"/>
    </row>
    <row r="85" spans="1:41" x14ac:dyDescent="0.35">
      <c r="A85" s="65" t="s">
        <v>4</v>
      </c>
      <c r="B85" s="66" t="str">
        <f>IF(_epmOfflineCondition_,"'BCC_CONS'!$H$74:$H$75,'BCC_CONS'!$H$77:$H$88,'BCC_CONS'!$H$91:$H$99",_xll.EVRNG(H74:H75,H77:H88,H91:H99))</f>
        <v>'BCC_CONS'!$H$74:$H$75,'BCC_CONS'!$H$77:$H$88,'BCC_CONS'!$H$91:$H$99</v>
      </c>
      <c r="C85" s="11"/>
      <c r="D85" s="11"/>
      <c r="E85" s="11"/>
      <c r="F85" s="11"/>
      <c r="G85" s="11"/>
      <c r="H85" s="88" t="s">
        <v>852</v>
      </c>
      <c r="I85" s="122" t="str">
        <f>IF(_epmOfflineCondition_,"T3",_xll.EVPRO($B$1,$H85,"STYLE"))</f>
        <v>T3</v>
      </c>
      <c r="J85" s="122" t="str">
        <f>IF(_epmOfflineCondition_,"Y",_xll.EVPRO($B$1,$H85,"CALC"))</f>
        <v>Y</v>
      </c>
      <c r="K85" s="179" t="str">
        <f t="shared" si="22"/>
        <v>&gt;</v>
      </c>
      <c r="L85" s="90" t="str">
        <f>IF(_epmOfflineCondition_,"",_xll.EVPRO($B$1,H85,"JDEID"))</f>
        <v/>
      </c>
      <c r="M85" s="90" t="str">
        <f>IF(_epmOfflineCondition_,"",IF(AND(I85="N",J85="N"),_xll.EVPRO($B$1,H85,"PSFTID"),""))</f>
        <v/>
      </c>
      <c r="N85" s="90" t="str">
        <f>IF(_epmOfflineCondition_,"Supplemental Pay",IF(_xll.EVDES(H85,$B$1)="#NODATA","",_xll.EVDES(H85,$B$1)))</f>
        <v>Supplemental Pay</v>
      </c>
      <c r="O85" s="216"/>
      <c r="P85" s="216"/>
      <c r="Q85" s="216"/>
      <c r="R85" s="216"/>
      <c r="S85" s="216"/>
      <c r="T85" s="216"/>
      <c r="U85" s="216"/>
      <c r="V85" s="216"/>
      <c r="W85" s="216">
        <v>0.21</v>
      </c>
      <c r="X85" s="216"/>
      <c r="Y85" s="216"/>
      <c r="Z85" s="216">
        <v>0.21</v>
      </c>
      <c r="AA85" s="251">
        <f t="shared" si="23"/>
        <v>0.42</v>
      </c>
      <c r="AB85" s="218">
        <f t="shared" si="24"/>
        <v>5.0072378430822277E-6</v>
      </c>
      <c r="AC85" s="140"/>
      <c r="AD85" s="216"/>
      <c r="AE85" s="218" t="str">
        <f t="shared" si="25"/>
        <v/>
      </c>
      <c r="AF85" s="233">
        <f t="shared" si="26"/>
        <v>0.42</v>
      </c>
      <c r="AG85" s="216">
        <v>-10.62</v>
      </c>
      <c r="AH85" s="218">
        <f t="shared" si="27"/>
        <v>-1.3456903695706715E-4</v>
      </c>
      <c r="AI85" s="233">
        <f t="shared" si="28"/>
        <v>11.04</v>
      </c>
      <c r="AJ85" s="449">
        <f t="shared" si="29"/>
        <v>5.5851063829787237E-4</v>
      </c>
      <c r="AK85" s="450">
        <f t="shared" si="30"/>
        <v>0</v>
      </c>
      <c r="AL85" s="451">
        <f t="shared" si="31"/>
        <v>-1.1644736842105262E-2</v>
      </c>
      <c r="AM85" s="452">
        <f t="shared" si="32"/>
        <v>0</v>
      </c>
      <c r="AN85" s="453" t="str">
        <f t="shared" si="33"/>
        <v>0.01 pts.</v>
      </c>
      <c r="AO85" s="11"/>
    </row>
    <row r="86" spans="1:41" x14ac:dyDescent="0.35">
      <c r="A86" s="65" t="s">
        <v>5</v>
      </c>
      <c r="B86" s="66"/>
      <c r="C86" s="11"/>
      <c r="D86" s="11"/>
      <c r="E86" s="11"/>
      <c r="F86" s="11"/>
      <c r="G86" s="11"/>
      <c r="H86" s="88" t="s">
        <v>853</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IF(_epmOfflineCondition_,"Employee Benefits",IF(_xll.EVDES(H86,$B$1)="#NODATA","",_xll.EVDES(H86,$B$1)))</f>
        <v>Employee Benefits</v>
      </c>
      <c r="O86" s="216">
        <v>10.47</v>
      </c>
      <c r="P86" s="216"/>
      <c r="Q86" s="216"/>
      <c r="R86" s="216"/>
      <c r="S86" s="216"/>
      <c r="T86" s="216"/>
      <c r="U86" s="216"/>
      <c r="V86" s="216"/>
      <c r="W86" s="216"/>
      <c r="X86" s="216"/>
      <c r="Y86" s="216"/>
      <c r="Z86" s="216"/>
      <c r="AA86" s="251">
        <f t="shared" si="23"/>
        <v>10.47</v>
      </c>
      <c r="AB86" s="218">
        <f t="shared" si="24"/>
        <v>1.2482328623112125E-4</v>
      </c>
      <c r="AC86" s="140"/>
      <c r="AD86" s="216"/>
      <c r="AE86" s="218" t="str">
        <f t="shared" si="25"/>
        <v/>
      </c>
      <c r="AF86" s="233">
        <f t="shared" si="26"/>
        <v>10.47</v>
      </c>
      <c r="AG86" s="216">
        <v>577.70000000000005</v>
      </c>
      <c r="AH86" s="218">
        <f t="shared" si="27"/>
        <v>7.3202008145101406E-3</v>
      </c>
      <c r="AI86" s="233">
        <f t="shared" si="28"/>
        <v>-567.23</v>
      </c>
      <c r="AJ86" s="449">
        <f t="shared" si="29"/>
        <v>1.3922872340425533E-2</v>
      </c>
      <c r="AK86" s="450">
        <f t="shared" si="30"/>
        <v>0</v>
      </c>
      <c r="AL86" s="451">
        <f t="shared" si="31"/>
        <v>0.63344298245614039</v>
      </c>
      <c r="AM86" s="452">
        <f t="shared" si="32"/>
        <v>0</v>
      </c>
      <c r="AN86" s="453" t="str">
        <f t="shared" si="33"/>
        <v>-0.72 pts.</v>
      </c>
      <c r="AO86" s="11"/>
    </row>
    <row r="87" spans="1:41" x14ac:dyDescent="0.35">
      <c r="A87" s="65" t="s">
        <v>6</v>
      </c>
      <c r="B87" s="66"/>
      <c r="C87" s="11"/>
      <c r="D87" s="11"/>
      <c r="E87" s="11"/>
      <c r="F87" s="11"/>
      <c r="G87" s="11"/>
      <c r="H87" s="88" t="s">
        <v>854</v>
      </c>
      <c r="I87" s="188" t="str">
        <f>IF(_epmOfflineCondition_,"T2",_xll.EVPRO($B$1,$H87,"STYLE"))</f>
        <v>T2</v>
      </c>
      <c r="J87" s="188" t="str">
        <f>IF(_epmOfflineCondition_,"Y",_xll.EVPRO($B$1,$H87,"CALC"))</f>
        <v>Y</v>
      </c>
      <c r="K87" s="189" t="str">
        <f t="shared" si="22"/>
        <v/>
      </c>
      <c r="L87" s="190" t="str">
        <f>IF(_epmOfflineCondition_,"",_xll.EVPRO($B$1,H87,"JDEID"))</f>
        <v/>
      </c>
      <c r="M87" s="190" t="str">
        <f>IF(_epmOfflineCondition_,"",IF(AND(I87="N",J87="N"),_xll.EVPRO($B$1,H87,"PSFTID"),""))</f>
        <v/>
      </c>
      <c r="N87" s="190" t="str">
        <f>IF(_epmOfflineCondition_,"Total Payroll Related",IF(_xll.EVDES(H87,$B$1)="#NODATA","",_xll.EVDES(H87,$B$1)))</f>
        <v>Total Payroll Related</v>
      </c>
      <c r="O87" s="238">
        <v>0</v>
      </c>
      <c r="P87" s="238"/>
      <c r="Q87" s="238"/>
      <c r="R87" s="238"/>
      <c r="S87" s="238"/>
      <c r="T87" s="238"/>
      <c r="U87" s="238"/>
      <c r="V87" s="238"/>
      <c r="W87" s="238">
        <v>0.21</v>
      </c>
      <c r="X87" s="238">
        <v>63.27</v>
      </c>
      <c r="Y87" s="238">
        <v>117.06</v>
      </c>
      <c r="Z87" s="238">
        <v>46</v>
      </c>
      <c r="AA87" s="238">
        <f t="shared" si="23"/>
        <v>226.54000000000002</v>
      </c>
      <c r="AB87" s="239">
        <f t="shared" si="24"/>
        <v>2.700808716599638E-3</v>
      </c>
      <c r="AC87" s="240"/>
      <c r="AD87" s="238"/>
      <c r="AE87" s="239" t="str">
        <f t="shared" si="25"/>
        <v/>
      </c>
      <c r="AF87" s="241">
        <f t="shared" si="26"/>
        <v>226.54000000000002</v>
      </c>
      <c r="AG87" s="238">
        <v>1424.06</v>
      </c>
      <c r="AH87" s="239">
        <f t="shared" si="27"/>
        <v>1.8044668810647931E-2</v>
      </c>
      <c r="AI87" s="241">
        <f t="shared" si="28"/>
        <v>-1197.52</v>
      </c>
      <c r="AJ87" s="242">
        <f t="shared" si="29"/>
        <v>0.30125000000000002</v>
      </c>
      <c r="AK87" s="243">
        <f t="shared" si="30"/>
        <v>0</v>
      </c>
      <c r="AL87" s="245">
        <f t="shared" si="31"/>
        <v>1.561469298245614</v>
      </c>
      <c r="AM87" s="431">
        <f t="shared" si="32"/>
        <v>0</v>
      </c>
      <c r="AN87" s="465" t="str">
        <f t="shared" si="33"/>
        <v>-1.53 pts.</v>
      </c>
      <c r="AO87" s="11"/>
    </row>
    <row r="88" spans="1:41" x14ac:dyDescent="0.35">
      <c r="A88" s="65" t="s">
        <v>7</v>
      </c>
      <c r="B88" s="66" t="str">
        <f>IF(_epmOfflineCondition_,"'BCC_CONS'!$A$102:$F$108",_xll.EVRNG(A102:F108))</f>
        <v>'BCC_CONS'!$A$102:$F$108</v>
      </c>
      <c r="C88" s="11"/>
      <c r="D88" s="11"/>
      <c r="E88" s="11"/>
      <c r="F88" s="11"/>
      <c r="G88" s="11"/>
      <c r="H88" s="88" t="s">
        <v>76</v>
      </c>
      <c r="I88" s="188" t="str">
        <f>IF(_epmOfflineCondition_,"T1",_xll.EVPRO($B$1,$H88,"STYLE"))</f>
        <v>T1</v>
      </c>
      <c r="J88" s="188" t="str">
        <f>IF(_epmOfflineCondition_,"Y",_xll.EVPRO($B$1,$H88,"CALC"))</f>
        <v>Y</v>
      </c>
      <c r="K88" s="189" t="str">
        <f t="shared" si="22"/>
        <v/>
      </c>
      <c r="L88" s="190" t="str">
        <f>IF(_epmOfflineCondition_,"600000",_xll.EVPRO($B$1,H88,"JDEID"))</f>
        <v>600000</v>
      </c>
      <c r="M88" s="190" t="str">
        <f>IF(_epmOfflineCondition_,"",IF(AND(I88="N",J88="N"),_xll.EVPRO($B$1,H88,"PSFTID"),""))</f>
        <v/>
      </c>
      <c r="N88" s="190" t="str">
        <f>IF(_epmOfflineCondition_,"Total Labor &amp; Related Exp",IF(_xll.EVDES(H88,$B$1)="#NODATA","",_xll.EVDES(H88,$B$1)))</f>
        <v>Total Labor &amp; Related Exp</v>
      </c>
      <c r="O88" s="238">
        <v>0</v>
      </c>
      <c r="P88" s="238"/>
      <c r="Q88" s="238">
        <v>122.1</v>
      </c>
      <c r="R88" s="238">
        <v>2490.1799999999998</v>
      </c>
      <c r="S88" s="238">
        <v>-516.46</v>
      </c>
      <c r="T88" s="238">
        <v>866.7</v>
      </c>
      <c r="U88" s="238">
        <v>401.93</v>
      </c>
      <c r="V88" s="238"/>
      <c r="W88" s="238">
        <v>867</v>
      </c>
      <c r="X88" s="238">
        <v>1494.37</v>
      </c>
      <c r="Y88" s="238">
        <v>4214.72</v>
      </c>
      <c r="Z88" s="238">
        <v>209.31</v>
      </c>
      <c r="AA88" s="238">
        <f t="shared" si="23"/>
        <v>10149.849999999999</v>
      </c>
      <c r="AB88" s="239">
        <f t="shared" si="24"/>
        <v>0.12100645957525748</v>
      </c>
      <c r="AC88" s="240"/>
      <c r="AD88" s="238">
        <v>13535.1764698394</v>
      </c>
      <c r="AE88" s="239">
        <f t="shared" si="25"/>
        <v>6.0280032096292437E-2</v>
      </c>
      <c r="AF88" s="241">
        <f t="shared" si="26"/>
        <v>-3385.3264698394014</v>
      </c>
      <c r="AG88" s="238">
        <v>24561.98</v>
      </c>
      <c r="AH88" s="239">
        <f t="shared" si="27"/>
        <v>0.31123182621080453</v>
      </c>
      <c r="AI88" s="241">
        <f t="shared" si="28"/>
        <v>-14412.130000000001</v>
      </c>
      <c r="AJ88" s="242">
        <f t="shared" si="29"/>
        <v>13.497140957446806</v>
      </c>
      <c r="AK88" s="243">
        <f t="shared" si="30"/>
        <v>6.4568322911477587</v>
      </c>
      <c r="AL88" s="245">
        <f t="shared" si="31"/>
        <v>26.931995614035088</v>
      </c>
      <c r="AM88" s="431" t="str">
        <f t="shared" si="32"/>
        <v>6.07 pts.</v>
      </c>
      <c r="AN88" s="465" t="str">
        <f t="shared" si="33"/>
        <v>-19.02 pts.</v>
      </c>
      <c r="AO88" s="11"/>
    </row>
    <row r="89" spans="1:41" x14ac:dyDescent="0.35">
      <c r="A89" s="65" t="s">
        <v>47</v>
      </c>
      <c r="B89" s="66" t="str">
        <f>IF(_epmOfflineCondition_,"'BCC_CONS'!$A$125:$B$130",_xll.EVRNG($A$125:$B$130))</f>
        <v>'BCC_CONS'!$A$125:$B$130</v>
      </c>
      <c r="C89" s="11"/>
      <c r="D89" s="11"/>
      <c r="E89" s="11"/>
      <c r="F89" s="11"/>
      <c r="G89" s="11"/>
      <c r="H89" s="11"/>
      <c r="I89" s="59"/>
      <c r="J89" s="59"/>
      <c r="K89" s="11"/>
      <c r="L89" s="11"/>
      <c r="M89" s="11"/>
      <c r="N89" s="11"/>
      <c r="O89" s="129"/>
      <c r="P89" s="130"/>
      <c r="Q89" s="130"/>
      <c r="R89" s="130"/>
      <c r="S89" s="130"/>
      <c r="T89" s="130"/>
      <c r="U89" s="130"/>
      <c r="V89" s="130"/>
      <c r="W89" s="130"/>
      <c r="X89" s="130"/>
      <c r="Y89" s="130"/>
      <c r="Z89" s="130"/>
      <c r="AA89" s="130"/>
      <c r="AB89" s="131"/>
      <c r="AC89" s="11"/>
      <c r="AD89" s="129"/>
      <c r="AE89" s="130"/>
      <c r="AF89" s="131"/>
      <c r="AG89" s="129"/>
      <c r="AH89" s="130"/>
      <c r="AI89" s="131"/>
      <c r="AJ89" s="11"/>
      <c r="AK89" s="11"/>
      <c r="AL89" s="11"/>
      <c r="AM89" s="11"/>
      <c r="AN89" s="11"/>
      <c r="AO89" s="11"/>
    </row>
    <row r="90" spans="1:41" x14ac:dyDescent="0.35">
      <c r="A90" s="65" t="s">
        <v>8</v>
      </c>
      <c r="B90" s="66"/>
      <c r="C90" s="11"/>
      <c r="D90" s="11"/>
      <c r="E90" s="11"/>
      <c r="F90" s="11"/>
      <c r="G90" s="11"/>
      <c r="H90" s="11" t="s">
        <v>82</v>
      </c>
      <c r="I90" s="59" t="str">
        <f>IF(_epmOfflineCondition_,"B1",_xll.EVPRO($B$1,$H90,"STYLE"))</f>
        <v>B1</v>
      </c>
      <c r="J90" s="59" t="str">
        <f>IF(_epmOfflineCondition_,"Y",_xll.EVPRO($B$1,$H90,"CALC"))</f>
        <v>Y</v>
      </c>
      <c r="K90" s="11"/>
      <c r="L90" s="11"/>
      <c r="M90" s="11"/>
      <c r="N90" s="105" t="str">
        <f>IF(_epmOfflineCondition_,"Other Expenses",IF(_xll.EVDES(H90,$B$1)="#NODATA","",_xll.EVDES(H90,$B$1)))</f>
        <v>Other Expenses</v>
      </c>
      <c r="O90" s="119"/>
      <c r="P90" s="120"/>
      <c r="Q90" s="120"/>
      <c r="R90" s="120"/>
      <c r="S90" s="120"/>
      <c r="T90" s="120"/>
      <c r="U90" s="120"/>
      <c r="V90" s="120"/>
      <c r="W90" s="120"/>
      <c r="X90" s="120"/>
      <c r="Y90" s="120"/>
      <c r="Z90" s="120"/>
      <c r="AA90" s="120"/>
      <c r="AB90" s="121"/>
      <c r="AC90" s="11"/>
      <c r="AD90" s="119"/>
      <c r="AE90" s="120"/>
      <c r="AF90" s="121"/>
      <c r="AG90" s="119"/>
      <c r="AH90" s="120"/>
      <c r="AI90" s="121"/>
      <c r="AJ90" s="11"/>
      <c r="AK90" s="11"/>
      <c r="AL90" s="11"/>
      <c r="AM90" s="11"/>
      <c r="AN90" s="11"/>
      <c r="AO90" s="11"/>
    </row>
    <row r="91" spans="1:41" x14ac:dyDescent="0.35">
      <c r="A91" s="11"/>
      <c r="B91" s="11"/>
      <c r="C91" s="11"/>
      <c r="D91" s="11"/>
      <c r="E91" s="11"/>
      <c r="F91" s="11"/>
      <c r="G91" s="76"/>
      <c r="H91" s="88" t="s">
        <v>828</v>
      </c>
      <c r="I91" s="122" t="str">
        <f>IF(_epmOfflineCondition_,"N",_xll.EVPRO($B$1,$H91,"STYLE"))</f>
        <v>N</v>
      </c>
      <c r="J91" s="122" t="str">
        <f>IF(_epmOfflineCondition_,"N",_xll.EVPRO($B$1,$H91,"CALC"))</f>
        <v>N</v>
      </c>
      <c r="K91" s="179" t="str">
        <f t="shared" ref="K91:K99" si="34">IF(AND(I91&lt;&gt;"B1",J91="Y"),"&gt;","")</f>
        <v/>
      </c>
      <c r="L91" s="90" t="str">
        <f>IF(_epmOfflineCondition_,"701100",_xll.EVPRO($B$1,H91,"JDEID"))</f>
        <v>701100</v>
      </c>
      <c r="M91" s="90" t="str">
        <f>IF(_epmOfflineCondition_,"690015",IF(AND(I91="N",J91="N"),_xll.EVPRO($B$1,H91,"PSFTID"),""))</f>
        <v>690015</v>
      </c>
      <c r="N91" s="90" t="str">
        <f>IF(_epmOfflineCondition_,"Dues and Subscriptions",IF(_xll.EVDES(H91,$B$1)="#NODATA","",_xll.EVDES(H91,$B$1)))</f>
        <v>Dues and Subscriptions</v>
      </c>
      <c r="O91" s="143"/>
      <c r="P91" s="143">
        <v>700</v>
      </c>
      <c r="Q91" s="143"/>
      <c r="R91" s="143"/>
      <c r="S91" s="143"/>
      <c r="T91" s="143"/>
      <c r="U91" s="143"/>
      <c r="V91" s="143"/>
      <c r="W91" s="143">
        <v>1050</v>
      </c>
      <c r="X91" s="143"/>
      <c r="Y91" s="143"/>
      <c r="Z91" s="143"/>
      <c r="AA91" s="250">
        <f t="shared" ref="AA91:AA100" si="35">IF($I91="B1","",SUM(O91:Z91))</f>
        <v>1750</v>
      </c>
      <c r="AB91" s="144">
        <f t="shared" ref="AB91:AB100" si="36">IF(AA91=0,"",IFERROR(AA91/AA$19,""))</f>
        <v>2.0863491012842614E-2</v>
      </c>
      <c r="AC91" s="140"/>
      <c r="AD91" s="143"/>
      <c r="AE91" s="144" t="str">
        <f t="shared" ref="AE91:AE100" si="37">IF(AD91=0,"",IFERROR(AD91/AD$19,""))</f>
        <v/>
      </c>
      <c r="AF91" s="145">
        <f t="shared" ref="AF91:AF100" si="38">IF(AND($AA91="",AD91=""),"",$AA91-AD91)</f>
        <v>1750</v>
      </c>
      <c r="AG91" s="143"/>
      <c r="AH91" s="144" t="str">
        <f t="shared" ref="AH91:AH100" si="39">IF(AG91=0,"",IFERROR(AG91/AG$19,""))</f>
        <v/>
      </c>
      <c r="AI91" s="145">
        <f t="shared" ref="AI91:AI100" si="40">IF(AND($AA91="",AG91=""),"",$AA91-AG91)</f>
        <v>1750</v>
      </c>
      <c r="AJ91" s="440">
        <f t="shared" ref="AJ91:AJ100" si="41">IFERROR(AA91/AA$20,0)</f>
        <v>2.3271276595744679</v>
      </c>
      <c r="AK91" s="441">
        <f t="shared" ref="AK91:AK100" si="42">IFERROR(AD91/AD$20,0)</f>
        <v>0</v>
      </c>
      <c r="AL91" s="442">
        <f t="shared" ref="AL91:AL100" si="43">IFERROR(AG91/AG$20,0)</f>
        <v>0</v>
      </c>
      <c r="AM91" s="443">
        <f t="shared" ref="AM91:AM100" si="44">+IFERROR(ROUND(($AB91-AE91)*100,2)&amp;" pts.",0)</f>
        <v>0</v>
      </c>
      <c r="AN91" s="444">
        <f t="shared" ref="AN91:AN100" si="45">+IFERROR(ROUND(($AB91-AH91)*100,2)&amp;" pts.",0)</f>
        <v>0</v>
      </c>
      <c r="AO91" s="11"/>
    </row>
    <row r="92" spans="1:41" x14ac:dyDescent="0.35">
      <c r="A92" s="62" t="s">
        <v>9</v>
      </c>
      <c r="B92" s="63" t="s">
        <v>10</v>
      </c>
      <c r="C92" s="11"/>
      <c r="D92" s="11"/>
      <c r="E92" s="11"/>
      <c r="F92" s="11"/>
      <c r="G92" s="11"/>
      <c r="H92" s="88" t="s">
        <v>856</v>
      </c>
      <c r="I92" s="122" t="str">
        <f>IF(_epmOfflineCondition_,"N",_xll.EVPRO($B$1,$H92,"STYLE"))</f>
        <v>N</v>
      </c>
      <c r="J92" s="122" t="str">
        <f>IF(_epmOfflineCondition_,"N",_xll.EVPRO($B$1,$H92,"CALC"))</f>
        <v>N</v>
      </c>
      <c r="K92" s="179" t="str">
        <f t="shared" si="34"/>
        <v/>
      </c>
      <c r="L92" s="90" t="str">
        <f>IF(_epmOfflineCondition_,"701300",_xll.EVPRO($B$1,H92,"JDEID"))</f>
        <v>701300</v>
      </c>
      <c r="M92" s="90" t="str">
        <f>IF(_epmOfflineCondition_,"690205",IF(AND(I92="N",J92="N"),_xll.EVPRO($B$1,H92,"PSFTID"),""))</f>
        <v>690205</v>
      </c>
      <c r="N92" s="90" t="str">
        <f>IF(_epmOfflineCondition_,"Printing &amp; Stationery",IF(_xll.EVDES(H92,$B$1)="#NODATA","",_xll.EVDES(H92,$B$1)))</f>
        <v>Printing &amp; Stationery</v>
      </c>
      <c r="O92" s="143"/>
      <c r="P92" s="143"/>
      <c r="Q92" s="143"/>
      <c r="R92" s="143"/>
      <c r="S92" s="143"/>
      <c r="T92" s="143"/>
      <c r="U92" s="143"/>
      <c r="V92" s="143"/>
      <c r="W92" s="143"/>
      <c r="X92" s="143"/>
      <c r="Y92" s="143"/>
      <c r="Z92" s="143">
        <v>538.03</v>
      </c>
      <c r="AA92" s="250">
        <f t="shared" si="35"/>
        <v>538.03</v>
      </c>
      <c r="AB92" s="144">
        <f t="shared" si="36"/>
        <v>6.4143908969369777E-3</v>
      </c>
      <c r="AC92" s="140"/>
      <c r="AD92" s="143"/>
      <c r="AE92" s="144" t="str">
        <f t="shared" si="37"/>
        <v/>
      </c>
      <c r="AF92" s="145">
        <f t="shared" si="38"/>
        <v>538.03</v>
      </c>
      <c r="AG92" s="143">
        <v>147.28</v>
      </c>
      <c r="AH92" s="144">
        <f t="shared" si="39"/>
        <v>1.8662267196833191E-3</v>
      </c>
      <c r="AI92" s="145">
        <f t="shared" si="40"/>
        <v>390.75</v>
      </c>
      <c r="AJ92" s="440">
        <f t="shared" si="41"/>
        <v>0.71546542553191483</v>
      </c>
      <c r="AK92" s="441">
        <f t="shared" si="42"/>
        <v>0</v>
      </c>
      <c r="AL92" s="442">
        <f t="shared" si="43"/>
        <v>0.16149122807017544</v>
      </c>
      <c r="AM92" s="443">
        <f t="shared" si="44"/>
        <v>0</v>
      </c>
      <c r="AN92" s="444" t="str">
        <f t="shared" si="45"/>
        <v>0.45 pts.</v>
      </c>
      <c r="AO92" s="11"/>
    </row>
    <row r="93" spans="1:41" x14ac:dyDescent="0.35">
      <c r="A93" s="65" t="s">
        <v>11</v>
      </c>
      <c r="B93" s="66" t="s">
        <v>21</v>
      </c>
      <c r="C93" s="11"/>
      <c r="D93" s="11"/>
      <c r="E93" s="11"/>
      <c r="F93" s="11"/>
      <c r="G93" s="11"/>
      <c r="H93" s="88" t="s">
        <v>831</v>
      </c>
      <c r="I93" s="122" t="str">
        <f>IF(_epmOfflineCondition_,"T4",_xll.EVPRO($B$1,$H93,"STYLE"))</f>
        <v>T4</v>
      </c>
      <c r="J93" s="122" t="str">
        <f>IF(_epmOfflineCondition_,"Y",_xll.EVPRO($B$1,$H93,"CALC"))</f>
        <v>Y</v>
      </c>
      <c r="K93" s="179" t="str">
        <f t="shared" si="34"/>
        <v>&gt;</v>
      </c>
      <c r="L93" s="90" t="str">
        <f>IF(_epmOfflineCondition_,"701500",_xll.EVPRO($B$1,H93,"JDEID"))</f>
        <v>701500</v>
      </c>
      <c r="M93" s="90" t="str">
        <f>IF(_epmOfflineCondition_,"",IF(AND(I93="N",J93="N"),_xll.EVPRO($B$1,H93,"PSFTID"),""))</f>
        <v/>
      </c>
      <c r="N93" s="90" t="str">
        <f>IF(_epmOfflineCondition_,"Operating Supplies",IF(_xll.EVDES(H93,$B$1)="#NODATA","",_xll.EVDES(H93,$B$1)))</f>
        <v>Operating Supplies</v>
      </c>
      <c r="O93" s="143"/>
      <c r="P93" s="143"/>
      <c r="Q93" s="143"/>
      <c r="R93" s="143"/>
      <c r="S93" s="143"/>
      <c r="T93" s="143"/>
      <c r="U93" s="143"/>
      <c r="V93" s="143"/>
      <c r="W93" s="143"/>
      <c r="X93" s="143">
        <v>20.73</v>
      </c>
      <c r="Y93" s="143"/>
      <c r="Z93" s="143"/>
      <c r="AA93" s="250">
        <f t="shared" si="35"/>
        <v>20.73</v>
      </c>
      <c r="AB93" s="144">
        <f t="shared" si="36"/>
        <v>2.4714295354070137E-4</v>
      </c>
      <c r="AC93" s="140"/>
      <c r="AD93" s="143"/>
      <c r="AE93" s="144" t="str">
        <f t="shared" si="37"/>
        <v/>
      </c>
      <c r="AF93" s="145">
        <f t="shared" si="38"/>
        <v>20.73</v>
      </c>
      <c r="AG93" s="143">
        <v>1289.71</v>
      </c>
      <c r="AH93" s="144">
        <f t="shared" si="39"/>
        <v>1.6342281794152456E-2</v>
      </c>
      <c r="AI93" s="145">
        <f t="shared" si="40"/>
        <v>-1268.98</v>
      </c>
      <c r="AJ93" s="440">
        <f t="shared" si="41"/>
        <v>2.756648936170213E-2</v>
      </c>
      <c r="AK93" s="441">
        <f t="shared" si="42"/>
        <v>0</v>
      </c>
      <c r="AL93" s="442">
        <f t="shared" si="43"/>
        <v>1.414155701754386</v>
      </c>
      <c r="AM93" s="443">
        <f t="shared" si="44"/>
        <v>0</v>
      </c>
      <c r="AN93" s="444" t="str">
        <f t="shared" si="45"/>
        <v>-1.61 pts.</v>
      </c>
      <c r="AO93" s="11"/>
    </row>
    <row r="94" spans="1:41" x14ac:dyDescent="0.35">
      <c r="A94" s="65" t="s">
        <v>12</v>
      </c>
      <c r="B94" s="66" t="s">
        <v>22</v>
      </c>
      <c r="C94" s="11"/>
      <c r="D94" s="11"/>
      <c r="E94" s="11"/>
      <c r="F94" s="11"/>
      <c r="G94" s="11"/>
      <c r="H94" s="88" t="s">
        <v>857</v>
      </c>
      <c r="I94" s="122" t="str">
        <f>IF(_epmOfflineCondition_,"N",_xll.EVPRO($B$1,$H94,"STYLE"))</f>
        <v>N</v>
      </c>
      <c r="J94" s="122" t="str">
        <f>IF(_epmOfflineCondition_,"N",_xll.EVPRO($B$1,$H94,"CALC"))</f>
        <v>N</v>
      </c>
      <c r="K94" s="179" t="str">
        <f t="shared" si="34"/>
        <v/>
      </c>
      <c r="L94" s="90" t="str">
        <f>IF(_epmOfflineCondition_,"701600",_xll.EVPRO($B$1,H94,"JDEID"))</f>
        <v>701600</v>
      </c>
      <c r="M94" s="90" t="str">
        <f>IF(_epmOfflineCondition_,"590015",IF(AND(I94="N",J94="N"),_xll.EVPRO($B$1,H94,"PSFTID"),""))</f>
        <v>590015</v>
      </c>
      <c r="N94" s="90" t="str">
        <f>IF(_epmOfflineCondition_,"Cleaning Supplies",IF(_xll.EVDES(H94,$B$1)="#NODATA","",_xll.EVDES(H94,$B$1)))</f>
        <v>Cleaning Supplies</v>
      </c>
      <c r="O94" s="143"/>
      <c r="P94" s="143"/>
      <c r="Q94" s="143"/>
      <c r="R94" s="143"/>
      <c r="S94" s="143"/>
      <c r="T94" s="143"/>
      <c r="U94" s="143"/>
      <c r="V94" s="143"/>
      <c r="W94" s="143"/>
      <c r="X94" s="143"/>
      <c r="Y94" s="143"/>
      <c r="Z94" s="143"/>
      <c r="AA94" s="250">
        <f t="shared" si="35"/>
        <v>0</v>
      </c>
      <c r="AB94" s="144" t="str">
        <f t="shared" si="36"/>
        <v/>
      </c>
      <c r="AC94" s="140"/>
      <c r="AD94" s="143"/>
      <c r="AE94" s="144" t="str">
        <f t="shared" si="37"/>
        <v/>
      </c>
      <c r="AF94" s="145">
        <f t="shared" si="38"/>
        <v>0</v>
      </c>
      <c r="AG94" s="143">
        <v>26</v>
      </c>
      <c r="AH94" s="144">
        <f t="shared" si="39"/>
        <v>3.2945338614724537E-4</v>
      </c>
      <c r="AI94" s="145">
        <f t="shared" si="40"/>
        <v>-26</v>
      </c>
      <c r="AJ94" s="440">
        <f t="shared" si="41"/>
        <v>0</v>
      </c>
      <c r="AK94" s="441">
        <f t="shared" si="42"/>
        <v>0</v>
      </c>
      <c r="AL94" s="442">
        <f t="shared" si="43"/>
        <v>2.850877192982456E-2</v>
      </c>
      <c r="AM94" s="443">
        <f t="shared" si="44"/>
        <v>0</v>
      </c>
      <c r="AN94" s="444">
        <f t="shared" si="45"/>
        <v>0</v>
      </c>
      <c r="AO94" s="11"/>
    </row>
    <row r="95" spans="1:41" x14ac:dyDescent="0.35">
      <c r="A95" s="65" t="s">
        <v>13</v>
      </c>
      <c r="B95" s="66" t="s">
        <v>737</v>
      </c>
      <c r="C95" s="11"/>
      <c r="D95" s="11"/>
      <c r="E95" s="11"/>
      <c r="F95" s="11"/>
      <c r="G95" s="11"/>
      <c r="H95" s="88" t="s">
        <v>858</v>
      </c>
      <c r="I95" s="122" t="str">
        <f>IF(_epmOfflineCondition_,"N",_xll.EVPRO($B$1,$H95,"STYLE"))</f>
        <v>N</v>
      </c>
      <c r="J95" s="122" t="str">
        <f>IF(_epmOfflineCondition_,"N",_xll.EVPRO($B$1,$H95,"CALC"))</f>
        <v>N</v>
      </c>
      <c r="K95" s="179" t="str">
        <f t="shared" si="34"/>
        <v/>
      </c>
      <c r="L95" s="90" t="str">
        <f>IF(_epmOfflineCondition_,"701700",_xll.EVPRO($B$1,H95,"JDEID"))</f>
        <v>701700</v>
      </c>
      <c r="M95" s="90" t="str">
        <f>IF(_epmOfflineCondition_,"590026",IF(AND(I95="N",J95="N"),_xll.EVPRO($B$1,H95,"PSFTID"),""))</f>
        <v>590026</v>
      </c>
      <c r="N95" s="90" t="str">
        <f>IF(_epmOfflineCondition_,"Dishwashing Supplies",IF(_xll.EVDES(H95,$B$1)="#NODATA","",_xll.EVDES(H95,$B$1)))</f>
        <v>Dishwashing Supplies</v>
      </c>
      <c r="O95" s="143"/>
      <c r="P95" s="143"/>
      <c r="Q95" s="143"/>
      <c r="R95" s="143"/>
      <c r="S95" s="143"/>
      <c r="T95" s="143"/>
      <c r="U95" s="143"/>
      <c r="V95" s="143"/>
      <c r="W95" s="143"/>
      <c r="X95" s="143"/>
      <c r="Y95" s="143"/>
      <c r="Z95" s="143"/>
      <c r="AA95" s="250">
        <f t="shared" si="35"/>
        <v>0</v>
      </c>
      <c r="AB95" s="144" t="str">
        <f t="shared" si="36"/>
        <v/>
      </c>
      <c r="AC95" s="140"/>
      <c r="AD95" s="143"/>
      <c r="AE95" s="144" t="str">
        <f t="shared" si="37"/>
        <v/>
      </c>
      <c r="AF95" s="145">
        <f t="shared" si="38"/>
        <v>0</v>
      </c>
      <c r="AG95" s="143">
        <v>37</v>
      </c>
      <c r="AH95" s="144">
        <f t="shared" si="39"/>
        <v>4.6883751105569532E-4</v>
      </c>
      <c r="AI95" s="145">
        <f t="shared" si="40"/>
        <v>-37</v>
      </c>
      <c r="AJ95" s="440">
        <f t="shared" si="41"/>
        <v>0</v>
      </c>
      <c r="AK95" s="441">
        <f t="shared" si="42"/>
        <v>0</v>
      </c>
      <c r="AL95" s="442">
        <f t="shared" si="43"/>
        <v>4.0570175438596492E-2</v>
      </c>
      <c r="AM95" s="443">
        <f t="shared" si="44"/>
        <v>0</v>
      </c>
      <c r="AN95" s="444">
        <f t="shared" si="45"/>
        <v>0</v>
      </c>
      <c r="AO95" s="11"/>
    </row>
    <row r="96" spans="1:41" x14ac:dyDescent="0.35">
      <c r="A96" s="65" t="s">
        <v>14</v>
      </c>
      <c r="B96" s="66"/>
      <c r="C96" s="11"/>
      <c r="D96" s="11"/>
      <c r="E96" s="11"/>
      <c r="F96" s="11"/>
      <c r="G96" s="11"/>
      <c r="H96" s="88" t="s">
        <v>859</v>
      </c>
      <c r="I96" s="122" t="str">
        <f>IF(_epmOfflineCondition_,"N",_xll.EVPRO($B$1,$H96,"STYLE"))</f>
        <v>N</v>
      </c>
      <c r="J96" s="122" t="str">
        <f>IF(_epmOfflineCondition_,"N",_xll.EVPRO($B$1,$H96,"CALC"))</f>
        <v>N</v>
      </c>
      <c r="K96" s="179" t="str">
        <f t="shared" si="34"/>
        <v/>
      </c>
      <c r="L96" s="90" t="str">
        <f>IF(_epmOfflineCondition_,"702000",_xll.EVPRO($B$1,H96,"JDEID"))</f>
        <v>702000</v>
      </c>
      <c r="M96" s="90" t="str">
        <f>IF(_epmOfflineCondition_,"590031",IF(AND(I96="N",J96="N"),_xll.EVPRO($B$1,H96,"PSFTID"),""))</f>
        <v>590031</v>
      </c>
      <c r="N96" s="90" t="str">
        <f>IF(_epmOfflineCondition_,"Paper and Plastics",IF(_xll.EVDES(H96,$B$1)="#NODATA","",_xll.EVDES(H96,$B$1)))</f>
        <v>Paper and Plastics</v>
      </c>
      <c r="O96" s="143"/>
      <c r="P96" s="143"/>
      <c r="Q96" s="143"/>
      <c r="R96" s="143"/>
      <c r="S96" s="143"/>
      <c r="T96" s="143"/>
      <c r="U96" s="143"/>
      <c r="V96" s="143"/>
      <c r="W96" s="143"/>
      <c r="X96" s="143"/>
      <c r="Y96" s="143"/>
      <c r="Z96" s="143"/>
      <c r="AA96" s="250">
        <f t="shared" si="35"/>
        <v>0</v>
      </c>
      <c r="AB96" s="144" t="str">
        <f t="shared" si="36"/>
        <v/>
      </c>
      <c r="AC96" s="140"/>
      <c r="AD96" s="143"/>
      <c r="AE96" s="144" t="str">
        <f t="shared" si="37"/>
        <v/>
      </c>
      <c r="AF96" s="145">
        <f t="shared" si="38"/>
        <v>0</v>
      </c>
      <c r="AG96" s="143">
        <v>52</v>
      </c>
      <c r="AH96" s="144">
        <f t="shared" si="39"/>
        <v>6.5890677229449074E-4</v>
      </c>
      <c r="AI96" s="145">
        <f t="shared" si="40"/>
        <v>-52</v>
      </c>
      <c r="AJ96" s="440">
        <f t="shared" si="41"/>
        <v>0</v>
      </c>
      <c r="AK96" s="441">
        <f t="shared" si="42"/>
        <v>0</v>
      </c>
      <c r="AL96" s="442">
        <f t="shared" si="43"/>
        <v>5.701754385964912E-2</v>
      </c>
      <c r="AM96" s="443">
        <f t="shared" si="44"/>
        <v>0</v>
      </c>
      <c r="AN96" s="444">
        <f t="shared" si="45"/>
        <v>0</v>
      </c>
      <c r="AO96" s="11"/>
    </row>
    <row r="97" spans="1:41" x14ac:dyDescent="0.35">
      <c r="A97" s="65" t="s">
        <v>15</v>
      </c>
      <c r="B97" s="66"/>
      <c r="C97" s="11"/>
      <c r="D97" s="11"/>
      <c r="E97" s="11"/>
      <c r="F97" s="11"/>
      <c r="G97" s="11"/>
      <c r="H97" s="88" t="s">
        <v>860</v>
      </c>
      <c r="I97" s="122" t="str">
        <f>IF(_epmOfflineCondition_,"N",_xll.EVPRO($B$1,$H97,"STYLE"))</f>
        <v>N</v>
      </c>
      <c r="J97" s="122" t="str">
        <f>IF(_epmOfflineCondition_,"N",_xll.EVPRO($B$1,$H97,"CALC"))</f>
        <v>N</v>
      </c>
      <c r="K97" s="179" t="str">
        <f t="shared" si="34"/>
        <v/>
      </c>
      <c r="L97" s="90" t="str">
        <f>IF(_epmOfflineCondition_,"703400",_xll.EVPRO($B$1,H97,"JDEID"))</f>
        <v>703400</v>
      </c>
      <c r="M97" s="90" t="str">
        <f>IF(_epmOfflineCondition_,"590010",IF(AND(I97="N",J97="N"),_xll.EVPRO($B$1,H97,"PSFTID"),""))</f>
        <v>590010</v>
      </c>
      <c r="N97" s="90" t="str">
        <f>IF(_epmOfflineCondition_,"Linen",IF(_xll.EVDES(H97,$B$1)="#NODATA","",_xll.EVDES(H97,$B$1)))</f>
        <v>Linen</v>
      </c>
      <c r="O97" s="143"/>
      <c r="P97" s="143"/>
      <c r="Q97" s="143"/>
      <c r="R97" s="143"/>
      <c r="S97" s="143"/>
      <c r="T97" s="143"/>
      <c r="U97" s="143"/>
      <c r="V97" s="143"/>
      <c r="W97" s="143"/>
      <c r="X97" s="143"/>
      <c r="Y97" s="143"/>
      <c r="Z97" s="143">
        <v>1949.3</v>
      </c>
      <c r="AA97" s="250">
        <f t="shared" si="35"/>
        <v>1949.3</v>
      </c>
      <c r="AB97" s="144">
        <f t="shared" si="36"/>
        <v>2.3239544589333777E-2</v>
      </c>
      <c r="AC97" s="140"/>
      <c r="AD97" s="143"/>
      <c r="AE97" s="144" t="str">
        <f t="shared" si="37"/>
        <v/>
      </c>
      <c r="AF97" s="145">
        <f t="shared" si="38"/>
        <v>1949.3</v>
      </c>
      <c r="AG97" s="143"/>
      <c r="AH97" s="144" t="str">
        <f t="shared" si="39"/>
        <v/>
      </c>
      <c r="AI97" s="145">
        <f t="shared" si="40"/>
        <v>1949.3</v>
      </c>
      <c r="AJ97" s="440">
        <f t="shared" si="41"/>
        <v>2.5921542553191488</v>
      </c>
      <c r="AK97" s="441">
        <f t="shared" si="42"/>
        <v>0</v>
      </c>
      <c r="AL97" s="442">
        <f t="shared" si="43"/>
        <v>0</v>
      </c>
      <c r="AM97" s="443">
        <f t="shared" si="44"/>
        <v>0</v>
      </c>
      <c r="AN97" s="444">
        <f t="shared" si="45"/>
        <v>0</v>
      </c>
      <c r="AO97" s="11"/>
    </row>
    <row r="98" spans="1:41" x14ac:dyDescent="0.35">
      <c r="A98" s="65" t="s">
        <v>16</v>
      </c>
      <c r="B98" s="66" t="s">
        <v>78</v>
      </c>
      <c r="C98" s="11"/>
      <c r="D98" s="11"/>
      <c r="E98" s="11"/>
      <c r="F98" s="11"/>
      <c r="G98" s="11"/>
      <c r="H98" s="88" t="s">
        <v>861</v>
      </c>
      <c r="I98" s="122" t="str">
        <f>IF(_epmOfflineCondition_,"N",_xll.EVPRO($B$1,$H98,"STYLE"))</f>
        <v>N</v>
      </c>
      <c r="J98" s="122" t="str">
        <f>IF(_epmOfflineCondition_,"N",_xll.EVPRO($B$1,$H98,"CALC"))</f>
        <v>N</v>
      </c>
      <c r="K98" s="179" t="str">
        <f t="shared" si="34"/>
        <v/>
      </c>
      <c r="L98" s="90" t="str">
        <f>IF(_epmOfflineCondition_,"703500",_xll.EVPRO($B$1,H98,"JDEID"))</f>
        <v>703500</v>
      </c>
      <c r="M98" s="90" t="str">
        <f>IF(_epmOfflineCondition_,"590004",IF(AND(I98="N",J98="N"),_xll.EVPRO($B$1,H98,"PSFTID"),""))</f>
        <v>590004</v>
      </c>
      <c r="N98" s="90" t="str">
        <f>IF(_epmOfflineCondition_,"China",IF(_xll.EVDES(H98,$B$1)="#NODATA","",_xll.EVDES(H98,$B$1)))</f>
        <v>China</v>
      </c>
      <c r="O98" s="143"/>
      <c r="P98" s="143"/>
      <c r="Q98" s="143"/>
      <c r="R98" s="143"/>
      <c r="S98" s="143"/>
      <c r="T98" s="143"/>
      <c r="U98" s="143"/>
      <c r="V98" s="143"/>
      <c r="W98" s="143"/>
      <c r="X98" s="143"/>
      <c r="Y98" s="143">
        <v>881.03</v>
      </c>
      <c r="Z98" s="143"/>
      <c r="AA98" s="250">
        <f t="shared" si="35"/>
        <v>881.03</v>
      </c>
      <c r="AB98" s="144">
        <f t="shared" si="36"/>
        <v>1.050363513545413E-2</v>
      </c>
      <c r="AC98" s="140"/>
      <c r="AD98" s="143"/>
      <c r="AE98" s="144" t="str">
        <f t="shared" si="37"/>
        <v/>
      </c>
      <c r="AF98" s="145">
        <f t="shared" si="38"/>
        <v>881.03</v>
      </c>
      <c r="AG98" s="143"/>
      <c r="AH98" s="144" t="str">
        <f t="shared" si="39"/>
        <v/>
      </c>
      <c r="AI98" s="145">
        <f t="shared" si="40"/>
        <v>881.03</v>
      </c>
      <c r="AJ98" s="440">
        <f t="shared" si="41"/>
        <v>1.1715824468085105</v>
      </c>
      <c r="AK98" s="441">
        <f t="shared" si="42"/>
        <v>0</v>
      </c>
      <c r="AL98" s="442">
        <f t="shared" si="43"/>
        <v>0</v>
      </c>
      <c r="AM98" s="443">
        <f t="shared" si="44"/>
        <v>0</v>
      </c>
      <c r="AN98" s="444">
        <f t="shared" si="45"/>
        <v>0</v>
      </c>
      <c r="AO98" s="11"/>
    </row>
    <row r="99" spans="1:41" x14ac:dyDescent="0.35">
      <c r="A99" s="65" t="s">
        <v>17</v>
      </c>
      <c r="B99" s="66"/>
      <c r="C99" s="11"/>
      <c r="D99" s="11"/>
      <c r="E99" s="11"/>
      <c r="F99" s="11"/>
      <c r="G99" s="11"/>
      <c r="H99" s="88" t="s">
        <v>862</v>
      </c>
      <c r="I99" s="122" t="str">
        <f>IF(_epmOfflineCondition_,"N",_xll.EVPRO($B$1,$H99,"STYLE"))</f>
        <v>N</v>
      </c>
      <c r="J99" s="122" t="str">
        <f>IF(_epmOfflineCondition_,"N",_xll.EVPRO($B$1,$H99,"CALC"))</f>
        <v>N</v>
      </c>
      <c r="K99" s="179" t="str">
        <f t="shared" si="34"/>
        <v/>
      </c>
      <c r="L99" s="90" t="str">
        <f>IF(_epmOfflineCondition_,"703800",_xll.EVPRO($B$1,H99,"JDEID"))</f>
        <v>703800</v>
      </c>
      <c r="M99" s="90" t="str">
        <f>IF(_epmOfflineCondition_,"690065",IF(AND(I99="N",J99="N"),_xll.EVPRO($B$1,H99,"PSFTID"),""))</f>
        <v>690065</v>
      </c>
      <c r="N99" s="90" t="str">
        <f>IF(_epmOfflineCondition_,"Equipment Rental",IF(_xll.EVDES(H99,$B$1)="#NODATA","",_xll.EVDES(H99,$B$1)))</f>
        <v>Equipment Rental</v>
      </c>
      <c r="O99" s="143"/>
      <c r="P99" s="143"/>
      <c r="Q99" s="143"/>
      <c r="R99" s="143"/>
      <c r="S99" s="143"/>
      <c r="T99" s="143">
        <v>320.91000000000003</v>
      </c>
      <c r="U99" s="143"/>
      <c r="V99" s="143"/>
      <c r="W99" s="143">
        <v>337</v>
      </c>
      <c r="X99" s="143"/>
      <c r="Y99" s="143">
        <v>0.5</v>
      </c>
      <c r="Z99" s="143"/>
      <c r="AA99" s="250">
        <f t="shared" si="35"/>
        <v>658.41000000000008</v>
      </c>
      <c r="AB99" s="144">
        <f t="shared" si="36"/>
        <v>7.849560638723262E-3</v>
      </c>
      <c r="AC99" s="140"/>
      <c r="AD99" s="143">
        <v>2178</v>
      </c>
      <c r="AE99" s="144">
        <f t="shared" si="37"/>
        <v>9.6999038171596691E-3</v>
      </c>
      <c r="AF99" s="145">
        <f t="shared" si="38"/>
        <v>-1519.59</v>
      </c>
      <c r="AG99" s="143">
        <v>4164.5</v>
      </c>
      <c r="AH99" s="144">
        <f t="shared" si="39"/>
        <v>5.2769562561930897E-2</v>
      </c>
      <c r="AI99" s="145">
        <f t="shared" si="40"/>
        <v>-3506.09</v>
      </c>
      <c r="AJ99" s="440">
        <f t="shared" si="41"/>
        <v>0.87554521276595754</v>
      </c>
      <c r="AK99" s="441">
        <f t="shared" si="42"/>
        <v>1.0389950039777118</v>
      </c>
      <c r="AL99" s="442">
        <f t="shared" si="43"/>
        <v>4.5663377192982457</v>
      </c>
      <c r="AM99" s="443" t="str">
        <f t="shared" si="44"/>
        <v>-0.19 pts.</v>
      </c>
      <c r="AN99" s="444" t="str">
        <f t="shared" si="45"/>
        <v>-4.49 pts.</v>
      </c>
      <c r="AO99" s="11"/>
    </row>
    <row r="100" spans="1:41" x14ac:dyDescent="0.35">
      <c r="A100" s="11"/>
      <c r="B100" s="11"/>
      <c r="C100" s="11"/>
      <c r="D100" s="11"/>
      <c r="E100" s="11"/>
      <c r="F100" s="11"/>
      <c r="G100" s="11"/>
      <c r="H100" s="88" t="s">
        <v>79</v>
      </c>
      <c r="I100" s="136" t="str">
        <f>IF(_epmOfflineCondition_,"T3",_xll.EVPRO($B$1,$H100,"STYLE"))</f>
        <v>T3</v>
      </c>
      <c r="J100" s="136" t="str">
        <f>IF(_epmOfflineCondition_,"Y",_xll.EVPRO($B$1,$H100,"CALC"))</f>
        <v>Y</v>
      </c>
      <c r="K100" s="104"/>
      <c r="L100" s="104"/>
      <c r="M100" s="104"/>
      <c r="N100" s="106" t="str">
        <f>IF(_epmOfflineCondition_,"Total Operations Expense",IF(_xll.EVDES(H100,$B$1)="#NODATA","",_xll.EVDES(H100,$B$1)))</f>
        <v>Total Operations Expense</v>
      </c>
      <c r="O100" s="154"/>
      <c r="P100" s="154">
        <v>700</v>
      </c>
      <c r="Q100" s="154"/>
      <c r="R100" s="154"/>
      <c r="S100" s="154"/>
      <c r="T100" s="154">
        <v>320.91000000000003</v>
      </c>
      <c r="U100" s="154"/>
      <c r="V100" s="154"/>
      <c r="W100" s="154">
        <v>1387</v>
      </c>
      <c r="X100" s="154">
        <v>20.73</v>
      </c>
      <c r="Y100" s="154">
        <v>881.53</v>
      </c>
      <c r="Z100" s="154">
        <v>2487.33</v>
      </c>
      <c r="AA100" s="154">
        <f t="shared" si="35"/>
        <v>5797.5</v>
      </c>
      <c r="AB100" s="155">
        <f t="shared" si="36"/>
        <v>6.9117765226831468E-2</v>
      </c>
      <c r="AC100" s="140"/>
      <c r="AD100" s="154">
        <v>2178</v>
      </c>
      <c r="AE100" s="155">
        <f t="shared" si="37"/>
        <v>9.6999038171596691E-3</v>
      </c>
      <c r="AF100" s="156">
        <f t="shared" si="38"/>
        <v>3619.5</v>
      </c>
      <c r="AG100" s="154">
        <v>5716.49</v>
      </c>
      <c r="AH100" s="155">
        <f t="shared" si="39"/>
        <v>7.2435268745264098E-2</v>
      </c>
      <c r="AI100" s="156">
        <f t="shared" si="40"/>
        <v>81.010000000000218</v>
      </c>
      <c r="AJ100" s="477">
        <f t="shared" si="41"/>
        <v>7.7094414893617023</v>
      </c>
      <c r="AK100" s="478">
        <f t="shared" si="42"/>
        <v>1.0389950039777118</v>
      </c>
      <c r="AL100" s="479">
        <f t="shared" si="43"/>
        <v>6.2680811403508772</v>
      </c>
      <c r="AM100" s="480" t="str">
        <f t="shared" si="44"/>
        <v>5.94 pts.</v>
      </c>
      <c r="AN100" s="555" t="str">
        <f t="shared" si="45"/>
        <v>-0.33 pts.</v>
      </c>
      <c r="AO100" s="11"/>
    </row>
    <row r="101" spans="1:41" x14ac:dyDescent="0.35">
      <c r="A101" s="97" t="s">
        <v>92</v>
      </c>
      <c r="B101" s="98" t="s">
        <v>93</v>
      </c>
      <c r="C101" s="98" t="s">
        <v>94</v>
      </c>
      <c r="D101" s="98" t="s">
        <v>95</v>
      </c>
      <c r="E101" s="98" t="s">
        <v>96</v>
      </c>
      <c r="F101" s="99" t="s">
        <v>97</v>
      </c>
      <c r="G101" s="11"/>
      <c r="H101" s="11"/>
      <c r="I101" s="59"/>
      <c r="J101" s="59"/>
      <c r="K101" s="11"/>
      <c r="L101" s="11"/>
      <c r="M101" s="11"/>
      <c r="N101" s="11"/>
      <c r="O101" s="140"/>
      <c r="P101" s="140"/>
      <c r="Q101" s="140"/>
      <c r="R101" s="140"/>
      <c r="S101" s="140"/>
      <c r="T101" s="140"/>
      <c r="U101" s="140"/>
      <c r="V101" s="140"/>
      <c r="W101" s="140"/>
      <c r="X101" s="140"/>
      <c r="Y101" s="140"/>
      <c r="Z101" s="140"/>
      <c r="AA101" s="140"/>
      <c r="AB101" s="140"/>
      <c r="AC101" s="140"/>
      <c r="AD101" s="140"/>
      <c r="AE101" s="140"/>
      <c r="AF101" s="140"/>
      <c r="AG101" s="140"/>
      <c r="AH101" s="140"/>
      <c r="AI101" s="140"/>
      <c r="AJ101" s="140"/>
      <c r="AK101" s="140"/>
      <c r="AL101" s="140"/>
      <c r="AM101" s="140"/>
      <c r="AN101" s="140"/>
      <c r="AO101" s="11"/>
    </row>
    <row r="102" spans="1:41" x14ac:dyDescent="0.35">
      <c r="A102" s="11"/>
      <c r="B102" s="11"/>
      <c r="C102" s="11"/>
      <c r="D102" s="11"/>
      <c r="E102" s="11"/>
      <c r="F102" s="11"/>
      <c r="G102" s="11"/>
      <c r="H102" s="88" t="s">
        <v>80</v>
      </c>
      <c r="I102" s="136" t="str">
        <f>IF(_epmOfflineCondition_,"T3",_xll.EVPRO($B$1,$H102,"STYLE"))</f>
        <v>T3</v>
      </c>
      <c r="J102" s="136" t="str">
        <f>IF(_epmOfflineCondition_,"Y",_xll.EVPRO($B$1,$H102,"CALC"))</f>
        <v>Y</v>
      </c>
      <c r="K102" s="106"/>
      <c r="L102" s="106"/>
      <c r="M102" s="106"/>
      <c r="N102" s="106" t="str">
        <f>IF(_epmOfflineCondition_,"Total Expenses",IF(_xll.EVDES(H102,$B$1)="#NODATA","",_xll.EVDES(H102,$B$1)))</f>
        <v>Total Expenses</v>
      </c>
      <c r="O102" s="238">
        <v>0</v>
      </c>
      <c r="P102" s="238">
        <v>700</v>
      </c>
      <c r="Q102" s="238">
        <v>122.1</v>
      </c>
      <c r="R102" s="238">
        <v>2490.1799999999998</v>
      </c>
      <c r="S102" s="238">
        <v>-516.46</v>
      </c>
      <c r="T102" s="238">
        <v>1187.6099999999999</v>
      </c>
      <c r="U102" s="238">
        <v>401.93</v>
      </c>
      <c r="V102" s="238"/>
      <c r="W102" s="238">
        <v>2254</v>
      </c>
      <c r="X102" s="238">
        <v>1515.1</v>
      </c>
      <c r="Y102" s="238">
        <v>5096.25</v>
      </c>
      <c r="Z102" s="238">
        <v>2696.64</v>
      </c>
      <c r="AA102" s="238">
        <f>IF($I102="B1","",SUM(O102:Z102))</f>
        <v>15947.349999999999</v>
      </c>
      <c r="AB102" s="239">
        <f>IF(AA102=0,"",IFERROR(AA102/AA$19,""))</f>
        <v>0.19012422480208893</v>
      </c>
      <c r="AC102" s="140"/>
      <c r="AD102" s="238">
        <v>15713.1764698394</v>
      </c>
      <c r="AE102" s="239">
        <f>IF(AD102=0,"",IFERROR(AD102/AD$19,""))</f>
        <v>6.9979935913452113E-2</v>
      </c>
      <c r="AF102" s="254">
        <f>IF(AND($AA102="",AD102=""),"",$AA102-AD102)</f>
        <v>234.1735301605986</v>
      </c>
      <c r="AG102" s="255">
        <v>30278.47</v>
      </c>
      <c r="AH102" s="256">
        <f>IF(AG102=0,"",IFERROR(AG102/AG$19,""))</f>
        <v>0.38366709495606865</v>
      </c>
      <c r="AI102" s="254">
        <f>IF(AND($AA102="",AG102=""),"",$AA102-AG102)</f>
        <v>-14331.120000000003</v>
      </c>
      <c r="AJ102" s="466">
        <f>IFERROR(AA102/AA$20,0)</f>
        <v>21.206582446808508</v>
      </c>
      <c r="AK102" s="467">
        <f>IFERROR(AD102/AD$20,0)</f>
        <v>7.4958272951254701</v>
      </c>
      <c r="AL102" s="468">
        <f>IFERROR(AG102/AG$20,0)</f>
        <v>33.200076754385968</v>
      </c>
      <c r="AM102" s="469" t="str">
        <f>+IFERROR(ROUND(($AB102-AE102)*100,2)&amp;" pts.",0)</f>
        <v>12.01 pts.</v>
      </c>
      <c r="AN102" s="556" t="str">
        <f>+IFERROR(ROUND(($AB102-AH102)*100,2)&amp;" pts.",0)</f>
        <v>-19.35 pts.</v>
      </c>
      <c r="AO102" s="11"/>
    </row>
    <row r="103" spans="1:41" ht="15" thickBot="1" x14ac:dyDescent="0.4">
      <c r="A103" s="11" t="s">
        <v>108</v>
      </c>
      <c r="B103" s="11"/>
      <c r="C103" s="104" t="s">
        <v>101</v>
      </c>
      <c r="D103" s="11" t="s">
        <v>106</v>
      </c>
      <c r="E103" s="11"/>
      <c r="F103" s="11" t="s">
        <v>98</v>
      </c>
      <c r="G103" s="11"/>
      <c r="H103" s="88" t="s">
        <v>81</v>
      </c>
      <c r="I103" s="136" t="str">
        <f>IF(_epmOfflineCondition_,"T3",_xll.EVPRO($B$1,$H103,"STYLE"))</f>
        <v>T3</v>
      </c>
      <c r="J103" s="136" t="str">
        <f>IF(_epmOfflineCondition_,"Y",_xll.EVPRO($B$1,$H103,"CALC"))</f>
        <v>Y</v>
      </c>
      <c r="K103" s="106"/>
      <c r="L103" s="106"/>
      <c r="M103" s="106"/>
      <c r="N103" s="106" t="str">
        <f>IF(_epmOfflineCondition_,"Department Profit (Loss)",IF(_xll.EVDES(H103,$B$1)="#NODATA","",_xll.EVDES(H103,$B$1)))</f>
        <v>Department Profit (Loss)</v>
      </c>
      <c r="O103" s="169">
        <v>0</v>
      </c>
      <c r="P103" s="169">
        <v>-200</v>
      </c>
      <c r="Q103" s="169">
        <v>1889</v>
      </c>
      <c r="R103" s="169">
        <v>12580.64</v>
      </c>
      <c r="S103" s="169">
        <v>2553.1799999999998</v>
      </c>
      <c r="T103" s="169">
        <v>5000.72</v>
      </c>
      <c r="U103" s="169">
        <v>2384.88</v>
      </c>
      <c r="V103" s="169"/>
      <c r="W103" s="169">
        <v>6511.17</v>
      </c>
      <c r="X103" s="169">
        <v>5641.02</v>
      </c>
      <c r="Y103" s="169">
        <v>12337.31</v>
      </c>
      <c r="Z103" s="169">
        <v>8561.92</v>
      </c>
      <c r="AA103" s="169">
        <f>IF($I103="B1","",SUM(O103:Z103))</f>
        <v>57259.839999999997</v>
      </c>
      <c r="AB103" s="170">
        <f>IF(AA103=0,"",IFERROR(AA103/AA$19,""))</f>
        <v>0.682651518421032</v>
      </c>
      <c r="AC103" s="140"/>
      <c r="AD103" s="169">
        <v>180576.58247163601</v>
      </c>
      <c r="AE103" s="170">
        <f>IF(AD103=0,"",IFERROR(AD103/AD$19,""))</f>
        <v>0.8042128014721166</v>
      </c>
      <c r="AF103" s="171">
        <f>IF(AND($AA103="",AD103=""),"",$AA103-AD103)</f>
        <v>-123316.74247163601</v>
      </c>
      <c r="AG103" s="169">
        <v>38368.67</v>
      </c>
      <c r="AH103" s="170">
        <f>IF(AG103=0,"",IFERROR(AG103/AG$19,""))</f>
        <v>0.48618031744100876</v>
      </c>
      <c r="AI103" s="171">
        <f>IF(AND($AA103="",AG103=""),"",$AA103-AG103)</f>
        <v>18891.169999999998</v>
      </c>
      <c r="AJ103" s="483">
        <f>IFERROR(AA103/AA$20,0)</f>
        <v>76.14340425531914</v>
      </c>
      <c r="AK103" s="484">
        <f>IFERROR(AD103/AD$20,0)</f>
        <v>86.142409101652461</v>
      </c>
      <c r="AL103" s="485">
        <f>IFERROR(AG103/AG$20,0)</f>
        <v>42.070910087719298</v>
      </c>
      <c r="AM103" s="486" t="str">
        <f>+IFERROR(ROUND(($AB103-AE103)*100,2)&amp;" pts.",0)</f>
        <v>-12.16 pts.</v>
      </c>
      <c r="AN103" s="557" t="str">
        <f>+IFERROR(ROUND(($AB103-AH103)*100,2)&amp;" pts.",0)</f>
        <v>19.65 pts.</v>
      </c>
      <c r="AO103" s="11"/>
    </row>
    <row r="104" spans="1:41" ht="15" thickTop="1" x14ac:dyDescent="0.3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11"/>
      <c r="I105" s="59"/>
      <c r="J105" s="59"/>
      <c r="K105" s="11"/>
      <c r="L105" s="11"/>
      <c r="M105" s="11"/>
      <c r="N105" s="104" t="str">
        <f>N102&amp;" - Check"</f>
        <v>Total Expenses - Check</v>
      </c>
      <c r="O105" s="209">
        <f t="shared" ref="O105:AA105" si="46">SUMIF($H$35:$H$103,"600000",O$35:O$103)+SUMIF($H$35:$H$103,"700000",O$35:O$103)-SUMIF($H$35:$H$103,"TOTDEPTEXP",O$35:O$103)</f>
        <v>0</v>
      </c>
      <c r="P105" s="209">
        <f t="shared" si="46"/>
        <v>0</v>
      </c>
      <c r="Q105" s="209">
        <f t="shared" si="46"/>
        <v>0</v>
      </c>
      <c r="R105" s="209">
        <f t="shared" si="46"/>
        <v>0</v>
      </c>
      <c r="S105" s="209">
        <f t="shared" si="46"/>
        <v>0</v>
      </c>
      <c r="T105" s="209">
        <f t="shared" si="46"/>
        <v>0</v>
      </c>
      <c r="U105" s="209">
        <f t="shared" si="46"/>
        <v>0</v>
      </c>
      <c r="V105" s="209">
        <f t="shared" si="46"/>
        <v>0</v>
      </c>
      <c r="W105" s="209">
        <f t="shared" si="46"/>
        <v>0</v>
      </c>
      <c r="X105" s="209">
        <f t="shared" si="46"/>
        <v>0</v>
      </c>
      <c r="Y105" s="209">
        <f t="shared" si="46"/>
        <v>0</v>
      </c>
      <c r="Z105" s="209">
        <f t="shared" si="46"/>
        <v>0</v>
      </c>
      <c r="AA105" s="209">
        <f t="shared" si="46"/>
        <v>0</v>
      </c>
      <c r="AB105" s="100"/>
      <c r="AC105" s="11"/>
      <c r="AD105" s="209">
        <f>SUMIF($H$35:$H$103,"600000",AD$35:AD$103)+SUMIF($H$35:$H$103,"700000",AD$35:AD$103)-SUMIF($H$35:$H$103,"TOTDEPTEXP",AD$35:AD$103)</f>
        <v>0</v>
      </c>
      <c r="AE105" s="100"/>
      <c r="AF105" s="91"/>
      <c r="AG105" s="209">
        <f>SUMIF($H$35:$H$103,"600000",AG$35:AG$103)+SUMIF($H$35:$H$103,"700000",AG$35:AG$103)-SUMIF($H$35:$H$103,"TOTDEPTEXP",AG$35:AG$103)</f>
        <v>0</v>
      </c>
      <c r="AH105" s="100"/>
      <c r="AI105" s="91"/>
      <c r="AJ105" s="11"/>
      <c r="AK105" s="11"/>
      <c r="AL105" s="11"/>
      <c r="AM105" s="11"/>
      <c r="AN105" s="11"/>
      <c r="AO105" s="11"/>
    </row>
    <row r="106" spans="1:41" x14ac:dyDescent="0.35">
      <c r="A106" s="11" t="s">
        <v>109</v>
      </c>
      <c r="B106" s="11"/>
      <c r="C106" s="196" t="s">
        <v>101</v>
      </c>
      <c r="D106" s="11" t="s">
        <v>107</v>
      </c>
      <c r="E106" s="11"/>
      <c r="F106" s="11" t="s">
        <v>99</v>
      </c>
      <c r="G106" s="11"/>
      <c r="H106" s="11"/>
      <c r="I106" s="59"/>
      <c r="J106" s="59"/>
      <c r="K106" s="11"/>
      <c r="L106" s="11"/>
      <c r="M106" s="11"/>
      <c r="N106" s="104" t="str">
        <f>N103&amp;" - Check"</f>
        <v>Department Profit (Loss) - Check</v>
      </c>
      <c r="O106" s="209">
        <f t="shared" ref="O106:AA106" si="47">SUMIF($H$35:$H$103,"KPI_GP",O$35:O$103)-SUMIF($H$35:$H$103,"TOTDEPTEXP",O$35:O$103)-SUMIF($H$35:$H$103,"TOTDEPTPL",O$35:O$103)</f>
        <v>0</v>
      </c>
      <c r="P106" s="209">
        <f t="shared" si="47"/>
        <v>0</v>
      </c>
      <c r="Q106" s="209">
        <f t="shared" si="47"/>
        <v>0</v>
      </c>
      <c r="R106" s="209">
        <f t="shared" si="47"/>
        <v>0</v>
      </c>
      <c r="S106" s="209">
        <f t="shared" si="47"/>
        <v>0</v>
      </c>
      <c r="T106" s="209">
        <f t="shared" si="47"/>
        <v>0</v>
      </c>
      <c r="U106" s="209">
        <f t="shared" si="47"/>
        <v>0</v>
      </c>
      <c r="V106" s="209">
        <f t="shared" si="47"/>
        <v>0</v>
      </c>
      <c r="W106" s="209">
        <f t="shared" si="47"/>
        <v>0</v>
      </c>
      <c r="X106" s="209">
        <f t="shared" si="47"/>
        <v>0</v>
      </c>
      <c r="Y106" s="209">
        <f t="shared" si="47"/>
        <v>0</v>
      </c>
      <c r="Z106" s="209">
        <f t="shared" si="47"/>
        <v>0</v>
      </c>
      <c r="AA106" s="209">
        <f t="shared" si="47"/>
        <v>0</v>
      </c>
      <c r="AB106" s="100"/>
      <c r="AC106" s="11"/>
      <c r="AD106" s="209">
        <f>SUMIF($H$35:$H$103,"KPI_GP",AD$35:AD$103)-SUMIF($H$35:$H$103,"TOTDEPTEXP",AD$35:AD$103)-SUMIF($H$35:$H$103,"TOTDEPTPL",AD$35:AD$103)</f>
        <v>5.8207660913467407E-10</v>
      </c>
      <c r="AE106" s="100"/>
      <c r="AF106" s="91"/>
      <c r="AG106" s="209">
        <f>SUMIF($H$35:$H$103,"KPI_GP",AG$35:AG$103)-SUMIF($H$35:$H$103,"TOTDEPTEXP",AG$35:AG$103)-SUMIF($H$35:$H$103,"TOTDEPTPL",AG$35:AG$103)</f>
        <v>0</v>
      </c>
      <c r="AH106" s="100"/>
      <c r="AI106" s="91"/>
      <c r="AJ106" s="11"/>
      <c r="AK106" s="11"/>
      <c r="AL106" s="11"/>
      <c r="AM106" s="11"/>
      <c r="AN106" s="11"/>
      <c r="AO106" s="11"/>
    </row>
    <row r="107" spans="1:41" x14ac:dyDescent="0.3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11"/>
      <c r="I108" s="59"/>
      <c r="J108" s="59"/>
      <c r="K108" s="11"/>
      <c r="L108" s="11"/>
      <c r="M108" s="11"/>
      <c r="N108" s="11"/>
      <c r="O108" s="137"/>
      <c r="P108" s="137"/>
      <c r="Q108" s="137"/>
      <c r="R108" s="137"/>
      <c r="S108" s="137"/>
      <c r="T108" s="137"/>
      <c r="U108" s="137"/>
      <c r="V108" s="137"/>
      <c r="W108" s="137"/>
      <c r="X108" s="137"/>
      <c r="Y108" s="137"/>
      <c r="Z108" s="137"/>
      <c r="AA108" s="137"/>
      <c r="AB108" s="11"/>
      <c r="AC108" s="11"/>
      <c r="AD108" s="137"/>
      <c r="AE108" s="11"/>
      <c r="AF108" s="11"/>
      <c r="AG108" s="137"/>
      <c r="AH108" s="11"/>
      <c r="AI108" s="11"/>
      <c r="AJ108" s="11"/>
      <c r="AK108" s="11"/>
      <c r="AL108" s="11"/>
      <c r="AM108" s="11"/>
      <c r="AN108" s="11"/>
      <c r="AO108" s="11"/>
    </row>
    <row r="109" spans="1:41" ht="15.5" x14ac:dyDescent="0.35">
      <c r="A109" s="11"/>
      <c r="B109" s="11"/>
      <c r="C109" s="208"/>
      <c r="D109" s="11"/>
      <c r="E109" s="11"/>
      <c r="F109" s="11"/>
      <c r="G109" s="11"/>
      <c r="H109" s="11"/>
      <c r="I109" s="59"/>
      <c r="J109" s="59"/>
      <c r="K109" s="11"/>
      <c r="L109" s="11"/>
      <c r="M109" s="11"/>
      <c r="N109" s="489" t="s">
        <v>802</v>
      </c>
      <c r="O109" s="137"/>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t="s">
        <v>273</v>
      </c>
      <c r="I110" s="122" t="str">
        <f>IF(_epmOfflineCondition_,"T4",_xll.EVPRO($B$1,$H110,"STYLE"))</f>
        <v>T4</v>
      </c>
      <c r="J110" s="122" t="str">
        <f>IF(_epmOfflineCondition_,"Y",_xll.EVPRO($B$1,$H110,"CALC"))</f>
        <v>Y</v>
      </c>
      <c r="K110" s="11"/>
      <c r="L110" s="11"/>
      <c r="M110" s="11"/>
      <c r="N110" s="570" t="str">
        <f>IF(_epmOfflineCondition_,"Total Food &amp; Beverage Revenue",IF(_xll.EVDES(H110,$B$1)="#NODATA","",_xll.EVDES(H110,$B$1)))</f>
        <v>Total Food &amp; Beverage Revenue</v>
      </c>
      <c r="O110" s="571">
        <f>IF(_epmOfflineCondition_,0,_xll.EVGET($B$1,$H110,$B$3,O$17,$B$5,$B$6,$B$7,O$18,$B$9,O$16))</f>
        <v>0</v>
      </c>
      <c r="P110" s="571">
        <f>IF(_epmOfflineCondition_,0,_xll.EVGET($B$1,$H110,$B$3,P$17,$B$5,$B$6,$B$7,P$18,$B$9,P$16))</f>
        <v>0</v>
      </c>
      <c r="Q110" s="571">
        <f>IF(_epmOfflineCondition_,555,_xll.EVGET($B$1,$H110,$B$3,Q$17,$B$5,$B$6,$B$7,Q$18,$B$9,Q$16))</f>
        <v>555</v>
      </c>
      <c r="R110" s="571">
        <f>IF(_epmOfflineCondition_,13808,_xll.EVGET($B$1,$H110,$B$3,R$17,$B$5,$B$6,$B$7,R$18,$B$9,R$16))</f>
        <v>13808</v>
      </c>
      <c r="S110" s="571">
        <f>IF(_epmOfflineCondition_,1520,_xll.EVGET($B$1,$H110,$B$3,S$17,$B$5,$B$6,$B$7,S$18,$B$9,S$16))</f>
        <v>1520</v>
      </c>
      <c r="T110" s="571">
        <f>IF(_epmOfflineCondition_,4815,_xll.EVGET($B$1,$H110,$B$3,T$17,$B$5,$B$6,$B$7,T$18,$B$9,T$16))</f>
        <v>4815</v>
      </c>
      <c r="U110" s="571">
        <f>IF(_epmOfflineCondition_,189,_xll.EVGET($B$1,$H110,$B$3,U$17,$B$5,$B$6,$B$7,U$18,$B$9,U$16))</f>
        <v>189</v>
      </c>
      <c r="V110" s="571">
        <f>IF(_epmOfflineCondition_,0,_xll.EVGET($B$1,$H110,$B$3,V$17,$B$5,$B$6,$B$7,V$18,$B$9,V$16))</f>
        <v>0</v>
      </c>
      <c r="W110" s="571">
        <f>IF(_epmOfflineCondition_,6410,_xll.EVGET($B$1,$H110,$B$3,W$17,$B$5,$B$6,$B$7,W$18,$B$9,W$16))</f>
        <v>6410</v>
      </c>
      <c r="X110" s="571">
        <f>IF(_epmOfflineCondition_,5771.7,_xll.EVGET($B$1,$H110,$B$3,X$17,$B$5,$B$6,$B$7,X$18,$B$9,X$16))</f>
        <v>5771.7</v>
      </c>
      <c r="Y110" s="571">
        <f>IF(_epmOfflineCondition_,13575,_xll.EVGET($B$1,$H110,$B$3,Y$17,$B$5,$B$6,$B$7,Y$18,$B$9,Y$16))</f>
        <v>13575</v>
      </c>
      <c r="Z110" s="571">
        <f>IF(_epmOfflineCondition_,3633,_xll.EVGET($B$1,$H110,$B$3,Z$17,$B$5,$B$6,$B$7,Z$18,$B$9,Z$16))</f>
        <v>3633</v>
      </c>
      <c r="AA110" s="571">
        <f>IF(_epmOfflineCondition_,50276.7,_xll.EVGET($B$1,$H110,$B$3,AA$17,$B$5,$B$6,$B$7,AA$18,$B$9,AA$16))</f>
        <v>50276.7</v>
      </c>
      <c r="AB110" s="571"/>
      <c r="AC110" s="571"/>
      <c r="AD110" s="571">
        <f>IF(_epmOfflineCondition_,149621.564706128,_xll.EVGET($B$1,$H110,$B$3,AD$17,$B$5,$B$6,$B$7,AD$18,$B$9,AD$16))</f>
        <v>149621.564706128</v>
      </c>
      <c r="AE110" s="571"/>
      <c r="AF110" s="571"/>
      <c r="AG110" s="571">
        <f>IF(_epmOfflineCondition_,39893.85,_xll.EVGET($B$1,$H110,$B$3,AG$17,$B$5,$B$6,$B$7,AG$18,$B$9,AG$16))</f>
        <v>39893.85</v>
      </c>
      <c r="AH110" s="571"/>
      <c r="AI110" s="57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11"/>
      <c r="H111" s="59" t="s">
        <v>273</v>
      </c>
      <c r="I111" s="122" t="str">
        <f>IF(_epmOfflineCondition_,"T4",_xll.EVPRO($B$1,$H111,"STYLE"))</f>
        <v>T4</v>
      </c>
      <c r="J111" s="122" t="str">
        <f>IF(_epmOfflineCondition_,"Y",_xll.EVPRO($B$1,$H111,"CALC"))</f>
        <v>Y</v>
      </c>
      <c r="K111" s="572"/>
      <c r="L111" s="572"/>
      <c r="M111" s="572"/>
      <c r="N111" s="573" t="s">
        <v>803</v>
      </c>
      <c r="O111" s="101">
        <f>IF(_epmOfflineCondition_,0,IFERROR(_xll.EVGET($B$1,$H111,$B$3,O$17,$B$5,$G126,$B$7,O$18,$B$9,O$16)/O110,0))</f>
        <v>0</v>
      </c>
      <c r="P111" s="101">
        <f>IF(_epmOfflineCondition_,0,IFERROR(_xll.EVGET($B$1,$H111,$B$3,P$17,$B$5,$G126,$B$7,P$18,$B$9,P$16)/P110,0))</f>
        <v>0</v>
      </c>
      <c r="Q111" s="101">
        <f>IF(_epmOfflineCondition_,0,IFERROR(_xll.EVGET($B$1,$H111,$B$3,Q$17,$B$5,$G126,$B$7,Q$18,$B$9,Q$16)/Q110,0))</f>
        <v>0</v>
      </c>
      <c r="R111" s="101">
        <f>IF(_epmOfflineCondition_,1,IFERROR(_xll.EVGET($B$1,$H111,$B$3,R$17,$B$5,$G126,$B$7,R$18,$B$9,R$16)/R110,0))</f>
        <v>1</v>
      </c>
      <c r="S111" s="101">
        <f>IF(_epmOfflineCondition_,1,IFERROR(_xll.EVGET($B$1,$H111,$B$3,S$17,$B$5,$G126,$B$7,S$18,$B$9,S$16)/S110,0))</f>
        <v>1</v>
      </c>
      <c r="T111" s="101">
        <f>IF(_epmOfflineCondition_,1,IFERROR(_xll.EVGET($B$1,$H111,$B$3,T$17,$B$5,$G126,$B$7,T$18,$B$9,T$16)/T110,0))</f>
        <v>1</v>
      </c>
      <c r="U111" s="101">
        <f>IF(_epmOfflineCondition_,1,IFERROR(_xll.EVGET($B$1,$H111,$B$3,U$17,$B$5,$G126,$B$7,U$18,$B$9,U$16)/U110,0))</f>
        <v>1</v>
      </c>
      <c r="V111" s="101">
        <f>IF(_epmOfflineCondition_,0,IFERROR(_xll.EVGET($B$1,$H111,$B$3,V$17,$B$5,$G126,$B$7,V$18,$B$9,V$16)/V110,0))</f>
        <v>0</v>
      </c>
      <c r="W111" s="101">
        <f>IF(_epmOfflineCondition_,1,IFERROR(_xll.EVGET($B$1,$H111,$B$3,W$17,$B$5,$G126,$B$7,W$18,$B$9,W$16)/W110,0))</f>
        <v>1</v>
      </c>
      <c r="X111" s="101">
        <f>IF(_epmOfflineCondition_,1,IFERROR(_xll.EVGET($B$1,$H111,$B$3,X$17,$B$5,$G126,$B$7,X$18,$B$9,X$16)/X110,0))</f>
        <v>1</v>
      </c>
      <c r="Y111" s="101">
        <f>IF(_epmOfflineCondition_,0.636243093922652,IFERROR(_xll.EVGET($B$1,$H111,$B$3,Y$17,$B$5,$G126,$B$7,Y$18,$B$9,Y$16)/Y110,0))</f>
        <v>0.63624309392265199</v>
      </c>
      <c r="Z111" s="101">
        <f>IF(_epmOfflineCondition_,1,IFERROR(_xll.EVGET($B$1,$H111,$B$3,Z$17,$B$5,$G126,$B$7,Z$18,$B$9,Z$16)/Z110,0))</f>
        <v>1</v>
      </c>
      <c r="AA111" s="101">
        <f>IF(_epmOfflineCondition_,0.890744619276922,IFERROR(_xll.EVGET($B$1,$H111,$B$3,AA$17,$B$5,$G126,$B$7,AA$18,$B$9,AA$16)/AA110,0))</f>
        <v>0.89074461927692195</v>
      </c>
      <c r="AB111" s="101"/>
      <c r="AC111" s="101"/>
      <c r="AD111" s="101">
        <f>IF(_epmOfflineCondition_,0.37829683720591,IFERROR(_xll.EVGET($B$1,$H111,$B$3,AD$17,$B$5,$G126,$B$7,AD$18,$B$9,AD$16)/AD110,0))</f>
        <v>0.37829683720591001</v>
      </c>
      <c r="AE111" s="101"/>
      <c r="AF111" s="101"/>
      <c r="AG111" s="101">
        <f>IF(_epmOfflineCondition_,0.931042002714704,IFERROR(_xll.EVGET($B$1,$H111,$B$3,AG$17,$B$5,$G126,$B$7,AG$18,$B$9,AG$16)/AG110,0))</f>
        <v>0.93104200271470405</v>
      </c>
      <c r="AH111" s="101"/>
      <c r="AI111" s="101"/>
      <c r="AJ111" s="11"/>
      <c r="AK111" s="11"/>
      <c r="AL111" s="11"/>
      <c r="AM111" s="11"/>
      <c r="AN111" s="11"/>
      <c r="AO111" s="11"/>
    </row>
    <row r="112" spans="1:41" x14ac:dyDescent="0.35">
      <c r="A112" s="11"/>
      <c r="B112" s="11"/>
      <c r="C112" s="11"/>
      <c r="D112" s="11"/>
      <c r="E112" s="11"/>
      <c r="F112" s="11"/>
      <c r="G112" s="11"/>
      <c r="H112" s="59" t="s">
        <v>273</v>
      </c>
      <c r="I112" s="122" t="str">
        <f>IF(_epmOfflineCondition_,"T4",_xll.EVPRO($B$1,$H112,"STYLE"))</f>
        <v>T4</v>
      </c>
      <c r="J112" s="122" t="str">
        <f>IF(_epmOfflineCondition_,"Y",_xll.EVPRO($B$1,$H112,"CALC"))</f>
        <v>Y</v>
      </c>
      <c r="K112" s="572"/>
      <c r="L112" s="572"/>
      <c r="M112" s="572"/>
      <c r="N112" s="573" t="s">
        <v>804</v>
      </c>
      <c r="O112" s="101">
        <f>IF(_epmOfflineCondition_,0,IFERROR(_xll.EVGET($B$1,$H112,$B$3,O$17,$B$5,$G127,$B$7,O$18,$B$9,O$16)/O110,0))</f>
        <v>0</v>
      </c>
      <c r="P112" s="101">
        <f>IF(_epmOfflineCondition_,0,IFERROR(_xll.EVGET($B$1,$H112,$B$3,P$17,$B$5,$G127,$B$7,P$18,$B$9,P$16)/P110,0))</f>
        <v>0</v>
      </c>
      <c r="Q112" s="101">
        <f>IF(_epmOfflineCondition_,1,IFERROR(_xll.EVGET($B$1,$H112,$B$3,Q$17,$B$5,$G127,$B$7,Q$18,$B$9,Q$16)/Q110,0))</f>
        <v>1</v>
      </c>
      <c r="R112" s="101">
        <f>IF(_epmOfflineCondition_,0,IFERROR(_xll.EVGET($B$1,$H112,$B$3,R$17,$B$5,$G127,$B$7,R$18,$B$9,R$16)/R110,0))</f>
        <v>0</v>
      </c>
      <c r="S112" s="101">
        <f>IF(_epmOfflineCondition_,0,IFERROR(_xll.EVGET($B$1,$H112,$B$3,S$17,$B$5,$G127,$B$7,S$18,$B$9,S$16)/S110,0))</f>
        <v>0</v>
      </c>
      <c r="T112" s="101">
        <f>IF(_epmOfflineCondition_,0,IFERROR(_xll.EVGET($B$1,$H112,$B$3,T$17,$B$5,$G127,$B$7,T$18,$B$9,T$16)/T110,0))</f>
        <v>0</v>
      </c>
      <c r="U112" s="101">
        <f>IF(_epmOfflineCondition_,0,IFERROR(_xll.EVGET($B$1,$H112,$B$3,U$17,$B$5,$G127,$B$7,U$18,$B$9,U$16)/U110,0))</f>
        <v>0</v>
      </c>
      <c r="V112" s="101">
        <f>IF(_epmOfflineCondition_,0,IFERROR(_xll.EVGET($B$1,$H112,$B$3,V$17,$B$5,$G127,$B$7,V$18,$B$9,V$16)/V110,0))</f>
        <v>0</v>
      </c>
      <c r="W112" s="101">
        <f>IF(_epmOfflineCondition_,0,IFERROR(_xll.EVGET($B$1,$H112,$B$3,W$17,$B$5,$G127,$B$7,W$18,$B$9,W$16)/W110,0))</f>
        <v>0</v>
      </c>
      <c r="X112" s="101">
        <f>IF(_epmOfflineCondition_,0,IFERROR(_xll.EVGET($B$1,$H112,$B$3,X$17,$B$5,$G127,$B$7,X$18,$B$9,X$16)/X110,0))</f>
        <v>0</v>
      </c>
      <c r="Y112" s="101">
        <f>IF(_epmOfflineCondition_,0.363756906077348,IFERROR(_xll.EVGET($B$1,$H112,$B$3,Y$17,$B$5,$G127,$B$7,Y$18,$B$9,Y$16)/Y110,0))</f>
        <v>0.36375690607734801</v>
      </c>
      <c r="Z112" s="101">
        <f>IF(_epmOfflineCondition_,0,IFERROR(_xll.EVGET($B$1,$H112,$B$3,Z$17,$B$5,$G127,$B$7,Z$18,$B$9,Z$16)/Z110,0))</f>
        <v>0</v>
      </c>
      <c r="AA112" s="101">
        <f>IF(_epmOfflineCondition_,0.109255380723078,IFERROR(_xll.EVGET($B$1,$H112,$B$3,AA$17,$B$5,$G127,$B$7,AA$18,$B$9,AA$16)/AA110,0))</f>
        <v>0.109255380723078</v>
      </c>
      <c r="AB112" s="101"/>
      <c r="AC112" s="101"/>
      <c r="AD112" s="101">
        <f>IF(_epmOfflineCondition_,0.621703162794088,IFERROR(_xll.EVGET($B$1,$H112,$B$3,AD$17,$B$5,$G127,$B$7,AD$18,$B$9,AD$16)/AD110,0))</f>
        <v>0.62170316279408799</v>
      </c>
      <c r="AE112" s="101"/>
      <c r="AF112" s="101"/>
      <c r="AG112" s="101">
        <f>IF(_epmOfflineCondition_,0.0689579972852958,IFERROR(_xll.EVGET($B$1,$H112,$B$3,AG$17,$B$5,$G127,$B$7,AG$18,$B$9,AG$16)/AG110,0))</f>
        <v>6.8957997285295794E-2</v>
      </c>
      <c r="AH112" s="101"/>
      <c r="AI112" s="101"/>
      <c r="AJ112" s="11"/>
      <c r="AK112" s="11"/>
      <c r="AL112" s="11"/>
      <c r="AM112" s="11"/>
      <c r="AN112" s="11"/>
      <c r="AO112" s="11"/>
    </row>
    <row r="113" spans="1:41" x14ac:dyDescent="0.35">
      <c r="A113" s="62" t="s">
        <v>0</v>
      </c>
      <c r="B113" s="63" t="s">
        <v>1</v>
      </c>
      <c r="C113" s="11"/>
      <c r="D113" s="11"/>
      <c r="E113" s="11"/>
      <c r="F113" s="11"/>
      <c r="G113" s="11"/>
      <c r="H113" s="59" t="s">
        <v>265</v>
      </c>
      <c r="I113" s="122" t="str">
        <f>IF(_epmOfflineCondition_,"T4",_xll.EVPRO($B$1,$H113,"STYLE"))</f>
        <v>T4</v>
      </c>
      <c r="J113" s="122" t="str">
        <f>IF(_epmOfflineCondition_,"Y",_xll.EVPRO($B$1,$H113,"CALC"))</f>
        <v>Y</v>
      </c>
      <c r="K113" s="11"/>
      <c r="L113" s="11"/>
      <c r="M113" s="11"/>
      <c r="N113" s="570" t="str">
        <f>IF(_epmOfflineCondition_,"Total Food Revenue",IF(_xll.EVDES(H113,$B$1)="#NODATA","",_xll.EVDES(H113,$B$1)))</f>
        <v>Total Food Revenue</v>
      </c>
      <c r="O113" s="571">
        <f>IF(_epmOfflineCondition_,0,_xll.EVGET($B$1,$H113,$B$3,O$17,$B$5,$B$6,$B$7,O$18,$B$9,O$16))</f>
        <v>0</v>
      </c>
      <c r="P113" s="571">
        <f>IF(_epmOfflineCondition_,0,_xll.EVGET($B$1,$H113,$B$3,P$17,$B$5,$B$6,$B$7,P$18,$B$9,P$16))</f>
        <v>0</v>
      </c>
      <c r="Q113" s="571">
        <f>IF(_epmOfflineCondition_,555,_xll.EVGET($B$1,$H113,$B$3,Q$17,$B$5,$B$6,$B$7,Q$18,$B$9,Q$16))</f>
        <v>555</v>
      </c>
      <c r="R113" s="571">
        <f>IF(_epmOfflineCondition_,12980,_xll.EVGET($B$1,$H113,$B$3,R$17,$B$5,$B$6,$B$7,R$18,$B$9,R$16))</f>
        <v>12980</v>
      </c>
      <c r="S113" s="571">
        <f>IF(_epmOfflineCondition_,1520,_xll.EVGET($B$1,$H113,$B$3,S$17,$B$5,$B$6,$B$7,S$18,$B$9,S$16))</f>
        <v>1520</v>
      </c>
      <c r="T113" s="571">
        <f>IF(_epmOfflineCondition_,3360,_xll.EVGET($B$1,$H113,$B$3,T$17,$B$5,$B$6,$B$7,T$18,$B$9,T$16))</f>
        <v>3360</v>
      </c>
      <c r="U113" s="571">
        <f>IF(_epmOfflineCondition_,25,_xll.EVGET($B$1,$H113,$B$3,U$17,$B$5,$B$6,$B$7,U$18,$B$9,U$16))</f>
        <v>25</v>
      </c>
      <c r="V113" s="571">
        <f>IF(_epmOfflineCondition_,0,_xll.EVGET($B$1,$H113,$B$3,V$17,$B$5,$B$6,$B$7,V$18,$B$9,V$16))</f>
        <v>0</v>
      </c>
      <c r="W113" s="571">
        <f>IF(_epmOfflineCondition_,5720,_xll.EVGET($B$1,$H113,$B$3,W$17,$B$5,$B$6,$B$7,W$18,$B$9,W$16))</f>
        <v>5720</v>
      </c>
      <c r="X113" s="571">
        <f>IF(_epmOfflineCondition_,5771.7,_xll.EVGET($B$1,$H113,$B$3,X$17,$B$5,$B$6,$B$7,X$18,$B$9,X$16))</f>
        <v>5771.7</v>
      </c>
      <c r="Y113" s="571">
        <f>IF(_epmOfflineCondition_,12915,_xll.EVGET($B$1,$H113,$B$3,Y$17,$B$5,$B$6,$B$7,Y$18,$B$9,Y$16))</f>
        <v>12915</v>
      </c>
      <c r="Z113" s="571">
        <f>IF(_epmOfflineCondition_,3633,_xll.EVGET($B$1,$H113,$B$3,Z$17,$B$5,$B$6,$B$7,Z$18,$B$9,Z$16))</f>
        <v>3633</v>
      </c>
      <c r="AA113" s="571">
        <f>IF(_epmOfflineCondition_,46479.7,_xll.EVGET($B$1,$H113,$B$3,AA$17,$B$5,$B$6,$B$7,AA$18,$B$9,AA$16))</f>
        <v>46479.7</v>
      </c>
      <c r="AB113" s="571"/>
      <c r="AC113" s="571"/>
      <c r="AD113" s="571">
        <f>IF(_epmOfflineCondition_,77803.2136471863,_xll.EVGET($B$1,$H113,$B$3,AD$17,$B$5,$B$6,$B$7,AD$18,$B$9,AD$16))</f>
        <v>77803.213647186305</v>
      </c>
      <c r="AE113" s="571"/>
      <c r="AF113" s="571"/>
      <c r="AG113" s="571">
        <f>IF(_epmOfflineCondition_,34806.86,_xll.EVGET($B$1,$H113,$B$3,AG$17,$B$5,$B$6,$B$7,AG$18,$B$9,AG$16))</f>
        <v>34806.86</v>
      </c>
      <c r="AH113" s="571"/>
      <c r="AI113" s="571"/>
      <c r="AJ113" s="11"/>
      <c r="AK113" s="11"/>
      <c r="AL113" s="11"/>
      <c r="AM113" s="11"/>
      <c r="AN113" s="11"/>
      <c r="AO113" s="11"/>
    </row>
    <row r="114" spans="1:41" x14ac:dyDescent="0.35">
      <c r="A114" s="65" t="s">
        <v>2</v>
      </c>
      <c r="B114" s="66" t="str">
        <f>IF(_epmOfflineCondition_,"'BCC_CONS'!$B$2:$B$10",_xll.EVRNG($B$2:$B$10))</f>
        <v>'BCC_CONS'!$B$2:$B$10</v>
      </c>
      <c r="C114" s="11"/>
      <c r="D114" s="11"/>
      <c r="E114" s="11"/>
      <c r="F114" s="11"/>
      <c r="G114" s="11"/>
      <c r="H114" s="59" t="s">
        <v>265</v>
      </c>
      <c r="I114" s="136" t="str">
        <f>IF(_epmOfflineCondition_,"T4",_xll.EVPRO($B$1,$H114,"STYLE"))</f>
        <v>T4</v>
      </c>
      <c r="J114" s="136" t="str">
        <f>IF(_epmOfflineCondition_,"Y",_xll.EVPRO($B$1,$H114,"CALC"))</f>
        <v>Y</v>
      </c>
      <c r="K114" s="11"/>
      <c r="L114" s="11"/>
      <c r="M114" s="11"/>
      <c r="N114" s="573" t="s">
        <v>803</v>
      </c>
      <c r="O114" s="101">
        <f>IF(_epmOfflineCondition_,0,IFERROR(_xll.EVGET($B$1,$H114,$B$3,O$17,$B$5,$G129,$B$7,O$18,$B$9,O$16)/O113,0))</f>
        <v>0</v>
      </c>
      <c r="P114" s="101">
        <f>IF(_epmOfflineCondition_,0,IFERROR(_xll.EVGET($B$1,$H114,$B$3,P$17,$B$5,$G129,$B$7,P$18,$B$9,P$16)/P113,0))</f>
        <v>0</v>
      </c>
      <c r="Q114" s="101">
        <f>IF(_epmOfflineCondition_,0,IFERROR(_xll.EVGET($B$1,$H114,$B$3,Q$17,$B$5,$G129,$B$7,Q$18,$B$9,Q$16)/Q113,0))</f>
        <v>0</v>
      </c>
      <c r="R114" s="101">
        <f>IF(_epmOfflineCondition_,1,IFERROR(_xll.EVGET($B$1,$H114,$B$3,R$17,$B$5,$G129,$B$7,R$18,$B$9,R$16)/R113,0))</f>
        <v>1</v>
      </c>
      <c r="S114" s="101">
        <f>IF(_epmOfflineCondition_,1,IFERROR(_xll.EVGET($B$1,$H114,$B$3,S$17,$B$5,$G129,$B$7,S$18,$B$9,S$16)/S113,0))</f>
        <v>1</v>
      </c>
      <c r="T114" s="101">
        <f>IF(_epmOfflineCondition_,1,IFERROR(_xll.EVGET($B$1,$H114,$B$3,T$17,$B$5,$G129,$B$7,T$18,$B$9,T$16)/T113,0))</f>
        <v>1</v>
      </c>
      <c r="U114" s="101">
        <f>IF(_epmOfflineCondition_,1,IFERROR(_xll.EVGET($B$1,$H114,$B$3,U$17,$B$5,$G129,$B$7,U$18,$B$9,U$16)/U113,0))</f>
        <v>1</v>
      </c>
      <c r="V114" s="101">
        <f>IF(_epmOfflineCondition_,0,IFERROR(_xll.EVGET($B$1,$H114,$B$3,V$17,$B$5,$G129,$B$7,V$18,$B$9,V$16)/V113,0))</f>
        <v>0</v>
      </c>
      <c r="W114" s="101">
        <f>IF(_epmOfflineCondition_,1,IFERROR(_xll.EVGET($B$1,$H114,$B$3,W$17,$B$5,$G129,$B$7,W$18,$B$9,W$16)/W113,0))</f>
        <v>1</v>
      </c>
      <c r="X114" s="101">
        <f>IF(_epmOfflineCondition_,1,IFERROR(_xll.EVGET($B$1,$H114,$B$3,X$17,$B$5,$G129,$B$7,X$18,$B$9,X$16)/X113,0))</f>
        <v>1</v>
      </c>
      <c r="Y114" s="101">
        <f>IF(_epmOfflineCondition_,0.617653890824623,IFERROR(_xll.EVGET($B$1,$H114,$B$3,Y$17,$B$5,$G129,$B$7,Y$18,$B$9,Y$16)/Y113,0))</f>
        <v>0.61765389082462296</v>
      </c>
      <c r="Z114" s="101">
        <f>IF(_epmOfflineCondition_,1,IFERROR(_xll.EVGET($B$1,$H114,$B$3,Z$17,$B$5,$G129,$B$7,Z$18,$B$9,Z$16)/Z113,0))</f>
        <v>1</v>
      </c>
      <c r="AA114" s="101">
        <f>IF(_epmOfflineCondition_,0.881819374909907,IFERROR(_xll.EVGET($B$1,$H114,$B$3,AA$17,$B$5,$G129,$B$7,AA$18,$B$9,AA$16)/AA113,0))</f>
        <v>0.88181937490990703</v>
      </c>
      <c r="AB114" s="101"/>
      <c r="AC114" s="101"/>
      <c r="AD114" s="101">
        <f>IF(_epmOfflineCondition_,0.37829683720591,IFERROR(_xll.EVGET($B$1,$H114,$B$3,AD$17,$B$5,$G129,$B$7,AD$18,$B$9,AD$16)/AD113,0))</f>
        <v>0.37829683720591001</v>
      </c>
      <c r="AE114" s="101"/>
      <c r="AF114" s="101"/>
      <c r="AG114" s="101">
        <f>IF(_epmOfflineCondition_,0.920963855975517,IFERROR(_xll.EVGET($B$1,$H114,$B$3,AG$17,$B$5,$G129,$B$7,AG$18,$B$9,AG$16)/AG113,0))</f>
        <v>0.920963855975517</v>
      </c>
      <c r="AH114" s="101"/>
      <c r="AI114" s="101"/>
      <c r="AJ114" s="11"/>
      <c r="AK114" s="11"/>
      <c r="AL114" s="11"/>
      <c r="AM114" s="11"/>
      <c r="AN114" s="11"/>
      <c r="AO114" s="11"/>
    </row>
    <row r="115" spans="1:41" x14ac:dyDescent="0.35">
      <c r="A115" s="65" t="s">
        <v>3</v>
      </c>
      <c r="B115" s="66" t="str">
        <f>IF(_epmOfflineCondition_,"'BCC_CONS'!$O$16:$AN$18",_xll.EVRNG($O$16:$AN$18))</f>
        <v>'BCC_CONS'!$O$16:$AN$18</v>
      </c>
      <c r="C115" s="11"/>
      <c r="D115" s="11"/>
      <c r="E115" s="11"/>
      <c r="F115" s="11"/>
      <c r="G115" s="11"/>
      <c r="H115" s="59" t="s">
        <v>265</v>
      </c>
      <c r="I115" s="136" t="str">
        <f>IF(_epmOfflineCondition_,"T4",_xll.EVPRO($B$1,$H115,"STYLE"))</f>
        <v>T4</v>
      </c>
      <c r="J115" s="136" t="str">
        <f>IF(_epmOfflineCondition_,"Y",_xll.EVPRO($B$1,$H115,"CALC"))</f>
        <v>Y</v>
      </c>
      <c r="K115" s="11"/>
      <c r="L115" s="11"/>
      <c r="M115" s="11"/>
      <c r="N115" s="573" t="s">
        <v>804</v>
      </c>
      <c r="O115" s="101">
        <f>IF(_epmOfflineCondition_,0,IFERROR(_xll.EVGET($B$1,$H115,$B$3,O$17,$B$5,$G130,$B$7,O$18,$B$9,O$16)/O113,0))</f>
        <v>0</v>
      </c>
      <c r="P115" s="101">
        <f>IF(_epmOfflineCondition_,0,IFERROR(_xll.EVGET($B$1,$H115,$B$3,P$17,$B$5,$G130,$B$7,P$18,$B$9,P$16)/P113,0))</f>
        <v>0</v>
      </c>
      <c r="Q115" s="101">
        <f>IF(_epmOfflineCondition_,1,IFERROR(_xll.EVGET($B$1,$H115,$B$3,Q$17,$B$5,$G130,$B$7,Q$18,$B$9,Q$16)/Q113,0))</f>
        <v>1</v>
      </c>
      <c r="R115" s="101">
        <f>IF(_epmOfflineCondition_,0,IFERROR(_xll.EVGET($B$1,$H115,$B$3,R$17,$B$5,$G130,$B$7,R$18,$B$9,R$16)/R113,0))</f>
        <v>0</v>
      </c>
      <c r="S115" s="101">
        <f>IF(_epmOfflineCondition_,0,IFERROR(_xll.EVGET($B$1,$H115,$B$3,S$17,$B$5,$G130,$B$7,S$18,$B$9,S$16)/S113,0))</f>
        <v>0</v>
      </c>
      <c r="T115" s="101">
        <f>IF(_epmOfflineCondition_,0,IFERROR(_xll.EVGET($B$1,$H115,$B$3,T$17,$B$5,$G130,$B$7,T$18,$B$9,T$16)/T113,0))</f>
        <v>0</v>
      </c>
      <c r="U115" s="101">
        <f>IF(_epmOfflineCondition_,0,IFERROR(_xll.EVGET($B$1,$H115,$B$3,U$17,$B$5,$G130,$B$7,U$18,$B$9,U$16)/U113,0))</f>
        <v>0</v>
      </c>
      <c r="V115" s="101">
        <f>IF(_epmOfflineCondition_,0,IFERROR(_xll.EVGET($B$1,$H115,$B$3,V$17,$B$5,$G130,$B$7,V$18,$B$9,V$16)/V113,0))</f>
        <v>0</v>
      </c>
      <c r="W115" s="101">
        <f>IF(_epmOfflineCondition_,0,IFERROR(_xll.EVGET($B$1,$H115,$B$3,W$17,$B$5,$G130,$B$7,W$18,$B$9,W$16)/W113,0))</f>
        <v>0</v>
      </c>
      <c r="X115" s="101">
        <f>IF(_epmOfflineCondition_,0,IFERROR(_xll.EVGET($B$1,$H115,$B$3,X$17,$B$5,$G130,$B$7,X$18,$B$9,X$16)/X113,0))</f>
        <v>0</v>
      </c>
      <c r="Y115" s="101">
        <f>IF(_epmOfflineCondition_,0.382346109175377,IFERROR(_xll.EVGET($B$1,$H115,$B$3,Y$17,$B$5,$G130,$B$7,Y$18,$B$9,Y$16)/Y113,0))</f>
        <v>0.38234610917537698</v>
      </c>
      <c r="Z115" s="101">
        <f>IF(_epmOfflineCondition_,0,IFERROR(_xll.EVGET($B$1,$H115,$B$3,Z$17,$B$5,$G130,$B$7,Z$18,$B$9,Z$16)/Z113,0))</f>
        <v>0</v>
      </c>
      <c r="AA115" s="101">
        <f>IF(_epmOfflineCondition_,0.118180625090093,IFERROR(_xll.EVGET($B$1,$H115,$B$3,AA$17,$B$5,$G130,$B$7,AA$18,$B$9,AA$16)/AA113,0))</f>
        <v>0.118180625090093</v>
      </c>
      <c r="AB115" s="101"/>
      <c r="AC115" s="101"/>
      <c r="AD115" s="101">
        <f>IF(_epmOfflineCondition_,0.62170316279409,IFERROR(_xll.EVGET($B$1,$H115,$B$3,AD$17,$B$5,$G130,$B$7,AD$18,$B$9,AD$16)/AD113,0))</f>
        <v>0.62170316279408999</v>
      </c>
      <c r="AE115" s="101"/>
      <c r="AF115" s="101"/>
      <c r="AG115" s="101">
        <f>IF(_epmOfflineCondition_,0.0790361440244825,IFERROR(_xll.EVGET($B$1,$H115,$B$3,AG$17,$B$5,$G130,$B$7,AG$18,$B$9,AG$16)/AG113,0))</f>
        <v>7.9036144024482502E-2</v>
      </c>
      <c r="AH115" s="101"/>
      <c r="AI115" s="101"/>
      <c r="AJ115" s="11"/>
      <c r="AK115" s="11"/>
      <c r="AL115" s="11"/>
      <c r="AM115" s="11"/>
      <c r="AN115" s="11"/>
      <c r="AO115" s="11"/>
    </row>
    <row r="116" spans="1:41" x14ac:dyDescent="0.35">
      <c r="A116" s="65" t="s">
        <v>4</v>
      </c>
      <c r="B116" s="66" t="str">
        <f>IF(_epmOfflineCondition_,"'BCC_CONS'!$H$100:$H$103",_xll.EVRNG(H100:H103))</f>
        <v>'BCC_CONS'!$H$100:$H$103</v>
      </c>
      <c r="C116" s="11"/>
      <c r="D116" s="11"/>
      <c r="E116" s="11"/>
      <c r="F116" s="11"/>
      <c r="G116" s="11"/>
      <c r="H116" s="59" t="s">
        <v>272</v>
      </c>
      <c r="I116" s="136" t="str">
        <f>IF(_epmOfflineCondition_,"T4",_xll.EVPRO($B$1,$H116,"STYLE"))</f>
        <v>T4</v>
      </c>
      <c r="J116" s="136" t="str">
        <f>IF(_epmOfflineCondition_,"Y",_xll.EVPRO($B$1,$H116,"CALC"))</f>
        <v>Y</v>
      </c>
      <c r="K116" s="11"/>
      <c r="L116" s="11"/>
      <c r="M116" s="11"/>
      <c r="N116" s="570" t="str">
        <f>IF(_epmOfflineCondition_,"Total Beverage Revenue",IF(_xll.EVDES(H116,$B$1)="#NODATA","",_xll.EVDES(H116,$B$1)))</f>
        <v>Total Beverage Revenue</v>
      </c>
      <c r="O116" s="571">
        <f>IF(_epmOfflineCondition_,0,_xll.EVGET($B$1,$H116,$B$3,O$17,$B$5,$B$6,$B$7,O$18,$B$9,O$16))</f>
        <v>0</v>
      </c>
      <c r="P116" s="571">
        <f>IF(_epmOfflineCondition_,0,_xll.EVGET($B$1,$H116,$B$3,P$17,$B$5,$B$6,$B$7,P$18,$B$9,P$16))</f>
        <v>0</v>
      </c>
      <c r="Q116" s="571">
        <f>IF(_epmOfflineCondition_,0,_xll.EVGET($B$1,$H116,$B$3,Q$17,$B$5,$B$6,$B$7,Q$18,$B$9,Q$16))</f>
        <v>0</v>
      </c>
      <c r="R116" s="571">
        <f>IF(_epmOfflineCondition_,828,_xll.EVGET($B$1,$H116,$B$3,R$17,$B$5,$B$6,$B$7,R$18,$B$9,R$16))</f>
        <v>828</v>
      </c>
      <c r="S116" s="571">
        <f>IF(_epmOfflineCondition_,0,_xll.EVGET($B$1,$H116,$B$3,S$17,$B$5,$B$6,$B$7,S$18,$B$9,S$16))</f>
        <v>0</v>
      </c>
      <c r="T116" s="571">
        <f>IF(_epmOfflineCondition_,1455,_xll.EVGET($B$1,$H116,$B$3,T$17,$B$5,$B$6,$B$7,T$18,$B$9,T$16))</f>
        <v>1455</v>
      </c>
      <c r="U116" s="571">
        <f>IF(_epmOfflineCondition_,164,_xll.EVGET($B$1,$H116,$B$3,U$17,$B$5,$B$6,$B$7,U$18,$B$9,U$16))</f>
        <v>164</v>
      </c>
      <c r="V116" s="571">
        <f>IF(_epmOfflineCondition_,0,_xll.EVGET($B$1,$H116,$B$3,V$17,$B$5,$B$6,$B$7,V$18,$B$9,V$16))</f>
        <v>0</v>
      </c>
      <c r="W116" s="571">
        <f>IF(_epmOfflineCondition_,690,_xll.EVGET($B$1,$H116,$B$3,W$17,$B$5,$B$6,$B$7,W$18,$B$9,W$16))</f>
        <v>690</v>
      </c>
      <c r="X116" s="571">
        <f>IF(_epmOfflineCondition_,0,_xll.EVGET($B$1,$H116,$B$3,X$17,$B$5,$B$6,$B$7,X$18,$B$9,X$16))</f>
        <v>0</v>
      </c>
      <c r="Y116" s="571">
        <f>IF(_epmOfflineCondition_,660,_xll.EVGET($B$1,$H116,$B$3,Y$17,$B$5,$B$6,$B$7,Y$18,$B$9,Y$16))</f>
        <v>660</v>
      </c>
      <c r="Z116" s="571">
        <f>IF(_epmOfflineCondition_,0,_xll.EVGET($B$1,$H116,$B$3,Z$17,$B$5,$B$6,$B$7,Z$18,$B$9,Z$16))</f>
        <v>0</v>
      </c>
      <c r="AA116" s="571">
        <f>IF(_epmOfflineCondition_,3797,_xll.EVGET($B$1,$H116,$B$3,AA$17,$B$5,$B$6,$B$7,AA$18,$B$9,AA$16))</f>
        <v>3797</v>
      </c>
      <c r="AB116" s="571"/>
      <c r="AC116" s="571"/>
      <c r="AD116" s="571">
        <f>IF(_epmOfflineCondition_,71818.3510589413,_xll.EVGET($B$1,$H116,$B$3,AD$17,$B$5,$B$6,$B$7,AD$18,$B$9,AD$16))</f>
        <v>71818.351058941305</v>
      </c>
      <c r="AE116" s="571"/>
      <c r="AF116" s="571"/>
      <c r="AG116" s="571">
        <f>IF(_epmOfflineCondition_,5086.99,_xll.EVGET($B$1,$H116,$B$3,AG$17,$B$5,$B$6,$B$7,AG$18,$B$9,AG$16))</f>
        <v>5086.99</v>
      </c>
      <c r="AH116" s="571"/>
      <c r="AI116" s="571"/>
      <c r="AJ116" s="11"/>
      <c r="AK116" s="11"/>
      <c r="AL116" s="11"/>
      <c r="AM116" s="11"/>
      <c r="AN116" s="11"/>
      <c r="AO116" s="11"/>
    </row>
    <row r="117" spans="1:41" x14ac:dyDescent="0.35">
      <c r="A117" s="65" t="s">
        <v>5</v>
      </c>
      <c r="B117" s="66"/>
      <c r="C117" s="11"/>
      <c r="D117" s="11"/>
      <c r="E117" s="11"/>
      <c r="F117" s="11"/>
      <c r="G117" s="11"/>
      <c r="H117" s="59" t="s">
        <v>272</v>
      </c>
      <c r="I117" s="136" t="str">
        <f>IF(_epmOfflineCondition_,"T4",_xll.EVPRO($B$1,$H117,"STYLE"))</f>
        <v>T4</v>
      </c>
      <c r="J117" s="136" t="str">
        <f>IF(_epmOfflineCondition_,"Y",_xll.EVPRO($B$1,$H117,"CALC"))</f>
        <v>Y</v>
      </c>
      <c r="K117" s="11"/>
      <c r="L117" s="11"/>
      <c r="M117" s="11"/>
      <c r="N117" s="573" t="s">
        <v>803</v>
      </c>
      <c r="O117" s="101">
        <f>IF(_epmOfflineCondition_,0,IFERROR(_xll.EVGET($B$1,$H117,$B$3,O$17,$B$5,$G132,$B$7,O$18,$B$9,O$16)/O116,0))</f>
        <v>0</v>
      </c>
      <c r="P117" s="101">
        <f>IF(_epmOfflineCondition_,0,IFERROR(_xll.EVGET($B$1,$H117,$B$3,P$17,$B$5,$G132,$B$7,P$18,$B$9,P$16)/P116,0))</f>
        <v>0</v>
      </c>
      <c r="Q117" s="101">
        <f>IF(_epmOfflineCondition_,0,IFERROR(_xll.EVGET($B$1,$H117,$B$3,Q$17,$B$5,$G132,$B$7,Q$18,$B$9,Q$16)/Q116,0))</f>
        <v>0</v>
      </c>
      <c r="R117" s="101">
        <f>IF(_epmOfflineCondition_,1,IFERROR(_xll.EVGET($B$1,$H117,$B$3,R$17,$B$5,$G132,$B$7,R$18,$B$9,R$16)/R116,0))</f>
        <v>1</v>
      </c>
      <c r="S117" s="101">
        <f>IF(_epmOfflineCondition_,0,IFERROR(_xll.EVGET($B$1,$H117,$B$3,S$17,$B$5,$G132,$B$7,S$18,$B$9,S$16)/S116,0))</f>
        <v>0</v>
      </c>
      <c r="T117" s="101">
        <f>IF(_epmOfflineCondition_,1,IFERROR(_xll.EVGET($B$1,$H117,$B$3,T$17,$B$5,$G132,$B$7,T$18,$B$9,T$16)/T116,0))</f>
        <v>1</v>
      </c>
      <c r="U117" s="101">
        <f>IF(_epmOfflineCondition_,1,IFERROR(_xll.EVGET($B$1,$H117,$B$3,U$17,$B$5,$G132,$B$7,U$18,$B$9,U$16)/U116,0))</f>
        <v>1</v>
      </c>
      <c r="V117" s="101">
        <f>IF(_epmOfflineCondition_,0,IFERROR(_xll.EVGET($B$1,$H117,$B$3,V$17,$B$5,$G132,$B$7,V$18,$B$9,V$16)/V116,0))</f>
        <v>0</v>
      </c>
      <c r="W117" s="101">
        <f>IF(_epmOfflineCondition_,1,IFERROR(_xll.EVGET($B$1,$H117,$B$3,W$17,$B$5,$G132,$B$7,W$18,$B$9,W$16)/W116,0))</f>
        <v>1</v>
      </c>
      <c r="X117" s="101">
        <f>IF(_epmOfflineCondition_,0,IFERROR(_xll.EVGET($B$1,$H117,$B$3,X$17,$B$5,$G132,$B$7,X$18,$B$9,X$16)/X116,0))</f>
        <v>0</v>
      </c>
      <c r="Y117" s="101">
        <f>IF(_epmOfflineCondition_,1,IFERROR(_xll.EVGET($B$1,$H117,$B$3,Y$17,$B$5,$G132,$B$7,Y$18,$B$9,Y$16)/Y116,0))</f>
        <v>1</v>
      </c>
      <c r="Z117" s="101">
        <f>IF(_epmOfflineCondition_,0,IFERROR(_xll.EVGET($B$1,$H117,$B$3,Z$17,$B$5,$G132,$B$7,Z$18,$B$9,Z$16)/Z116,0))</f>
        <v>0</v>
      </c>
      <c r="AA117" s="101">
        <f>IF(_epmOfflineCondition_,1,IFERROR(_xll.EVGET($B$1,$H117,$B$3,AA$17,$B$5,$G132,$B$7,AA$18,$B$9,AA$16)/AA116,0))</f>
        <v>1</v>
      </c>
      <c r="AB117" s="101"/>
      <c r="AC117" s="101"/>
      <c r="AD117" s="101">
        <f>IF(_epmOfflineCondition_,0.378296837205911,IFERROR(_xll.EVGET($B$1,$H117,$B$3,AD$17,$B$5,$G132,$B$7,AD$18,$B$9,AD$16)/AD116,0))</f>
        <v>0.37829683720591101</v>
      </c>
      <c r="AE117" s="101"/>
      <c r="AF117" s="101"/>
      <c r="AG117" s="101">
        <f>IF(_epmOfflineCondition_,1,IFERROR(_xll.EVGET($B$1,$H117,$B$3,AG$17,$B$5,$G132,$B$7,AG$18,$B$9,AG$16)/AG116,0))</f>
        <v>1</v>
      </c>
      <c r="AH117" s="101"/>
      <c r="AI117" s="101"/>
      <c r="AJ117" s="11"/>
      <c r="AK117" s="11"/>
      <c r="AL117" s="11"/>
      <c r="AM117" s="11"/>
      <c r="AN117" s="11"/>
      <c r="AO117" s="11"/>
    </row>
    <row r="118" spans="1:41" x14ac:dyDescent="0.35">
      <c r="A118" s="65" t="s">
        <v>6</v>
      </c>
      <c r="B118" s="66"/>
      <c r="C118" s="11"/>
      <c r="D118" s="11"/>
      <c r="E118" s="11"/>
      <c r="F118" s="11"/>
      <c r="G118" s="11"/>
      <c r="H118" s="59" t="s">
        <v>272</v>
      </c>
      <c r="I118" s="136" t="str">
        <f>IF(_epmOfflineCondition_,"T4",_xll.EVPRO($B$1,$H118,"STYLE"))</f>
        <v>T4</v>
      </c>
      <c r="J118" s="136" t="str">
        <f>IF(_epmOfflineCondition_,"Y",_xll.EVPRO($B$1,$H118,"CALC"))</f>
        <v>Y</v>
      </c>
      <c r="K118" s="11"/>
      <c r="L118" s="11"/>
      <c r="M118" s="11"/>
      <c r="N118" s="573" t="s">
        <v>804</v>
      </c>
      <c r="O118" s="101">
        <f>IF(_epmOfflineCondition_,0,IFERROR(_xll.EVGET($B$1,$H118,$B$3,O$17,$B$5,$G133,$B$7,O$18,$B$9,O$16)/O116,0))</f>
        <v>0</v>
      </c>
      <c r="P118" s="101">
        <f>IF(_epmOfflineCondition_,0,IFERROR(_xll.EVGET($B$1,$H118,$B$3,P$17,$B$5,$G133,$B$7,P$18,$B$9,P$16)/P116,0))</f>
        <v>0</v>
      </c>
      <c r="Q118" s="101">
        <f>IF(_epmOfflineCondition_,0,IFERROR(_xll.EVGET($B$1,$H118,$B$3,Q$17,$B$5,$G133,$B$7,Q$18,$B$9,Q$16)/Q116,0))</f>
        <v>0</v>
      </c>
      <c r="R118" s="101">
        <f>IF(_epmOfflineCondition_,0,IFERROR(_xll.EVGET($B$1,$H118,$B$3,R$17,$B$5,$G133,$B$7,R$18,$B$9,R$16)/R116,0))</f>
        <v>0</v>
      </c>
      <c r="S118" s="101">
        <f>IF(_epmOfflineCondition_,0,IFERROR(_xll.EVGET($B$1,$H118,$B$3,S$17,$B$5,$G133,$B$7,S$18,$B$9,S$16)/S116,0))</f>
        <v>0</v>
      </c>
      <c r="T118" s="101">
        <f>IF(_epmOfflineCondition_,0,IFERROR(_xll.EVGET($B$1,$H118,$B$3,T$17,$B$5,$G133,$B$7,T$18,$B$9,T$16)/T116,0))</f>
        <v>0</v>
      </c>
      <c r="U118" s="101">
        <f>IF(_epmOfflineCondition_,0,IFERROR(_xll.EVGET($B$1,$H118,$B$3,U$17,$B$5,$G133,$B$7,U$18,$B$9,U$16)/U116,0))</f>
        <v>0</v>
      </c>
      <c r="V118" s="101">
        <f>IF(_epmOfflineCondition_,0,IFERROR(_xll.EVGET($B$1,$H118,$B$3,V$17,$B$5,$G133,$B$7,V$18,$B$9,V$16)/V116,0))</f>
        <v>0</v>
      </c>
      <c r="W118" s="101">
        <f>IF(_epmOfflineCondition_,0,IFERROR(_xll.EVGET($B$1,$H118,$B$3,W$17,$B$5,$G133,$B$7,W$18,$B$9,W$16)/W116,0))</f>
        <v>0</v>
      </c>
      <c r="X118" s="101">
        <f>IF(_epmOfflineCondition_,0,IFERROR(_xll.EVGET($B$1,$H118,$B$3,X$17,$B$5,$G133,$B$7,X$18,$B$9,X$16)/X116,0))</f>
        <v>0</v>
      </c>
      <c r="Y118" s="101">
        <f>IF(_epmOfflineCondition_,0,IFERROR(_xll.EVGET($B$1,$H118,$B$3,Y$17,$B$5,$G133,$B$7,Y$18,$B$9,Y$16)/Y116,0))</f>
        <v>0</v>
      </c>
      <c r="Z118" s="101">
        <f>IF(_epmOfflineCondition_,0,IFERROR(_xll.EVGET($B$1,$H118,$B$3,Z$17,$B$5,$G133,$B$7,Z$18,$B$9,Z$16)/Z116,0))</f>
        <v>0</v>
      </c>
      <c r="AA118" s="101">
        <f>IF(_epmOfflineCondition_,0,IFERROR(_xll.EVGET($B$1,$H118,$B$3,AA$17,$B$5,$G133,$B$7,AA$18,$B$9,AA$16)/AA116,0))</f>
        <v>0</v>
      </c>
      <c r="AB118" s="101"/>
      <c r="AC118" s="101"/>
      <c r="AD118" s="101">
        <f>IF(_epmOfflineCondition_,0.621703162794089,IFERROR(_xll.EVGET($B$1,$H118,$B$3,AD$17,$B$5,$G133,$B$7,AD$18,$B$9,AD$16)/AD116,0))</f>
        <v>0.62170316279408899</v>
      </c>
      <c r="AE118" s="101"/>
      <c r="AF118" s="101"/>
      <c r="AG118" s="101">
        <f>IF(_epmOfflineCondition_,0,IFERROR(_xll.EVGET($B$1,$H118,$B$3,AG$17,$B$5,$G133,$B$7,AG$18,$B$9,AG$16)/AG116,0))</f>
        <v>0</v>
      </c>
      <c r="AH118" s="101"/>
      <c r="AI118" s="101"/>
      <c r="AJ118" s="11"/>
      <c r="AK118" s="11"/>
      <c r="AL118" s="11"/>
      <c r="AM118" s="11"/>
      <c r="AN118" s="11"/>
      <c r="AO118" s="11"/>
    </row>
    <row r="119" spans="1:41" x14ac:dyDescent="0.35">
      <c r="A119" s="65" t="s">
        <v>7</v>
      </c>
      <c r="B119" s="66"/>
      <c r="C119" s="11"/>
      <c r="D119" s="11"/>
      <c r="E119" s="11"/>
      <c r="F119" s="11"/>
      <c r="G119" s="11"/>
      <c r="H119" s="11"/>
      <c r="I119" s="267"/>
      <c r="J119" s="11"/>
      <c r="K119" s="267"/>
      <c r="L119" s="267"/>
      <c r="M119" s="267"/>
      <c r="N119" s="11"/>
      <c r="O119" s="267"/>
      <c r="P119" s="267"/>
      <c r="Q119" s="267"/>
      <c r="R119" s="267"/>
      <c r="S119" s="267"/>
      <c r="T119" s="267"/>
      <c r="U119" s="267"/>
      <c r="V119" s="267"/>
      <c r="W119" s="267"/>
      <c r="X119" s="267"/>
      <c r="Y119" s="267"/>
      <c r="Z119" s="267"/>
      <c r="AA119" s="267"/>
      <c r="AB119" s="11"/>
      <c r="AC119" s="11"/>
      <c r="AD119" s="267"/>
      <c r="AE119" s="11"/>
      <c r="AF119" s="267"/>
      <c r="AG119" s="11"/>
      <c r="AH119" s="267"/>
      <c r="AI119" s="11"/>
      <c r="AJ119" s="11"/>
      <c r="AK119" s="11"/>
      <c r="AL119" s="11"/>
      <c r="AM119" s="11"/>
      <c r="AN119" s="11"/>
      <c r="AO119" s="11"/>
    </row>
    <row r="120" spans="1:41" x14ac:dyDescent="0.35">
      <c r="A120" s="65" t="s">
        <v>47</v>
      </c>
      <c r="B120" s="66" t="str">
        <f>IF(_epmOfflineCondition_,"'BCC_CONS'!$A$125:$B$130",_xll.EVRNG($A$125:$B$130))</f>
        <v>'BCC_CONS'!$A$125:$B$130</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267"/>
      <c r="J123" s="11"/>
      <c r="K123" s="267"/>
      <c r="L123" s="267"/>
      <c r="M123" s="267"/>
      <c r="N123" s="11"/>
      <c r="O123" s="267"/>
      <c r="P123" s="267"/>
      <c r="Q123" s="267"/>
      <c r="R123" s="267"/>
      <c r="S123" s="267"/>
      <c r="T123" s="267"/>
      <c r="U123" s="267"/>
      <c r="V123" s="267"/>
      <c r="W123" s="267"/>
      <c r="X123" s="267"/>
      <c r="Y123" s="267"/>
      <c r="Z123" s="267"/>
      <c r="AA123" s="267"/>
      <c r="AB123" s="11"/>
      <c r="AC123" s="11"/>
      <c r="AD123" s="267"/>
      <c r="AE123" s="11"/>
      <c r="AF123" s="267"/>
      <c r="AG123" s="11"/>
      <c r="AH123" s="267"/>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28</v>
      </c>
      <c r="B125" s="66"/>
      <c r="C125" s="11"/>
      <c r="D125" s="11"/>
      <c r="E125" s="11"/>
      <c r="F125" s="11"/>
      <c r="G125" s="59"/>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29</v>
      </c>
      <c r="B126" s="66"/>
      <c r="C126" s="11"/>
      <c r="D126" s="11"/>
      <c r="E126" s="11"/>
      <c r="F126" s="11"/>
      <c r="G126" s="59" t="s">
        <v>805</v>
      </c>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30</v>
      </c>
      <c r="B127" s="66" t="s">
        <v>78</v>
      </c>
      <c r="C127" s="11"/>
      <c r="D127" s="11"/>
      <c r="E127" s="11"/>
      <c r="F127" s="11"/>
      <c r="G127" s="59" t="s">
        <v>806</v>
      </c>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31</v>
      </c>
      <c r="B128" s="66" t="s">
        <v>78</v>
      </c>
      <c r="C128" s="11"/>
      <c r="D128" s="11"/>
      <c r="E128" s="11"/>
      <c r="F128" s="11"/>
      <c r="G128" s="59"/>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32</v>
      </c>
      <c r="B129" s="66"/>
      <c r="C129" s="11"/>
      <c r="D129" s="11"/>
      <c r="E129" s="11"/>
      <c r="F129" s="11"/>
      <c r="G129" s="59" t="s">
        <v>805</v>
      </c>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hidden="1" outlineLevel="1" x14ac:dyDescent="0.35">
      <c r="A130" s="65" t="s">
        <v>33</v>
      </c>
      <c r="B130" s="66"/>
      <c r="C130" s="11"/>
      <c r="D130" s="11"/>
      <c r="E130" s="11"/>
      <c r="F130" s="11"/>
      <c r="G130" s="59" t="s">
        <v>806</v>
      </c>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hidden="1" outlineLevel="1" x14ac:dyDescent="0.35">
      <c r="A131" s="11"/>
      <c r="B131" s="11"/>
      <c r="C131" s="11"/>
      <c r="D131" s="11"/>
      <c r="E131" s="11"/>
      <c r="F131" s="11"/>
      <c r="G131" s="59"/>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collapsed="1" x14ac:dyDescent="0.35">
      <c r="A132" s="11"/>
      <c r="B132" s="11"/>
      <c r="C132" s="11"/>
      <c r="D132" s="11"/>
      <c r="E132" s="11"/>
      <c r="F132" s="11"/>
      <c r="G132" s="59" t="s">
        <v>805</v>
      </c>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11"/>
      <c r="B133" s="11"/>
      <c r="C133" s="11"/>
      <c r="D133" s="11"/>
      <c r="E133" s="11"/>
      <c r="F133" s="11"/>
      <c r="G133" s="59" t="s">
        <v>806</v>
      </c>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sheetData>
  <sheetProtection algorithmName="SHA-512" hashValue="t+XWrKWF6FfQZrQy0XzI3pRIAnwguuSvdEi1Vif+RBgtbYAOaZaroNzbeF6f5CUNeHRjw2HhqZvSSl5vGLGu+Q==" saltValue="gwGxvQWvwQELqiwmyfmt5g==" spinCount="100000" sheet="1" scenarios="1"/>
  <mergeCells count="2">
    <mergeCell ref="AD31:AE31"/>
    <mergeCell ref="AG31:AH31"/>
  </mergeCells>
  <dataValidations count="2">
    <dataValidation type="list" allowBlank="1" sqref="B94 B28 B61" xr:uid="{00000000-0002-0000-1700-000000000000}">
      <formula1>"ACCOUNT,BUSINESSUNIT,CATEGORY,DATASRC,DEPARTMENT,INTCO,MEASURES,RPTCURRENCY,TIME"</formula1>
    </dataValidation>
    <dataValidation type="list" allowBlank="1" sqref="B95 B29 B62" xr:uid="{00000000-0002-0000-1700-000001000000}">
      <formula1>"SELF,ALL,BAS,DEP,BASMEMBERS,MEMBERS,NOEXPAND,GDEP"</formula1>
    </dataValidation>
  </dataValidations>
  <pageMargins left="0.25" right="0.25" top="0.5" bottom="0.5" header="0.3" footer="0.3"/>
  <pageSetup scale="49"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4133" r:id="rId7" name="FPMExcelClientSheetOptionstb1">
          <controlPr defaultSize="0" autoLine="0" autoPict="0" r:id="rId8">
            <anchor moveWithCells="1" sizeWithCells="1">
              <from>
                <xdr:col>0</xdr:col>
                <xdr:colOff>0</xdr:colOff>
                <xdr:row>0</xdr:row>
                <xdr:rowOff>0</xdr:rowOff>
              </from>
              <to>
                <xdr:col>1</xdr:col>
                <xdr:colOff>19050</xdr:colOff>
                <xdr:row>0</xdr:row>
                <xdr:rowOff>12700</xdr:rowOff>
              </to>
            </anchor>
          </controlPr>
        </control>
      </mc:Choice>
      <mc:Fallback>
        <control shapeId="304133" r:id="rId7" name="FPMExcelClientSheetOptionstb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1">
    <tabColor theme="6" tint="0.39997558519241921"/>
    <pageSetUpPr fitToPage="1"/>
  </sheetPr>
  <dimension ref="A1:AI20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347</v>
      </c>
      <c r="C6" s="11" t="str">
        <f>IF(_epmOfflineCondition_,"Banquet-Catering &amp; CS",_xll.EVDES(B6,$B$1))</f>
        <v>Banquet-Catering &amp; CS</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IF(_epmOfflineCondition_,"'BCC_CONS_KPI'!$B$2:$B$10",_xll.EVRNG($B$2:$B$10))</f>
        <v>'BCC_CONS_KPI'!$B$2:$B$10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IF(_epmOfflineCondition_,"'BCC_CONS_KPI'!$O$16:$AI$18",_xll.EVRNG(O16:AI18))</f>
        <v>'BCC_CONS_KPI'!$O$16:$AI$18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IF(_epmOfflineCondition_,"'BCC_CONS_KPI'!$H$35:$H$142",_xll.EVRNG(H35:H142))</f>
        <v>'BCC_CONS_KPI'!$H$35:$H$142</v>
      </c>
      <c r="C19" s="11"/>
      <c r="D19" s="11"/>
      <c r="E19" s="11"/>
      <c r="F19" s="11"/>
      <c r="G19" s="67" t="str">
        <f>$B$6</f>
        <v>D_BCC_CON</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IF(_epmOfflineCondition_,555,_xll.EVGTS($B$1,1,$B$3,$B$5,$B$7,$B$9,Q$16,Q$17,Q$18,$G$19,$H$19))</f>
        <v>555</v>
      </c>
      <c r="R19" s="69">
        <f>IF(_epmOfflineCondition_,13808,_xll.EVGTS($B$1,1,$B$3,$B$5,$B$7,$B$9,R$16,R$17,R$18,$G$19,$H$19))</f>
        <v>13808</v>
      </c>
      <c r="S19" s="69">
        <f>IF(_epmOfflineCondition_,1520,_xll.EVGTS($B$1,1,$B$3,$B$5,$B$7,$B$9,S$16,S$17,S$18,$G$19,$H$19))</f>
        <v>1520</v>
      </c>
      <c r="T19" s="69">
        <f>IF(_epmOfflineCondition_,4815,_xll.EVGTS($B$1,1,$B$3,$B$5,$B$7,$B$9,T$16,T$17,T$18,$G$19,$H$19))</f>
        <v>4815</v>
      </c>
      <c r="U19" s="69">
        <f>IF(_epmOfflineCondition_,189,_xll.EVGTS($B$1,1,$B$3,$B$5,$B$7,$B$9,U$16,U$17,U$18,$G$19,$H$19))</f>
        <v>189</v>
      </c>
      <c r="V19" s="69">
        <f>IF(_epmOfflineCondition_,0,_xll.EVGTS($B$1,1,$B$3,$B$5,$B$7,$B$9,V$16,V$17,V$18,$G$19,$H$19))</f>
        <v>0</v>
      </c>
      <c r="W19" s="69">
        <f>IF(_epmOfflineCondition_,6410,_xll.EVGTS($B$1,1,$B$3,$B$5,$B$7,$B$9,W$16,W$17,W$18,$G$19,$H$19))</f>
        <v>6410</v>
      </c>
      <c r="X19" s="69">
        <f>IF(_epmOfflineCondition_,5771.7,_xll.EVGTS($B$1,1,$B$3,$B$5,$B$7,$B$9,X$16,X$17,X$18,$G$19,$H$19))</f>
        <v>5771.7</v>
      </c>
      <c r="Y19" s="69">
        <f>IF(_epmOfflineCondition_,13575,_xll.EVGTS($B$1,1,$B$3,$B$5,$B$7,$B$9,Y$16,Y$17,Y$18,$G$19,$H$19))</f>
        <v>13575</v>
      </c>
      <c r="Z19" s="69">
        <f>IF(_epmOfflineCondition_,3633,_xll.EVGTS($B$1,1,$B$3,$B$5,$B$7,$B$9,Z$16,Z$17,Z$18,$G$19,$H$19))</f>
        <v>3633</v>
      </c>
      <c r="AA19" s="69">
        <f>SUM(O19:Z19)</f>
        <v>50276.7</v>
      </c>
      <c r="AB19" s="67"/>
      <c r="AC19" s="67"/>
      <c r="AD19" s="69">
        <f>IF(_epmOfflineCondition_,149621.564706128,_xll.EVGTS($B$1,1,$B$3,$B$5,$B$7,$B$9,AD$16,AD$17,AD$18,$G$19,$H$19))</f>
        <v>149621.564706128</v>
      </c>
      <c r="AE19" s="67"/>
      <c r="AF19" s="67"/>
      <c r="AG19" s="69">
        <f>IF(_epmOfflineCondition_,39893.85,_xll.EVGTS($B$1,1,$B$3,$B$5,$B$7,$B$9,AG$16,AG$17,AG$18,$G$19,$H$19))</f>
        <v>39893.85</v>
      </c>
      <c r="AH19" s="67"/>
      <c r="AI19" s="67"/>
    </row>
    <row r="20" spans="1:35" hidden="1" outlineLevel="1" x14ac:dyDescent="0.35">
      <c r="A20" s="65" t="s">
        <v>5</v>
      </c>
      <c r="B20" s="66"/>
      <c r="C20" s="11"/>
      <c r="D20" s="11"/>
      <c r="E20" s="11"/>
      <c r="F20" s="11"/>
      <c r="G20" s="67" t="str">
        <f>$B$6</f>
        <v>D_BCC_CON</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IF(_epmOfflineCondition_,10,_xll.EVGTS($B$1,1,$B$3,$B$5,$B$7,$B$9,Q$16,Q$17,Q$18,$G$20,$H$20))</f>
        <v>10</v>
      </c>
      <c r="R20" s="69">
        <f>IF(_epmOfflineCondition_,71,_xll.EVGTS($B$1,1,$B$3,$B$5,$B$7,$B$9,R$16,R$17,R$18,$G$20,$H$20))</f>
        <v>71</v>
      </c>
      <c r="S20" s="69">
        <f>IF(_epmOfflineCondition_,32,_xll.EVGTS($B$1,1,$B$3,$B$5,$B$7,$B$9,S$16,S$17,S$18,$G$20,$H$20))</f>
        <v>32</v>
      </c>
      <c r="T20" s="69">
        <f>IF(_epmOfflineCondition_,147,_xll.EVGTS($B$1,1,$B$3,$B$5,$B$7,$B$9,T$16,T$17,T$18,$G$20,$H$20))</f>
        <v>147</v>
      </c>
      <c r="U20" s="69">
        <f>IF(_epmOfflineCondition_,5,_xll.EVGTS($B$1,1,$B$3,$B$5,$B$7,$B$9,U$16,U$17,U$18,$G$20,$H$20))</f>
        <v>5</v>
      </c>
      <c r="V20" s="69">
        <f>IF(_epmOfflineCondition_,0,_xll.EVGTS($B$1,1,$B$3,$B$5,$B$7,$B$9,V$16,V$17,V$18,$G$20,$H$20))</f>
        <v>0</v>
      </c>
      <c r="W20" s="69">
        <f>IF(_epmOfflineCondition_,124,_xll.EVGTS($B$1,1,$B$3,$B$5,$B$7,$B$9,W$16,W$17,W$18,$G$20,$H$20))</f>
        <v>124</v>
      </c>
      <c r="X20" s="69">
        <f>IF(_epmOfflineCondition_,0,_xll.EVGTS($B$1,1,$B$3,$B$5,$B$7,$B$9,X$16,X$17,X$18,$G$20,$H$20))</f>
        <v>0</v>
      </c>
      <c r="Y20" s="69">
        <f>IF(_epmOfflineCondition_,201,_xll.EVGTS($B$1,1,$B$3,$B$5,$B$7,$B$9,Y$16,Y$17,Y$18,$G$20,$H$20))</f>
        <v>201</v>
      </c>
      <c r="Z20" s="69">
        <f>IF(_epmOfflineCondition_,162,_xll.EVGTS($B$1,1,$B$3,$B$5,$B$7,$B$9,Z$16,Z$17,Z$18,$G$20,$H$20))</f>
        <v>162</v>
      </c>
      <c r="AA20" s="69">
        <f>SUM(O20:Z20)</f>
        <v>752</v>
      </c>
      <c r="AB20" s="67"/>
      <c r="AC20" s="67"/>
      <c r="AD20" s="69">
        <f>IF(_epmOfflineCondition_,2096.256470591,_xll.EVGTS($B$1,1,$B$3,$B$5,$B$7,$B$9,AD$16,AD$17,AD$18,$G$20,$H$20))</f>
        <v>2096.2564705909999</v>
      </c>
      <c r="AE20" s="67"/>
      <c r="AF20" s="67"/>
      <c r="AG20" s="69">
        <f>IF(_epmOfflineCondition_,912,_xll.EVGTS($B$1,1,$B$3,$B$5,$B$7,$B$9,AG$16,AG$17,AG$18,$G$20,$H$20))</f>
        <v>912</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IF(_epmOfflineCondition_,"'BCC_CONS_KPI'!$A$37:$B$58",_xll.EVRNG($A$37:$B$58))</f>
        <v>'BCC_CONS_KPI'!$A$37:$B$58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IF(_epmOfflineCondition_,"Banquet-Catering &amp; CS Department",IF($N$1="",IF(_xll.EVDES(B6,$B$1)="#NODATA","",_xll.EVDES(B6,$B$1)&amp;" Department"),$N$1))</f>
        <v>Banquet-Catering &amp; CS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v>560</v>
      </c>
      <c r="T35" s="143"/>
      <c r="U35" s="143"/>
      <c r="V35" s="143"/>
      <c r="W35" s="143"/>
      <c r="X35" s="143"/>
      <c r="Y35" s="143">
        <v>5305</v>
      </c>
      <c r="Z35" s="143">
        <v>2051</v>
      </c>
      <c r="AA35" s="143">
        <f t="shared" ref="AA35:AA41" si="0">SUM(O35:Z35)</f>
        <v>7916</v>
      </c>
      <c r="AB35" s="144">
        <f>IF(AA35=0,"",IFERROR(AA35/AA$19,""))</f>
        <v>0.1574486790103567</v>
      </c>
      <c r="AC35" s="140"/>
      <c r="AD35" s="143"/>
      <c r="AE35" s="144" t="str">
        <f>IF(AD35=0,"",IFERROR(AD35/AD$19,""))</f>
        <v/>
      </c>
      <c r="AF35" s="145">
        <f t="shared" ref="AF35:AF42" si="1">IF(AND($AA35="",AD35=""),"",$AA35-AD35)</f>
        <v>7916</v>
      </c>
      <c r="AG35" s="143">
        <v>10377.89</v>
      </c>
      <c r="AH35" s="144">
        <f>IF(AG35=0,"",IFERROR(AG35/AG$19,""))</f>
        <v>0.26013759012980697</v>
      </c>
      <c r="AI35" s="145">
        <f t="shared" ref="AI35:AI42" si="2">IF(AND($AA35="",AG35=""),"",$AA35-AG35)</f>
        <v>-2461.8899999999994</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v>258.99</v>
      </c>
      <c r="AH36" s="144">
        <f>IF(AG36=0,"",IFERROR(AG36/AG$19,""))</f>
        <v>6.4919780868479731E-3</v>
      </c>
      <c r="AI36" s="145">
        <f t="shared" si="2"/>
        <v>-258.99</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v>560</v>
      </c>
      <c r="T39" s="166"/>
      <c r="U39" s="166"/>
      <c r="V39" s="166"/>
      <c r="W39" s="166"/>
      <c r="X39" s="166"/>
      <c r="Y39" s="166">
        <v>5305</v>
      </c>
      <c r="Z39" s="166">
        <v>2051</v>
      </c>
      <c r="AA39" s="166">
        <f t="shared" si="0"/>
        <v>7916</v>
      </c>
      <c r="AB39" s="167">
        <f>IF(AA39=0,"",IFERROR(AA39/AA$19,""))</f>
        <v>0.1574486790103567</v>
      </c>
      <c r="AC39" s="140"/>
      <c r="AD39" s="166"/>
      <c r="AE39" s="167" t="str">
        <f>IF(AD39=0,"",IFERROR(AD39/AD$19,""))</f>
        <v/>
      </c>
      <c r="AF39" s="168">
        <f t="shared" si="1"/>
        <v>7916</v>
      </c>
      <c r="AG39" s="166">
        <v>10636.88</v>
      </c>
      <c r="AH39" s="167">
        <f>IF(AG39=0,"",IFERROR(AG39/AG$19,""))</f>
        <v>0.26662956821665496</v>
      </c>
      <c r="AI39" s="168">
        <f t="shared" si="2"/>
        <v>-2720.8799999999992</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v>1</v>
      </c>
      <c r="T40" s="210"/>
      <c r="U40" s="210"/>
      <c r="V40" s="210"/>
      <c r="W40" s="210"/>
      <c r="X40" s="210"/>
      <c r="Y40" s="210">
        <v>3</v>
      </c>
      <c r="Z40" s="210">
        <v>5</v>
      </c>
      <c r="AA40" s="210">
        <f t="shared" si="0"/>
        <v>9</v>
      </c>
      <c r="AB40" s="211"/>
      <c r="AC40" s="140"/>
      <c r="AD40" s="210"/>
      <c r="AE40" s="211"/>
      <c r="AF40" s="253">
        <f t="shared" si="1"/>
        <v>9</v>
      </c>
      <c r="AG40" s="210">
        <v>34</v>
      </c>
      <c r="AH40" s="211"/>
      <c r="AI40" s="253">
        <f t="shared" si="2"/>
        <v>-25</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v>16</v>
      </c>
      <c r="T41" s="210"/>
      <c r="U41" s="210"/>
      <c r="V41" s="210"/>
      <c r="W41" s="210"/>
      <c r="X41" s="210"/>
      <c r="Y41" s="210">
        <v>53</v>
      </c>
      <c r="Z41" s="210">
        <v>72</v>
      </c>
      <c r="AA41" s="210">
        <f t="shared" si="0"/>
        <v>141</v>
      </c>
      <c r="AB41" s="211">
        <f>IF(AA41=0,"",IFERROR(AA41/AA$84,""))</f>
        <v>0.1875</v>
      </c>
      <c r="AC41" s="140"/>
      <c r="AD41" s="210"/>
      <c r="AE41" s="211" t="str">
        <f>IF(AD41=0,"",IFERROR(AD41/AD$84,""))</f>
        <v/>
      </c>
      <c r="AF41" s="253">
        <f t="shared" si="1"/>
        <v>141</v>
      </c>
      <c r="AG41" s="210">
        <v>314</v>
      </c>
      <c r="AH41" s="211">
        <f>IF(AG41=0,"",IFERROR(AG41/AG$84,""))</f>
        <v>0.3442982456140351</v>
      </c>
      <c r="AI41" s="253">
        <f t="shared" si="2"/>
        <v>-173</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v>35</v>
      </c>
      <c r="T42" s="495"/>
      <c r="U42" s="495"/>
      <c r="V42" s="495"/>
      <c r="W42" s="495"/>
      <c r="X42" s="495"/>
      <c r="Y42" s="495">
        <v>100.094339622642</v>
      </c>
      <c r="Z42" s="495">
        <v>28.4861111111111</v>
      </c>
      <c r="AA42" s="495">
        <f>IFERROR(AA39/AA41,"")</f>
        <v>56.141843971631204</v>
      </c>
      <c r="AB42" s="495"/>
      <c r="AC42" s="140"/>
      <c r="AD42" s="495"/>
      <c r="AE42" s="495"/>
      <c r="AF42" s="496">
        <f t="shared" si="1"/>
        <v>56.141843971631204</v>
      </c>
      <c r="AG42" s="495">
        <v>33.875414012738901</v>
      </c>
      <c r="AH42" s="495"/>
      <c r="AI42" s="496">
        <f t="shared" si="2"/>
        <v>22.266429958892303</v>
      </c>
    </row>
    <row r="43" spans="1:35" x14ac:dyDescent="0.35">
      <c r="A43" s="65" t="s">
        <v>31</v>
      </c>
      <c r="B43" s="66" t="s">
        <v>78</v>
      </c>
      <c r="C43" s="11"/>
      <c r="D43" s="11"/>
      <c r="E43" s="11"/>
      <c r="F43" s="11"/>
      <c r="G43" s="11"/>
      <c r="H43" s="88"/>
      <c r="I43" s="122"/>
      <c r="J43" s="122"/>
      <c r="K43" s="90"/>
      <c r="L43" s="90"/>
      <c r="M43" s="90"/>
      <c r="N43" s="491" t="s">
        <v>345</v>
      </c>
      <c r="O43" s="497">
        <f t="shared" ref="O43:AA43" si="3">ROUND(IFERROR(O39/O41,0),2)</f>
        <v>0</v>
      </c>
      <c r="P43" s="498">
        <f t="shared" si="3"/>
        <v>0</v>
      </c>
      <c r="Q43" s="498">
        <f t="shared" si="3"/>
        <v>0</v>
      </c>
      <c r="R43" s="498">
        <f t="shared" si="3"/>
        <v>0</v>
      </c>
      <c r="S43" s="498">
        <f t="shared" si="3"/>
        <v>35</v>
      </c>
      <c r="T43" s="498">
        <f t="shared" si="3"/>
        <v>0</v>
      </c>
      <c r="U43" s="498">
        <f t="shared" si="3"/>
        <v>0</v>
      </c>
      <c r="V43" s="498">
        <f t="shared" si="3"/>
        <v>0</v>
      </c>
      <c r="W43" s="498">
        <f t="shared" si="3"/>
        <v>0</v>
      </c>
      <c r="X43" s="498">
        <f t="shared" si="3"/>
        <v>0</v>
      </c>
      <c r="Y43" s="498">
        <f t="shared" si="3"/>
        <v>100.09</v>
      </c>
      <c r="Z43" s="498">
        <f t="shared" si="3"/>
        <v>28.49</v>
      </c>
      <c r="AA43" s="498">
        <f t="shared" si="3"/>
        <v>56.14</v>
      </c>
      <c r="AB43" s="499"/>
      <c r="AC43" s="140"/>
      <c r="AD43" s="497">
        <f>ROUND(IFERROR(AD39/AD41,0),2)</f>
        <v>0</v>
      </c>
      <c r="AE43" s="498"/>
      <c r="AF43" s="159"/>
      <c r="AG43" s="497">
        <f>ROUND(IFERROR(AG39/AG41,0),2)</f>
        <v>33.880000000000003</v>
      </c>
      <c r="AH43" s="498"/>
      <c r="AI43" s="159"/>
    </row>
    <row r="44" spans="1:35" x14ac:dyDescent="0.3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v>555</v>
      </c>
      <c r="R45" s="143"/>
      <c r="S45" s="143">
        <v>960</v>
      </c>
      <c r="T45" s="143">
        <v>2800</v>
      </c>
      <c r="U45" s="143">
        <v>25</v>
      </c>
      <c r="V45" s="143"/>
      <c r="W45" s="143">
        <v>1610</v>
      </c>
      <c r="X45" s="143">
        <v>18</v>
      </c>
      <c r="Y45" s="143">
        <v>3620</v>
      </c>
      <c r="Z45" s="143"/>
      <c r="AA45" s="143">
        <f t="shared" ref="AA45:AA51" si="5">SUM(O45:Z45)</f>
        <v>9588</v>
      </c>
      <c r="AB45" s="144">
        <f>IF(AA45=0,"",IFERROR(AA45/AA$19,""))</f>
        <v>0.19070464051936584</v>
      </c>
      <c r="AC45" s="140"/>
      <c r="AD45" s="143"/>
      <c r="AE45" s="144" t="str">
        <f>IF(AD45=0,"",IFERROR(AD45/AD$19,""))</f>
        <v/>
      </c>
      <c r="AF45" s="145">
        <f t="shared" ref="AF45:AF52" si="6">IF(AND($AA45="",AD45=""),"",$AA45-AD45)</f>
        <v>9588</v>
      </c>
      <c r="AG45" s="143">
        <v>15432</v>
      </c>
      <c r="AH45" s="144">
        <f>IF(AG45=0,"",IFERROR(AG45/AG$19,""))</f>
        <v>0.38682654093300095</v>
      </c>
      <c r="AI45" s="145">
        <f t="shared" ref="AI45:AI52" si="7">IF(AND($AA45="",AG45=""),"",$AA45-AG45)</f>
        <v>-5844</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v>90</v>
      </c>
      <c r="U46" s="143">
        <v>22</v>
      </c>
      <c r="V46" s="143"/>
      <c r="W46" s="143"/>
      <c r="X46" s="143"/>
      <c r="Y46" s="143">
        <v>660</v>
      </c>
      <c r="Z46" s="143"/>
      <c r="AA46" s="143">
        <f t="shared" si="5"/>
        <v>772</v>
      </c>
      <c r="AB46" s="144">
        <f>IF(AA46=0,"",IFERROR(AA46/AA$19,""))</f>
        <v>1.5355025290044892E-2</v>
      </c>
      <c r="AC46" s="140"/>
      <c r="AD46" s="143"/>
      <c r="AE46" s="144" t="str">
        <f>IF(AD46=0,"",IFERROR(AD46/AD$19,""))</f>
        <v/>
      </c>
      <c r="AF46" s="145">
        <f t="shared" si="6"/>
        <v>772</v>
      </c>
      <c r="AG46" s="143">
        <v>7</v>
      </c>
      <c r="AH46" s="144">
        <f>IF(AG46=0,"",IFERROR(AG46/AG$19,""))</f>
        <v>1.7546564194731771E-4</v>
      </c>
      <c r="AI46" s="145">
        <f t="shared" si="7"/>
        <v>765</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v>102</v>
      </c>
      <c r="AH47" s="144">
        <f>IF(AG47=0,"",IFERROR(AG47/AG$19,""))</f>
        <v>2.5567850683752007E-3</v>
      </c>
      <c r="AI47" s="145">
        <f t="shared" si="7"/>
        <v>-102</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v>555</v>
      </c>
      <c r="R49" s="166"/>
      <c r="S49" s="166">
        <v>960</v>
      </c>
      <c r="T49" s="166">
        <v>2890</v>
      </c>
      <c r="U49" s="166">
        <v>47</v>
      </c>
      <c r="V49" s="166"/>
      <c r="W49" s="166">
        <v>1610</v>
      </c>
      <c r="X49" s="166">
        <v>18</v>
      </c>
      <c r="Y49" s="166">
        <v>4280</v>
      </c>
      <c r="Z49" s="166"/>
      <c r="AA49" s="166">
        <f t="shared" si="5"/>
        <v>10360</v>
      </c>
      <c r="AB49" s="167">
        <f>IF(AA49=0,"",IFERROR(AA49/AA$19,""))</f>
        <v>0.20605966580941074</v>
      </c>
      <c r="AC49" s="140"/>
      <c r="AD49" s="166"/>
      <c r="AE49" s="167" t="str">
        <f>IF(AD49=0,"",IFERROR(AD49/AD$19,""))</f>
        <v/>
      </c>
      <c r="AF49" s="168">
        <f t="shared" si="6"/>
        <v>10360</v>
      </c>
      <c r="AG49" s="166">
        <v>15541</v>
      </c>
      <c r="AH49" s="167">
        <f>IF(AG49=0,"",IFERROR(AG49/AG$19,""))</f>
        <v>0.38955879164332347</v>
      </c>
      <c r="AI49" s="168">
        <f t="shared" si="7"/>
        <v>-5181</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v>2</v>
      </c>
      <c r="R50" s="210"/>
      <c r="S50" s="210">
        <v>1</v>
      </c>
      <c r="T50" s="210">
        <v>1</v>
      </c>
      <c r="U50" s="210">
        <v>2</v>
      </c>
      <c r="V50" s="210"/>
      <c r="W50" s="210">
        <v>1</v>
      </c>
      <c r="X50" s="210">
        <v>1</v>
      </c>
      <c r="Y50" s="210">
        <v>5</v>
      </c>
      <c r="Z50" s="210">
        <v>3</v>
      </c>
      <c r="AA50" s="210">
        <f t="shared" si="5"/>
        <v>16</v>
      </c>
      <c r="AB50" s="211"/>
      <c r="AC50" s="140"/>
      <c r="AD50" s="210"/>
      <c r="AE50" s="211"/>
      <c r="AF50" s="253">
        <f t="shared" si="6"/>
        <v>16</v>
      </c>
      <c r="AG50" s="210">
        <v>36</v>
      </c>
      <c r="AH50" s="211"/>
      <c r="AI50" s="253">
        <f t="shared" si="7"/>
        <v>-20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v>10</v>
      </c>
      <c r="R51" s="210"/>
      <c r="S51" s="210">
        <v>16</v>
      </c>
      <c r="T51" s="210">
        <v>80</v>
      </c>
      <c r="U51" s="210">
        <v>1</v>
      </c>
      <c r="V51" s="210"/>
      <c r="W51" s="210">
        <v>39</v>
      </c>
      <c r="X51" s="210"/>
      <c r="Y51" s="210">
        <v>76</v>
      </c>
      <c r="Z51" s="210">
        <v>90</v>
      </c>
      <c r="AA51" s="210">
        <f t="shared" si="5"/>
        <v>312</v>
      </c>
      <c r="AB51" s="211">
        <f>IF(AA51=0,"",IFERROR(AA51/AA$84,""))</f>
        <v>0.41489361702127658</v>
      </c>
      <c r="AC51" s="140"/>
      <c r="AD51" s="210"/>
      <c r="AE51" s="211" t="str">
        <f>IF(AD51=0,"",IFERROR(AD51/AD$84,""))</f>
        <v/>
      </c>
      <c r="AF51" s="253">
        <f t="shared" si="6"/>
        <v>312</v>
      </c>
      <c r="AG51" s="210">
        <v>243</v>
      </c>
      <c r="AH51" s="211">
        <f>IF(AG51=0,"",IFERROR(AG51/AG$84,""))</f>
        <v>0.26644736842105265</v>
      </c>
      <c r="AI51" s="253">
        <f t="shared" si="7"/>
        <v>69</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v>55.5</v>
      </c>
      <c r="R52" s="495"/>
      <c r="S52" s="495">
        <v>60</v>
      </c>
      <c r="T52" s="495">
        <v>36.125</v>
      </c>
      <c r="U52" s="495">
        <v>47</v>
      </c>
      <c r="V52" s="495"/>
      <c r="W52" s="495">
        <v>41.282051282051299</v>
      </c>
      <c r="X52" s="495"/>
      <c r="Y52" s="495">
        <v>56.315789473684198</v>
      </c>
      <c r="Z52" s="495"/>
      <c r="AA52" s="495">
        <f>IFERROR(AA49/AA51,"")</f>
        <v>33.205128205128204</v>
      </c>
      <c r="AB52" s="495"/>
      <c r="AC52" s="140"/>
      <c r="AD52" s="495"/>
      <c r="AE52" s="495"/>
      <c r="AF52" s="496">
        <f t="shared" si="6"/>
        <v>33.205128205128204</v>
      </c>
      <c r="AG52" s="495">
        <v>63.954732510288103</v>
      </c>
      <c r="AH52" s="495"/>
      <c r="AI52" s="496">
        <f t="shared" si="7"/>
        <v>-30.749604305159899</v>
      </c>
    </row>
    <row r="53" spans="1:35" x14ac:dyDescent="0.35">
      <c r="A53" s="65" t="s">
        <v>41</v>
      </c>
      <c r="B53" s="66"/>
      <c r="C53" s="11"/>
      <c r="D53" s="11"/>
      <c r="E53" s="11"/>
      <c r="F53" s="11"/>
      <c r="G53" s="11"/>
      <c r="H53" s="88"/>
      <c r="I53" s="122"/>
      <c r="J53" s="122"/>
      <c r="K53" s="90"/>
      <c r="L53" s="90"/>
      <c r="M53" s="90"/>
      <c r="N53" s="491" t="s">
        <v>345</v>
      </c>
      <c r="O53" s="497">
        <f t="shared" ref="O53:AA53" si="8">ROUND(IFERROR(O49/O51,0),2)</f>
        <v>0</v>
      </c>
      <c r="P53" s="498">
        <f t="shared" si="8"/>
        <v>0</v>
      </c>
      <c r="Q53" s="498">
        <f t="shared" si="8"/>
        <v>55.5</v>
      </c>
      <c r="R53" s="498">
        <f t="shared" si="8"/>
        <v>0</v>
      </c>
      <c r="S53" s="498">
        <f t="shared" si="8"/>
        <v>60</v>
      </c>
      <c r="T53" s="498">
        <f t="shared" si="8"/>
        <v>36.130000000000003</v>
      </c>
      <c r="U53" s="498">
        <f t="shared" si="8"/>
        <v>47</v>
      </c>
      <c r="V53" s="498">
        <f t="shared" si="8"/>
        <v>0</v>
      </c>
      <c r="W53" s="498">
        <f t="shared" si="8"/>
        <v>41.28</v>
      </c>
      <c r="X53" s="498">
        <f t="shared" si="8"/>
        <v>0</v>
      </c>
      <c r="Y53" s="498">
        <f t="shared" si="8"/>
        <v>56.32</v>
      </c>
      <c r="Z53" s="498">
        <f t="shared" si="8"/>
        <v>0</v>
      </c>
      <c r="AA53" s="498">
        <f t="shared" si="8"/>
        <v>33.21</v>
      </c>
      <c r="AB53" s="499"/>
      <c r="AC53" s="140"/>
      <c r="AD53" s="497">
        <f>ROUND(IFERROR(AD49/AD51,0),2)</f>
        <v>0</v>
      </c>
      <c r="AE53" s="498"/>
      <c r="AF53" s="159"/>
      <c r="AG53" s="497">
        <f>ROUND(IFERROR(AG49/AG51,0),2)</f>
        <v>63.95</v>
      </c>
      <c r="AH53" s="498"/>
      <c r="AI53" s="159"/>
    </row>
    <row r="54" spans="1:35" x14ac:dyDescent="0.3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v>12980</v>
      </c>
      <c r="S55" s="143"/>
      <c r="T55" s="143">
        <v>560</v>
      </c>
      <c r="U55" s="143"/>
      <c r="V55" s="143"/>
      <c r="W55" s="143">
        <v>4110</v>
      </c>
      <c r="X55" s="143">
        <v>5753.7</v>
      </c>
      <c r="Y55" s="143">
        <v>3990</v>
      </c>
      <c r="Z55" s="143">
        <v>1582</v>
      </c>
      <c r="AA55" s="143">
        <f t="shared" ref="AA55:AA61" si="10">SUM(O55:Z55)</f>
        <v>28975.7</v>
      </c>
      <c r="AB55" s="144">
        <f>IF(AA55=0,"",IFERROR(AA55/AA$19,""))</f>
        <v>0.57632461955538061</v>
      </c>
      <c r="AC55" s="140"/>
      <c r="AD55" s="143">
        <v>77803.213647186305</v>
      </c>
      <c r="AE55" s="144">
        <f>IF(AD55=0,"",IFERROR(AD55/AD$19,""))</f>
        <v>0.51999999999999824</v>
      </c>
      <c r="AF55" s="145">
        <f t="shared" ref="AF55:AF62" si="11">IF(AND($AA55="",AD55=""),"",$AA55-AD55)</f>
        <v>-48827.513647186308</v>
      </c>
      <c r="AG55" s="143">
        <v>778.97</v>
      </c>
      <c r="AH55" s="144">
        <f>IF(AG55=0,"",IFERROR(AG55/AG$19,""))</f>
        <v>1.9526067301100295E-2</v>
      </c>
      <c r="AI55" s="145">
        <f t="shared" ref="AI55:AI62" si="12">IF(AND($AA55="",AG55=""),"",$AA55-AG55)</f>
        <v>28196.73</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v>828</v>
      </c>
      <c r="S56" s="143"/>
      <c r="T56" s="143">
        <v>1365</v>
      </c>
      <c r="U56" s="143">
        <v>142</v>
      </c>
      <c r="V56" s="143"/>
      <c r="W56" s="143">
        <v>690</v>
      </c>
      <c r="X56" s="143"/>
      <c r="Y56" s="143"/>
      <c r="Z56" s="143"/>
      <c r="AA56" s="143">
        <f t="shared" si="10"/>
        <v>3025</v>
      </c>
      <c r="AB56" s="144">
        <f>IF(AA56=0,"",IFERROR(AA56/AA$19,""))</f>
        <v>6.0167035624852074E-2</v>
      </c>
      <c r="AC56" s="140"/>
      <c r="AD56" s="143">
        <v>32916.744235348102</v>
      </c>
      <c r="AE56" s="144">
        <f>IF(AD56=0,"",IFERROR(AD56/AD$19,""))</f>
        <v>0.21999999999999961</v>
      </c>
      <c r="AF56" s="145">
        <f t="shared" si="11"/>
        <v>-29891.744235348102</v>
      </c>
      <c r="AG56" s="143">
        <v>962</v>
      </c>
      <c r="AH56" s="144">
        <f>IF(AG56=0,"",IFERROR(AG56/AG$19,""))</f>
        <v>2.4113992507617088E-2</v>
      </c>
      <c r="AI56" s="145">
        <f t="shared" si="12"/>
        <v>2063</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v>5984.8625882450997</v>
      </c>
      <c r="AE57" s="144">
        <f>IF(AD57=0,"",IFERROR(AD57/AD$19,""))</f>
        <v>3.9999999999999862E-2</v>
      </c>
      <c r="AF57" s="145">
        <f t="shared" si="11"/>
        <v>-5984.8625882450997</v>
      </c>
      <c r="AG57" s="143">
        <v>165</v>
      </c>
      <c r="AH57" s="144">
        <f>IF(AG57=0,"",IFERROR(AG57/AG$19,""))</f>
        <v>4.1359758459010602E-3</v>
      </c>
      <c r="AI57" s="145">
        <f t="shared" si="12"/>
        <v>-165</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v>32916.744235348102</v>
      </c>
      <c r="AE58" s="219">
        <f>IF(AD58=0,"",IFERROR(AD58/AD$19,""))</f>
        <v>0.21999999999999961</v>
      </c>
      <c r="AF58" s="220">
        <f t="shared" si="11"/>
        <v>-32916.744235348102</v>
      </c>
      <c r="AG58" s="217">
        <v>670</v>
      </c>
      <c r="AH58" s="219">
        <f>IF(AG58=0,"",IFERROR(AG58/AG$19,""))</f>
        <v>1.6794568586386123E-2</v>
      </c>
      <c r="AI58" s="220">
        <f t="shared" si="12"/>
        <v>-670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v>13808</v>
      </c>
      <c r="S59" s="166"/>
      <c r="T59" s="166">
        <v>1925</v>
      </c>
      <c r="U59" s="166">
        <v>142</v>
      </c>
      <c r="V59" s="166"/>
      <c r="W59" s="166">
        <v>4800</v>
      </c>
      <c r="X59" s="166">
        <v>5753.7</v>
      </c>
      <c r="Y59" s="166">
        <v>3990</v>
      </c>
      <c r="Z59" s="166">
        <v>1582</v>
      </c>
      <c r="AA59" s="166">
        <f t="shared" si="10"/>
        <v>32000.7</v>
      </c>
      <c r="AB59" s="167">
        <f>IF(AA59=0,"",IFERROR(AA59/AA$19,""))</f>
        <v>0.63649165518023265</v>
      </c>
      <c r="AC59" s="140"/>
      <c r="AD59" s="166">
        <v>149621.564706128</v>
      </c>
      <c r="AE59" s="167">
        <f>IF(AD59=0,"",IFERROR(AD59/AD$19,""))</f>
        <v>1</v>
      </c>
      <c r="AF59" s="168">
        <f t="shared" si="11"/>
        <v>-117620.86470612801</v>
      </c>
      <c r="AG59" s="166">
        <v>2575.9699999999998</v>
      </c>
      <c r="AH59" s="167">
        <f>IF(AG59=0,"",IFERROR(AG59/AG$19,""))</f>
        <v>6.4570604241004567E-2</v>
      </c>
      <c r="AI59" s="168">
        <f t="shared" si="12"/>
        <v>29424.73</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v>1</v>
      </c>
      <c r="S60" s="210"/>
      <c r="T60" s="210">
        <v>3</v>
      </c>
      <c r="U60" s="210">
        <v>1</v>
      </c>
      <c r="V60" s="210"/>
      <c r="W60" s="210">
        <v>2</v>
      </c>
      <c r="X60" s="210">
        <v>5</v>
      </c>
      <c r="Y60" s="210">
        <v>3</v>
      </c>
      <c r="Z60" s="210">
        <v>6</v>
      </c>
      <c r="AA60" s="210">
        <f t="shared" si="10"/>
        <v>21</v>
      </c>
      <c r="AB60" s="211"/>
      <c r="AC60" s="140"/>
      <c r="AD60" s="210"/>
      <c r="AE60" s="211"/>
      <c r="AF60" s="253">
        <f t="shared" si="11"/>
        <v>21</v>
      </c>
      <c r="AG60" s="210">
        <v>34</v>
      </c>
      <c r="AH60" s="211"/>
      <c r="AI60" s="253">
        <f t="shared" si="12"/>
        <v>-13</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v>67</v>
      </c>
      <c r="U61" s="210">
        <v>4</v>
      </c>
      <c r="V61" s="210"/>
      <c r="W61" s="210">
        <v>85</v>
      </c>
      <c r="X61" s="210"/>
      <c r="Y61" s="210">
        <v>72</v>
      </c>
      <c r="Z61" s="210"/>
      <c r="AA61" s="210">
        <f t="shared" si="10"/>
        <v>228</v>
      </c>
      <c r="AB61" s="211">
        <f>IF(AA61=0,"",IFERROR(AA61/AA$84,""))</f>
        <v>0.30319148936170215</v>
      </c>
      <c r="AC61" s="140"/>
      <c r="AD61" s="210">
        <v>2096.2564705909999</v>
      </c>
      <c r="AE61" s="211">
        <f>IF(AD61=0,"",IFERROR(AD61/AD$84,""))</f>
        <v>1</v>
      </c>
      <c r="AF61" s="253">
        <f t="shared" si="11"/>
        <v>-1868.2564705909999</v>
      </c>
      <c r="AG61" s="210">
        <v>58</v>
      </c>
      <c r="AH61" s="211">
        <f>IF(AG61=0,"",IFERROR(AG61/AG$84,""))</f>
        <v>6.3596491228070179E-2</v>
      </c>
      <c r="AI61" s="253">
        <f t="shared" si="12"/>
        <v>170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v>28.731343283582099</v>
      </c>
      <c r="U62" s="495">
        <v>35.5</v>
      </c>
      <c r="V62" s="495"/>
      <c r="W62" s="495">
        <v>56.470588235294102</v>
      </c>
      <c r="X62" s="495"/>
      <c r="Y62" s="495">
        <v>55.4166666666667</v>
      </c>
      <c r="Z62" s="495"/>
      <c r="AA62" s="495">
        <f>IFERROR(AA59/AA61,"")</f>
        <v>140.35394736842105</v>
      </c>
      <c r="AB62" s="495"/>
      <c r="AC62" s="140"/>
      <c r="AD62" s="495">
        <v>71.375600650594393</v>
      </c>
      <c r="AE62" s="495"/>
      <c r="AF62" s="496">
        <f t="shared" si="11"/>
        <v>68.978346717826653</v>
      </c>
      <c r="AG62" s="495">
        <v>44.413275862069</v>
      </c>
      <c r="AH62" s="495"/>
      <c r="AI62" s="496">
        <f t="shared" si="12"/>
        <v>95.940671506352047</v>
      </c>
    </row>
    <row r="63" spans="1:35" x14ac:dyDescent="0.35">
      <c r="A63" s="11"/>
      <c r="B63" s="11"/>
      <c r="C63" s="11"/>
      <c r="D63" s="11"/>
      <c r="E63" s="11"/>
      <c r="F63" s="11"/>
      <c r="G63" s="11"/>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28.73</v>
      </c>
      <c r="U63" s="498">
        <f t="shared" si="13"/>
        <v>35.5</v>
      </c>
      <c r="V63" s="498">
        <f t="shared" si="13"/>
        <v>0</v>
      </c>
      <c r="W63" s="498">
        <f t="shared" si="13"/>
        <v>56.47</v>
      </c>
      <c r="X63" s="498">
        <f t="shared" si="13"/>
        <v>0</v>
      </c>
      <c r="Y63" s="498">
        <f t="shared" si="13"/>
        <v>55.42</v>
      </c>
      <c r="Z63" s="498">
        <f t="shared" si="13"/>
        <v>0</v>
      </c>
      <c r="AA63" s="498">
        <f t="shared" si="13"/>
        <v>140.35</v>
      </c>
      <c r="AB63" s="499"/>
      <c r="AC63" s="140"/>
      <c r="AD63" s="497">
        <f>ROUND(IFERROR(AD59/AD61,0),2)</f>
        <v>71.38</v>
      </c>
      <c r="AE63" s="498"/>
      <c r="AF63" s="159"/>
      <c r="AG63" s="497">
        <f>ROUND(IFERROR(AG59/AG61,0),2)</f>
        <v>44.41</v>
      </c>
      <c r="AH63" s="498"/>
      <c r="AI63" s="159"/>
    </row>
    <row r="64" spans="1:35" x14ac:dyDescent="0.3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43"/>
      <c r="P65" s="143"/>
      <c r="Q65" s="143"/>
      <c r="R65" s="143"/>
      <c r="S65" s="143"/>
      <c r="T65" s="143"/>
      <c r="U65" s="143"/>
      <c r="V65" s="143"/>
      <c r="W65" s="143"/>
      <c r="X65" s="143"/>
      <c r="Y65" s="143"/>
      <c r="Z65" s="143"/>
      <c r="AA65" s="143">
        <f t="shared" ref="AA65:AA70" si="15">SUM(O65:Z65)</f>
        <v>0</v>
      </c>
      <c r="AB65" s="144" t="str">
        <f>IF(AA65=0,"",IFERROR(AA65/AA$19,""))</f>
        <v/>
      </c>
      <c r="AC65" s="140"/>
      <c r="AD65" s="143"/>
      <c r="AE65" s="144" t="str">
        <f>IF(AD65=0,"",IFERROR(AD65/AD$19,""))</f>
        <v/>
      </c>
      <c r="AF65" s="145">
        <f t="shared" ref="AF65:AF71" si="16">IF(AND($AA65="",AD65=""),"",$AA65-AD65)</f>
        <v>0</v>
      </c>
      <c r="AG65" s="143">
        <v>3765</v>
      </c>
      <c r="AH65" s="144">
        <f>IF(AG65=0,"",IFERROR(AG65/AG$19,""))</f>
        <v>9.4375448847378737E-2</v>
      </c>
      <c r="AI65" s="145">
        <f t="shared" ref="AI65:AI71" si="17">IF(AND($AA65="",AG65=""),"",$AA65-AG65)</f>
        <v>-3765</v>
      </c>
    </row>
    <row r="66" spans="1:35" x14ac:dyDescent="0.3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v>689</v>
      </c>
      <c r="AH66" s="144">
        <f>IF(AG66=0,"",IFERROR(AG66/AG$19,""))</f>
        <v>1.7270832471671698E-2</v>
      </c>
      <c r="AI66" s="145">
        <f t="shared" si="17"/>
        <v>-689</v>
      </c>
    </row>
    <row r="67" spans="1:35" x14ac:dyDescent="0.3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v>125</v>
      </c>
      <c r="AH67" s="144">
        <f>IF(AG67=0,"",IFERROR(AG67/AG$19,""))</f>
        <v>3.1333150347735302E-3</v>
      </c>
      <c r="AI67" s="145">
        <f t="shared" si="17"/>
        <v>-125</v>
      </c>
    </row>
    <row r="68" spans="1:35" x14ac:dyDescent="0.3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v>2108</v>
      </c>
      <c r="AH68" s="219">
        <f>IF(AG68=0,"",IFERROR(AG68/AG$19,""))</f>
        <v>5.2840224746420819E-2</v>
      </c>
      <c r="AI68" s="220">
        <f t="shared" si="17"/>
        <v>-2108</v>
      </c>
    </row>
    <row r="69" spans="1:35" x14ac:dyDescent="0.3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v>6687</v>
      </c>
      <c r="AH69" s="167">
        <f>IF(AG69=0,"",IFERROR(AG69/AG$19,""))</f>
        <v>0.16761982110024479</v>
      </c>
      <c r="AI69" s="168">
        <f t="shared" si="17"/>
        <v>-6687</v>
      </c>
    </row>
    <row r="70" spans="1:35" x14ac:dyDescent="0.3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10"/>
      <c r="P70" s="210"/>
      <c r="Q70" s="210"/>
      <c r="R70" s="210">
        <v>71</v>
      </c>
      <c r="S70" s="210"/>
      <c r="T70" s="210"/>
      <c r="U70" s="210"/>
      <c r="V70" s="210"/>
      <c r="W70" s="210"/>
      <c r="X70" s="210"/>
      <c r="Y70" s="210"/>
      <c r="Z70" s="210"/>
      <c r="AA70" s="210">
        <f t="shared" si="15"/>
        <v>71</v>
      </c>
      <c r="AB70" s="211">
        <f>IF(AA70=0,"",IFERROR(AA70/AA$84,""))</f>
        <v>9.4414893617021281E-2</v>
      </c>
      <c r="AC70" s="140"/>
      <c r="AD70" s="210"/>
      <c r="AE70" s="211" t="str">
        <f>IF(AD70=0,"",IFERROR(AD70/AD$84,""))</f>
        <v/>
      </c>
      <c r="AF70" s="253">
        <f t="shared" si="16"/>
        <v>71</v>
      </c>
      <c r="AG70" s="210">
        <v>105</v>
      </c>
      <c r="AH70" s="211">
        <f>IF(AG70=0,"",IFERROR(AG70/AG$84,""))</f>
        <v>0.11513157894736842</v>
      </c>
      <c r="AI70" s="253">
        <f t="shared" si="17"/>
        <v>-34</v>
      </c>
    </row>
    <row r="71" spans="1:35" x14ac:dyDescent="0.3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c r="P71" s="495"/>
      <c r="Q71" s="495"/>
      <c r="R71" s="495"/>
      <c r="S71" s="495"/>
      <c r="T71" s="495"/>
      <c r="U71" s="495"/>
      <c r="V71" s="495"/>
      <c r="W71" s="495"/>
      <c r="X71" s="495"/>
      <c r="Y71" s="495"/>
      <c r="Z71" s="495"/>
      <c r="AA71" s="495">
        <f>IFERROR(AA69/AA70,"")</f>
        <v>0</v>
      </c>
      <c r="AB71" s="495"/>
      <c r="AC71" s="140"/>
      <c r="AD71" s="495"/>
      <c r="AE71" s="495"/>
      <c r="AF71" s="496">
        <f t="shared" si="16"/>
        <v>0</v>
      </c>
      <c r="AG71" s="495">
        <v>63.685714285714297</v>
      </c>
      <c r="AH71" s="495"/>
      <c r="AI71" s="496">
        <f t="shared" si="17"/>
        <v>-63.685714285714297</v>
      </c>
    </row>
    <row r="72" spans="1:35" x14ac:dyDescent="0.35">
      <c r="A72" s="11"/>
      <c r="B72" s="11"/>
      <c r="C72" s="11"/>
      <c r="D72" s="11"/>
      <c r="E72" s="11"/>
      <c r="F72" s="11"/>
      <c r="G72" s="11"/>
      <c r="H72" s="88"/>
      <c r="I72" s="122"/>
      <c r="J72" s="122"/>
      <c r="K72" s="90"/>
      <c r="L72" s="90"/>
      <c r="M72" s="90"/>
      <c r="N72" s="491" t="s">
        <v>345</v>
      </c>
      <c r="O72" s="497">
        <f t="shared" ref="O72:AA72" si="18">ROUND(IFERROR(O69/O70,0),2)</f>
        <v>0</v>
      </c>
      <c r="P72" s="498">
        <f t="shared" si="18"/>
        <v>0</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0</v>
      </c>
      <c r="Z72" s="498">
        <f t="shared" si="18"/>
        <v>0</v>
      </c>
      <c r="AA72" s="498">
        <f t="shared" si="18"/>
        <v>0</v>
      </c>
      <c r="AB72" s="499"/>
      <c r="AC72" s="140"/>
      <c r="AD72" s="497">
        <f>ROUND(IFERROR(AD69/AD70,0),2)</f>
        <v>0</v>
      </c>
      <c r="AE72" s="498"/>
      <c r="AF72" s="159"/>
      <c r="AG72" s="497">
        <f>ROUND(IFERROR(AG69/AG70,0),2)</f>
        <v>63.69</v>
      </c>
      <c r="AH72" s="498"/>
      <c r="AI72" s="159"/>
    </row>
    <row r="73" spans="1:35" x14ac:dyDescent="0.3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b">
        <f t="shared" si="19"/>
        <v>1</v>
      </c>
      <c r="AB73" s="502"/>
      <c r="AC73" s="503"/>
      <c r="AD73" s="500"/>
      <c r="AE73" s="501" t="b">
        <f>ROUND(AD71,2)=ROUND(AD72,2)</f>
        <v>1</v>
      </c>
      <c r="AF73" s="502"/>
      <c r="AG73" s="500"/>
      <c r="AH73" s="501" t="b">
        <f>ROUND(AG71,2)=ROUND(AG72,2)</f>
        <v>1</v>
      </c>
      <c r="AI73" s="502"/>
    </row>
    <row r="74" spans="1:35" x14ac:dyDescent="0.3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43"/>
      <c r="P74" s="143"/>
      <c r="Q74" s="143"/>
      <c r="R74" s="143"/>
      <c r="S74" s="143"/>
      <c r="T74" s="143"/>
      <c r="U74" s="143"/>
      <c r="V74" s="143"/>
      <c r="W74" s="143"/>
      <c r="X74" s="143"/>
      <c r="Y74" s="143"/>
      <c r="Z74" s="143"/>
      <c r="AA74" s="143">
        <f>SUM(O74:Z74)</f>
        <v>0</v>
      </c>
      <c r="AB74" s="144" t="str">
        <f>IF(AA74=0,"",IFERROR(AA74/AA$19,""))</f>
        <v/>
      </c>
      <c r="AC74" s="140"/>
      <c r="AD74" s="143"/>
      <c r="AE74" s="144" t="str">
        <f>IF(AD74=0,"",IFERROR(AD74/AD$19,""))</f>
        <v/>
      </c>
      <c r="AF74" s="145">
        <f>IF(AND($AA74="",AD74=""),"",$AA74-AD74)</f>
        <v>0</v>
      </c>
      <c r="AG74" s="143">
        <v>4453</v>
      </c>
      <c r="AH74" s="144">
        <f>IF(AG74=0,"",IFERROR(AG74/AG$19,""))</f>
        <v>0.11162121479877224</v>
      </c>
      <c r="AI74" s="145">
        <f>IF(AND($AA74="",AG74=""),"",$AA74-AG74)</f>
        <v>-4453</v>
      </c>
    </row>
    <row r="75" spans="1:35" x14ac:dyDescent="0.3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6"/>
      <c r="P75" s="166"/>
      <c r="Q75" s="166"/>
      <c r="R75" s="166"/>
      <c r="S75" s="166"/>
      <c r="T75" s="166"/>
      <c r="U75" s="166"/>
      <c r="V75" s="166"/>
      <c r="W75" s="166"/>
      <c r="X75" s="166"/>
      <c r="Y75" s="166"/>
      <c r="Z75" s="166"/>
      <c r="AA75" s="166">
        <f>SUM(O75:Z75)</f>
        <v>0</v>
      </c>
      <c r="AB75" s="167" t="str">
        <f>IF(AA75=0,"",IFERROR(AA75/AA$19,""))</f>
        <v/>
      </c>
      <c r="AC75" s="140"/>
      <c r="AD75" s="166"/>
      <c r="AE75" s="167" t="str">
        <f>IF(AD75=0,"",IFERROR(AD75/AD$19,""))</f>
        <v/>
      </c>
      <c r="AF75" s="168">
        <f>IF(AND($AA75="",AD75=""),"",$AA75-AD75)</f>
        <v>0</v>
      </c>
      <c r="AG75" s="166">
        <v>4453</v>
      </c>
      <c r="AH75" s="167">
        <f>IF(AG75=0,"",IFERROR(AG75/AG$19,""))</f>
        <v>0.11162121479877224</v>
      </c>
      <c r="AI75" s="168">
        <f>IF(AND($AA75="",AG75=""),"",$AA75-AG75)</f>
        <v>-4453</v>
      </c>
    </row>
    <row r="76" spans="1:35" x14ac:dyDescent="0.3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10"/>
      <c r="P76" s="210"/>
      <c r="Q76" s="210"/>
      <c r="R76" s="210"/>
      <c r="S76" s="210"/>
      <c r="T76" s="210"/>
      <c r="U76" s="210"/>
      <c r="V76" s="210"/>
      <c r="W76" s="210"/>
      <c r="X76" s="210"/>
      <c r="Y76" s="210"/>
      <c r="Z76" s="210"/>
      <c r="AA76" s="210">
        <f>SUM(O76:Z76)</f>
        <v>0</v>
      </c>
      <c r="AB76" s="211" t="str">
        <f>IF(AA76=0,"",IFERROR(AA76/AA$84,""))</f>
        <v/>
      </c>
      <c r="AC76" s="140"/>
      <c r="AD76" s="210"/>
      <c r="AE76" s="211" t="str">
        <f>IF(AD76=0,"",IFERROR(AD76/AD$84,""))</f>
        <v/>
      </c>
      <c r="AF76" s="253">
        <f>IF(AND($AA76="",AD76=""),"",$AA76-AD76)</f>
        <v>0</v>
      </c>
      <c r="AG76" s="210">
        <v>192</v>
      </c>
      <c r="AH76" s="211">
        <f>IF(AG76=0,"",IFERROR(AG76/AG$84,""))</f>
        <v>0.21052631578947367</v>
      </c>
      <c r="AI76" s="253">
        <f>IF(AND($AA76="",AG76=""),"",$AA76-AG76)</f>
        <v>-192</v>
      </c>
    </row>
    <row r="77" spans="1:35" x14ac:dyDescent="0.3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c r="P77" s="495"/>
      <c r="Q77" s="495"/>
      <c r="R77" s="495"/>
      <c r="S77" s="495"/>
      <c r="T77" s="495"/>
      <c r="U77" s="495"/>
      <c r="V77" s="495"/>
      <c r="W77" s="495"/>
      <c r="X77" s="495"/>
      <c r="Y77" s="495"/>
      <c r="Z77" s="495"/>
      <c r="AA77" s="495" t="str">
        <f>IFERROR(AA75/AA76,"")</f>
        <v/>
      </c>
      <c r="AB77" s="495"/>
      <c r="AC77" s="140"/>
      <c r="AD77" s="495"/>
      <c r="AE77" s="495"/>
      <c r="AF77" s="496" t="str">
        <f>IF(AND($AA77="",AD77=""),"",$AA77-AD77)</f>
        <v/>
      </c>
      <c r="AG77" s="495">
        <v>23.1927083333333</v>
      </c>
      <c r="AH77" s="495"/>
      <c r="AI77" s="496" t="e">
        <f>IF(AND($AA77="",AG77=""),"",$AA77-AG77)</f>
        <v>#VALUE!</v>
      </c>
    </row>
    <row r="78" spans="1:35" x14ac:dyDescent="0.35">
      <c r="A78" s="11"/>
      <c r="B78" s="11"/>
      <c r="C78" s="208"/>
      <c r="D78" s="11"/>
      <c r="E78" s="11"/>
      <c r="F78" s="11"/>
      <c r="G78" s="11"/>
      <c r="H78" s="88"/>
      <c r="I78" s="122"/>
      <c r="J78" s="122"/>
      <c r="K78" s="90"/>
      <c r="L78" s="90"/>
      <c r="M78" s="90"/>
      <c r="N78" s="491" t="s">
        <v>345</v>
      </c>
      <c r="O78" s="497">
        <f t="shared" ref="O78:AA78" si="20">ROUND(IFERROR(O75/O76,0),2)</f>
        <v>0</v>
      </c>
      <c r="P78" s="498">
        <f t="shared" si="20"/>
        <v>0</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0</v>
      </c>
      <c r="AB78" s="499"/>
      <c r="AC78" s="140"/>
      <c r="AD78" s="497">
        <f>ROUND(IFERROR(AD75/AD76,0),2)</f>
        <v>0</v>
      </c>
      <c r="AE78" s="498"/>
      <c r="AF78" s="159"/>
      <c r="AG78" s="497">
        <f>ROUND(IFERROR(AG75/AG76,0),2)</f>
        <v>23.19</v>
      </c>
      <c r="AH78" s="498"/>
      <c r="AI78" s="159"/>
    </row>
    <row r="79" spans="1:35" x14ac:dyDescent="0.3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e">
        <f t="shared" si="21"/>
        <v>#VALUE!</v>
      </c>
      <c r="AB79" s="502"/>
      <c r="AC79" s="503"/>
      <c r="AD79" s="500"/>
      <c r="AE79" s="501" t="b">
        <f>ROUND(AD77,2)=ROUND(AD78,2)</f>
        <v>1</v>
      </c>
      <c r="AF79" s="502"/>
      <c r="AG79" s="500"/>
      <c r="AH79" s="501" t="b">
        <f>ROUND(AG77,2)=ROUND(AG78,2)</f>
        <v>1</v>
      </c>
      <c r="AI79" s="502"/>
    </row>
    <row r="80" spans="1:35" x14ac:dyDescent="0.3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43"/>
      <c r="P80" s="143"/>
      <c r="Q80" s="143"/>
      <c r="R80" s="143"/>
      <c r="S80" s="143"/>
      <c r="T80" s="143"/>
      <c r="U80" s="143"/>
      <c r="V80" s="143"/>
      <c r="W80" s="143"/>
      <c r="X80" s="143"/>
      <c r="Y80" s="143"/>
      <c r="Z80" s="143"/>
      <c r="AA80" s="143">
        <f>SUM(O80:Z80)</f>
        <v>0</v>
      </c>
      <c r="AB80" s="144" t="str">
        <f>IF(AA80=0,"",IFERROR(AA80/AA$19,""))</f>
        <v/>
      </c>
      <c r="AC80" s="140"/>
      <c r="AD80" s="143"/>
      <c r="AE80" s="144" t="str">
        <f>IF(AD80=0,"",IFERROR(AD80/AD$19,""))</f>
        <v/>
      </c>
      <c r="AF80" s="145">
        <f>IF(AND($AA80="",AD80=""),"",$AA80-AD80)</f>
        <v>0</v>
      </c>
      <c r="AG80" s="143"/>
      <c r="AH80" s="144" t="str">
        <f>IF(AG80=0,"",IFERROR(AG80/AG$19,""))</f>
        <v/>
      </c>
      <c r="AI80" s="145">
        <f>IF(AND($AA80="",AG80=""),"",$AA80-AG80)</f>
        <v>0</v>
      </c>
    </row>
    <row r="81" spans="1:35" x14ac:dyDescent="0.3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3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c r="P82" s="507"/>
      <c r="Q82" s="507">
        <v>555</v>
      </c>
      <c r="R82" s="507">
        <v>13808</v>
      </c>
      <c r="S82" s="507">
        <v>1520</v>
      </c>
      <c r="T82" s="507">
        <v>4815</v>
      </c>
      <c r="U82" s="507">
        <v>189</v>
      </c>
      <c r="V82" s="507"/>
      <c r="W82" s="507">
        <v>6410</v>
      </c>
      <c r="X82" s="507">
        <v>5771.7</v>
      </c>
      <c r="Y82" s="507">
        <v>13575</v>
      </c>
      <c r="Z82" s="507">
        <v>3633</v>
      </c>
      <c r="AA82" s="507">
        <f>SUM(O82:Z82)</f>
        <v>50276.7</v>
      </c>
      <c r="AB82" s="508">
        <f>IF(AA82=0,"",IFERROR(AA82/AA$19,""))</f>
        <v>1</v>
      </c>
      <c r="AC82" s="140"/>
      <c r="AD82" s="507">
        <v>149621.564706128</v>
      </c>
      <c r="AE82" s="508">
        <f>IF(AD82=0,"",IFERROR(AD82/AD$19,""))</f>
        <v>1</v>
      </c>
      <c r="AF82" s="509">
        <f>IF(AND($AA82="",AD82=""),"",$AA82-AD82)</f>
        <v>-99344.864706128006</v>
      </c>
      <c r="AG82" s="507">
        <v>39893.85</v>
      </c>
      <c r="AH82" s="508">
        <f>IF(AG82=0,"",IFERROR(AG82/AG$19,""))</f>
        <v>1</v>
      </c>
      <c r="AI82" s="509">
        <f>IF(AND($AA82="",AG82=""),"",$AA82-AG82)</f>
        <v>10382.849999999999</v>
      </c>
    </row>
    <row r="83" spans="1:35" x14ac:dyDescent="0.35">
      <c r="A83" s="11"/>
      <c r="B83" s="11"/>
      <c r="C83" s="208"/>
      <c r="D83" s="11"/>
      <c r="E83" s="11"/>
      <c r="F83" s="11"/>
      <c r="G83" s="11"/>
      <c r="H83" s="185" t="s">
        <v>818</v>
      </c>
      <c r="I83" s="122" t="str">
        <f>IF(_epmOfflineCondition_,"N",_xll.EVPRO($B$1,$H83,"STYLE"))</f>
        <v>N</v>
      </c>
      <c r="J83" s="122" t="str">
        <f>IF(_epmOfflineCondition_,"N",_xll.EVPRO($B$1,$H83,"CALC"))</f>
        <v>N</v>
      </c>
      <c r="K83" s="11"/>
      <c r="L83" s="90" t="str">
        <f>IF(_epmOfflineCondition_,"947600",_xll.EVPRO($B$1,H83,"JDEID"))</f>
        <v>947600</v>
      </c>
      <c r="M83" s="90" t="str">
        <f>IF(_epmOfflineCondition_,"991570",IF(AND(I83="N",J83="N"),_xll.EVPRO($B$1,H83,"PSFTID"),""))</f>
        <v>991570</v>
      </c>
      <c r="N83" s="90" t="str">
        <f>IF(_epmOfflineCondition_,"Banquet Space Square Footage",IF(_xll.EVDES(H83,$B$1)="#NODATA","",_xll.EVDES(H83,$B$1)))</f>
        <v>Banquet Space Square Footage</v>
      </c>
      <c r="O83" s="507">
        <v>1113</v>
      </c>
      <c r="P83" s="507">
        <v>1113</v>
      </c>
      <c r="Q83" s="507">
        <v>1113</v>
      </c>
      <c r="R83" s="507">
        <v>1113</v>
      </c>
      <c r="S83" s="507">
        <v>1113</v>
      </c>
      <c r="T83" s="507">
        <v>1113</v>
      </c>
      <c r="U83" s="507">
        <v>1113</v>
      </c>
      <c r="V83" s="507">
        <v>1113</v>
      </c>
      <c r="W83" s="507">
        <v>1113</v>
      </c>
      <c r="X83" s="507">
        <v>1113</v>
      </c>
      <c r="Y83" s="507">
        <v>1113</v>
      </c>
      <c r="Z83" s="507">
        <v>1113</v>
      </c>
      <c r="AA83" s="507">
        <f>SUM(O83:Z83)</f>
        <v>13356</v>
      </c>
      <c r="AB83" s="508"/>
      <c r="AC83" s="140"/>
      <c r="AD83" s="507"/>
      <c r="AE83" s="508"/>
      <c r="AF83" s="509">
        <f>IF(AND($AA83="",AD83=""),"",$AA83-AD83)</f>
        <v>13356</v>
      </c>
      <c r="AG83" s="507">
        <v>7791</v>
      </c>
      <c r="AH83" s="508"/>
      <c r="AI83" s="509">
        <f>IF(AND($AA83="",AG83=""),"",$AA83-AG83)</f>
        <v>5565</v>
      </c>
    </row>
    <row r="84" spans="1:35" x14ac:dyDescent="0.35">
      <c r="A84" s="11"/>
      <c r="B84" s="11"/>
      <c r="C84" s="208"/>
      <c r="D84" s="11"/>
      <c r="E84" s="11"/>
      <c r="F84" s="11"/>
      <c r="G84" s="11"/>
      <c r="H84" s="185" t="s">
        <v>331</v>
      </c>
      <c r="I84" s="122" t="str">
        <f>IF(_epmOfflineCondition_,"T2",_xll.EVPRO($B$1,$H84,"STYLE"))</f>
        <v>T2</v>
      </c>
      <c r="J84" s="122" t="str">
        <f>IF(_epmOfflineCondition_,"Y",_xll.EVPRO($B$1,$H84,"CALC"))</f>
        <v>Y</v>
      </c>
      <c r="K84" s="11"/>
      <c r="L84" s="90" t="str">
        <f>IF(_epmOfflineCondition_,"946000",_xll.EVPRO($B$1,H84,"JDEID"))</f>
        <v>946000</v>
      </c>
      <c r="M84" s="90" t="str">
        <f>IF(_epmOfflineCondition_,"",IF(AND(I84="N",J84="N"),_xll.EVPRO($B$1,H84,"PSFTID"),""))</f>
        <v/>
      </c>
      <c r="N84" s="90" t="str">
        <f>IF(_epmOfflineCondition_,"Total Customers",IF(_xll.EVDES(H84,$B$1)="#NODATA","",_xll.EVDES(H84,$B$1)))</f>
        <v>Total Customers</v>
      </c>
      <c r="O84" s="507"/>
      <c r="P84" s="507"/>
      <c r="Q84" s="507">
        <v>10</v>
      </c>
      <c r="R84" s="507">
        <v>71</v>
      </c>
      <c r="S84" s="507">
        <v>32</v>
      </c>
      <c r="T84" s="507">
        <v>147</v>
      </c>
      <c r="U84" s="507">
        <v>5</v>
      </c>
      <c r="V84" s="507"/>
      <c r="W84" s="507">
        <v>124</v>
      </c>
      <c r="X84" s="507"/>
      <c r="Y84" s="507">
        <v>201</v>
      </c>
      <c r="Z84" s="507">
        <v>162</v>
      </c>
      <c r="AA84" s="507">
        <f>SUM(O84:Z84)</f>
        <v>752</v>
      </c>
      <c r="AB84" s="508">
        <f>IF(AA84=0,"",IFERROR(AA84/AA$20,""))</f>
        <v>1</v>
      </c>
      <c r="AC84" s="140"/>
      <c r="AD84" s="507">
        <v>2096.2564705909999</v>
      </c>
      <c r="AE84" s="508">
        <f>IF(AD84=0,"",IFERROR(AD84/AD$20,""))</f>
        <v>1</v>
      </c>
      <c r="AF84" s="509">
        <f>IF(AND($AA84="",AD84=""),"",$AA84-AD84)</f>
        <v>-1344.2564705909999</v>
      </c>
      <c r="AG84" s="507">
        <v>912</v>
      </c>
      <c r="AH84" s="508">
        <f>IF(AG84=0,"",IFERROR(AG84/AG$20,""))</f>
        <v>1</v>
      </c>
      <c r="AI84" s="509">
        <f>IF(AND($AA84="",AG84=""),"",$AA84-AG84)</f>
        <v>-160</v>
      </c>
    </row>
    <row r="85" spans="1:35" x14ac:dyDescent="0.35">
      <c r="A85" s="11"/>
      <c r="B85" s="11"/>
      <c r="C85" s="208"/>
      <c r="D85" s="11"/>
      <c r="E85" s="11"/>
      <c r="F85" s="11"/>
      <c r="G85" s="11"/>
      <c r="H85" s="185" t="s">
        <v>311</v>
      </c>
      <c r="I85" s="122" t="str">
        <f>IF(_epmOfflineCondition_,"N",_xll.EVPRO($B$1,$H85,"STYLE"))</f>
        <v>N</v>
      </c>
      <c r="J85" s="122" t="str">
        <f>IF(_epmOfflineCondition_,"Y",_xll.EVPRO($B$1,$H85,"CALC"))</f>
        <v>Y</v>
      </c>
      <c r="K85" s="11"/>
      <c r="L85" s="90"/>
      <c r="M85" s="90"/>
      <c r="N85" s="90" t="str">
        <f>IF(_epmOfflineCondition_,"Total Average Check",IF(_xll.EVDES(H85,$B$1)="#NODATA","",_xll.EVDES(H85,$B$1)))</f>
        <v>Total Average Check</v>
      </c>
      <c r="O85" s="495"/>
      <c r="P85" s="495"/>
      <c r="Q85" s="495">
        <v>55.5</v>
      </c>
      <c r="R85" s="495">
        <v>194.47887323943701</v>
      </c>
      <c r="S85" s="495">
        <v>47.5</v>
      </c>
      <c r="T85" s="495">
        <v>32.755102040816297</v>
      </c>
      <c r="U85" s="495">
        <v>37.799999999999997</v>
      </c>
      <c r="V85" s="495"/>
      <c r="W85" s="495">
        <v>51.693548387096797</v>
      </c>
      <c r="X85" s="495"/>
      <c r="Y85" s="495">
        <v>67.537313432835802</v>
      </c>
      <c r="Z85" s="495">
        <v>22.425925925925899</v>
      </c>
      <c r="AA85" s="495">
        <f>IFERROR(AA82/AA84,"")</f>
        <v>66.85731382978723</v>
      </c>
      <c r="AB85" s="495"/>
      <c r="AC85" s="140"/>
      <c r="AD85" s="495">
        <v>71.375600650594393</v>
      </c>
      <c r="AE85" s="495"/>
      <c r="AF85" s="496">
        <f>IF(AND($AA85="",AD85=""),"",$AA85-AD85)</f>
        <v>-4.5182868208071625</v>
      </c>
      <c r="AG85" s="495">
        <v>43.743256578947403</v>
      </c>
      <c r="AH85" s="495"/>
      <c r="AI85" s="496">
        <f>IF(AND($AA85="",AG85=""),"",$AA85-AG85)</f>
        <v>23.114057250839828</v>
      </c>
    </row>
    <row r="86" spans="1:35" x14ac:dyDescent="0.35">
      <c r="A86" s="11"/>
      <c r="B86" s="11"/>
      <c r="C86" s="208"/>
      <c r="D86" s="11"/>
      <c r="E86" s="11"/>
      <c r="F86" s="11"/>
      <c r="G86" s="11"/>
      <c r="H86" s="185" t="s">
        <v>819</v>
      </c>
      <c r="I86" s="122" t="str">
        <f>IF(_epmOfflineCondition_,"N",_xll.EVPRO($B$1,$H86,"STYLE"))</f>
        <v>N</v>
      </c>
      <c r="J86" s="122" t="str">
        <f>IF(_epmOfflineCondition_,"Y",_xll.EVPRO($B$1,$H86,"CALC"))</f>
        <v>Y</v>
      </c>
      <c r="K86" s="11"/>
      <c r="L86" s="90"/>
      <c r="M86" s="90"/>
      <c r="N86" s="90" t="str">
        <f>IF(_epmOfflineCondition_,"Revenue per Square Foot",IF(_xll.EVDES(H86,$B$1)="#NODATA","",_xll.EVDES(H86,$B$1)))</f>
        <v>Revenue per Square Foot</v>
      </c>
      <c r="O86" s="495"/>
      <c r="P86" s="495"/>
      <c r="Q86" s="495">
        <v>0.49865229110512099</v>
      </c>
      <c r="R86" s="495">
        <v>12.406109613656801</v>
      </c>
      <c r="S86" s="495">
        <v>1.3656783468104201</v>
      </c>
      <c r="T86" s="495">
        <v>4.32614555256065</v>
      </c>
      <c r="U86" s="495">
        <v>0.169811320754717</v>
      </c>
      <c r="V86" s="495"/>
      <c r="W86" s="495">
        <v>5.7592093441149999</v>
      </c>
      <c r="X86" s="495">
        <v>5.1857142857142904</v>
      </c>
      <c r="Y86" s="495">
        <v>12.196765498652301</v>
      </c>
      <c r="Z86" s="495">
        <v>3.2641509433962299</v>
      </c>
      <c r="AA86" s="495">
        <f>IFERROR(AA82/AA83,"")</f>
        <v>3.764353099730458</v>
      </c>
      <c r="AB86" s="495"/>
      <c r="AC86" s="140"/>
      <c r="AD86" s="495"/>
      <c r="AE86" s="495"/>
      <c r="AF86" s="496">
        <f>IF(AND($AA86="",AD86=""),"",$AA86-AD86)</f>
        <v>3.764353099730458</v>
      </c>
      <c r="AG86" s="495">
        <v>5.1205044281863703</v>
      </c>
      <c r="AH86" s="495"/>
      <c r="AI86" s="496">
        <f>IF(AND($AA86="",AG86=""),"",$AA86-AG86)</f>
        <v>-1.3561513284559124</v>
      </c>
    </row>
    <row r="87" spans="1:35" x14ac:dyDescent="0.35">
      <c r="A87" s="11"/>
      <c r="B87" s="11"/>
      <c r="C87" s="208"/>
      <c r="D87" s="11"/>
      <c r="E87" s="11"/>
      <c r="F87" s="11"/>
      <c r="G87" s="11"/>
      <c r="H87" s="185"/>
      <c r="I87" s="122"/>
      <c r="J87" s="122"/>
      <c r="K87" s="11"/>
      <c r="L87" s="90"/>
      <c r="M87" s="90"/>
      <c r="N87" s="90"/>
      <c r="O87" s="174"/>
      <c r="P87" s="174"/>
      <c r="Q87" s="174"/>
      <c r="R87" s="174"/>
      <c r="S87" s="174"/>
      <c r="T87" s="174"/>
      <c r="U87" s="174"/>
      <c r="V87" s="175"/>
      <c r="W87" s="175"/>
      <c r="X87" s="175"/>
      <c r="Y87" s="175"/>
      <c r="Z87" s="175"/>
      <c r="AA87" s="175"/>
      <c r="AB87" s="176"/>
      <c r="AC87" s="140"/>
      <c r="AD87" s="174"/>
      <c r="AE87" s="175"/>
      <c r="AF87" s="176"/>
      <c r="AG87" s="174"/>
      <c r="AH87" s="175"/>
      <c r="AI87" s="176"/>
    </row>
    <row r="88" spans="1:35" x14ac:dyDescent="0.35">
      <c r="A88" s="11"/>
      <c r="B88" s="11"/>
      <c r="C88" s="208"/>
      <c r="D88" s="11"/>
      <c r="E88" s="11"/>
      <c r="F88" s="11"/>
      <c r="G88" s="11"/>
      <c r="H88" s="185"/>
      <c r="I88" s="122"/>
      <c r="J88" s="122"/>
      <c r="K88" s="11"/>
      <c r="L88" s="90"/>
      <c r="M88" s="90"/>
      <c r="N88" s="53" t="s">
        <v>334</v>
      </c>
      <c r="O88" s="162"/>
      <c r="P88" s="163"/>
      <c r="Q88" s="163"/>
      <c r="R88" s="163"/>
      <c r="S88" s="163"/>
      <c r="T88" s="163"/>
      <c r="U88" s="163"/>
      <c r="V88" s="163"/>
      <c r="W88" s="163"/>
      <c r="X88" s="163"/>
      <c r="Y88" s="163"/>
      <c r="Z88" s="163"/>
      <c r="AA88" s="163"/>
      <c r="AB88" s="164"/>
      <c r="AC88" s="140"/>
      <c r="AD88" s="162"/>
      <c r="AE88" s="163"/>
      <c r="AF88" s="164"/>
      <c r="AG88" s="162"/>
      <c r="AH88" s="163"/>
      <c r="AI88" s="164"/>
    </row>
    <row r="89" spans="1:35" hidden="1" outlineLevel="1" x14ac:dyDescent="0.35">
      <c r="A89" s="11"/>
      <c r="B89" s="11"/>
      <c r="C89" s="208"/>
      <c r="D89" s="11"/>
      <c r="E89" s="11"/>
      <c r="F89" s="11"/>
      <c r="G89" s="11"/>
      <c r="H89" s="185" t="s">
        <v>332</v>
      </c>
      <c r="I89" s="122" t="str">
        <f>IF(_epmOfflineCondition_,"T4",_xll.EVPRO($B$1,$H89,"STYLE"))</f>
        <v>T4</v>
      </c>
      <c r="J89" s="122" t="str">
        <f>IF(_epmOfflineCondition_,"Y",_xll.EVPRO($B$1,$H89,"CALC"))</f>
        <v>Y</v>
      </c>
      <c r="K89" s="11"/>
      <c r="L89" s="90"/>
      <c r="M89" s="90"/>
      <c r="N89" s="90" t="str">
        <f>IF(_epmOfflineCondition_,"F&amp;B Kitchen - THW",IF(_xll.EVDES(H89,$B$1)="#NODATA","",_xll.EVDES(H89,$B$1)))</f>
        <v>F&amp;B Kitchen - THW</v>
      </c>
      <c r="O89" s="143"/>
      <c r="P89" s="143"/>
      <c r="Q89" s="143"/>
      <c r="R89" s="143"/>
      <c r="S89" s="143"/>
      <c r="T89" s="143"/>
      <c r="U89" s="143"/>
      <c r="V89" s="143"/>
      <c r="W89" s="143"/>
      <c r="X89" s="143"/>
      <c r="Y89" s="143"/>
      <c r="Z89" s="143"/>
      <c r="AA89" s="143">
        <f>SUM(O89:Z89)</f>
        <v>0</v>
      </c>
      <c r="AB89" s="144"/>
      <c r="AC89" s="140"/>
      <c r="AD89" s="143"/>
      <c r="AE89" s="144"/>
      <c r="AF89" s="145">
        <f t="shared" ref="AF89:AF94" si="22">IF(AND($AA89="",AD89=""),"",$AA89-AD89)</f>
        <v>0</v>
      </c>
      <c r="AG89" s="143"/>
      <c r="AH89" s="144"/>
      <c r="AI89" s="145">
        <f t="shared" ref="AI89:AI94" si="23">IF(AND($AA89="",AG89=""),"",$AA89-AG89)</f>
        <v>0</v>
      </c>
    </row>
    <row r="90" spans="1:35" hidden="1" outlineLevel="1" x14ac:dyDescent="0.35">
      <c r="A90" s="11"/>
      <c r="B90" s="11"/>
      <c r="C90" s="208"/>
      <c r="D90" s="11"/>
      <c r="E90" s="11"/>
      <c r="F90" s="11"/>
      <c r="G90" s="11"/>
      <c r="H90" s="185" t="s">
        <v>333</v>
      </c>
      <c r="I90" s="122" t="str">
        <f>IF(_epmOfflineCondition_,"T4",_xll.EVPRO($B$1,$H90,"STYLE"))</f>
        <v>T4</v>
      </c>
      <c r="J90" s="122" t="str">
        <f>IF(_epmOfflineCondition_,"Y",_xll.EVPRO($B$1,$H90,"CALC"))</f>
        <v>Y</v>
      </c>
      <c r="K90" s="11"/>
      <c r="L90" s="90"/>
      <c r="M90" s="90"/>
      <c r="N90" s="90" t="str">
        <f>IF(_epmOfflineCondition_,"F&amp;B Venues - THW",IF(_xll.EVDES(H90,$B$1)="#NODATA","",_xll.EVDES(H90,$B$1)))</f>
        <v>F&amp;B Venues - THW</v>
      </c>
      <c r="O90" s="143"/>
      <c r="P90" s="143"/>
      <c r="Q90" s="143"/>
      <c r="R90" s="143"/>
      <c r="S90" s="143"/>
      <c r="T90" s="143"/>
      <c r="U90" s="143"/>
      <c r="V90" s="143"/>
      <c r="W90" s="143"/>
      <c r="X90" s="143"/>
      <c r="Y90" s="143"/>
      <c r="Z90" s="143"/>
      <c r="AA90" s="143">
        <f>SUM(O90:Z90)</f>
        <v>0</v>
      </c>
      <c r="AB90" s="144"/>
      <c r="AC90" s="140"/>
      <c r="AD90" s="143"/>
      <c r="AE90" s="144"/>
      <c r="AF90" s="145">
        <f t="shared" si="22"/>
        <v>0</v>
      </c>
      <c r="AG90" s="143"/>
      <c r="AH90" s="144"/>
      <c r="AI90" s="145">
        <f t="shared" si="23"/>
        <v>0</v>
      </c>
    </row>
    <row r="91" spans="1:35" hidden="1" outlineLevel="1" x14ac:dyDescent="0.35">
      <c r="A91" s="11"/>
      <c r="B91" s="11"/>
      <c r="C91" s="208"/>
      <c r="D91" s="11"/>
      <c r="E91" s="11"/>
      <c r="F91" s="11"/>
      <c r="G91" s="11"/>
      <c r="H91" s="185" t="s">
        <v>774</v>
      </c>
      <c r="I91" s="122" t="str">
        <f>IF(_epmOfflineCondition_,"T4",_xll.EVPRO($B$1,$H91,"STYLE"))</f>
        <v>T4</v>
      </c>
      <c r="J91" s="122" t="str">
        <f>IF(_epmOfflineCondition_,"Y",_xll.EVPRO($B$1,$H91,"CALC"))</f>
        <v>Y</v>
      </c>
      <c r="K91" s="11"/>
      <c r="L91" s="90"/>
      <c r="M91" s="90"/>
      <c r="N91" s="90" t="str">
        <f>IF(_epmOfflineCondition_,"Banquet &amp; Conf/Catering Service - THW",IF(_xll.EVDES(H91,$B$1)="#NODATA","",_xll.EVDES(H91,$B$1)))</f>
        <v>Banquet &amp; Conf/Catering Service - THW</v>
      </c>
      <c r="O91" s="143"/>
      <c r="P91" s="143"/>
      <c r="Q91" s="143"/>
      <c r="R91" s="143"/>
      <c r="S91" s="143"/>
      <c r="T91" s="143"/>
      <c r="U91" s="143"/>
      <c r="V91" s="143"/>
      <c r="W91" s="143"/>
      <c r="X91" s="143">
        <v>27</v>
      </c>
      <c r="Y91" s="143">
        <v>84.75</v>
      </c>
      <c r="Z91" s="143">
        <v>26.75</v>
      </c>
      <c r="AA91" s="143">
        <f>SUM(O91:Z91)</f>
        <v>138.5</v>
      </c>
      <c r="AB91" s="144"/>
      <c r="AC91" s="140"/>
      <c r="AD91" s="143"/>
      <c r="AE91" s="144"/>
      <c r="AF91" s="145">
        <f t="shared" si="22"/>
        <v>138.5</v>
      </c>
      <c r="AG91" s="143">
        <v>278.04000000000002</v>
      </c>
      <c r="AH91" s="144"/>
      <c r="AI91" s="145">
        <f t="shared" si="23"/>
        <v>-139.54000000000002</v>
      </c>
    </row>
    <row r="92" spans="1:35" collapsed="1" x14ac:dyDescent="0.35">
      <c r="A92" s="11"/>
      <c r="B92" s="11"/>
      <c r="C92" s="208"/>
      <c r="D92" s="11"/>
      <c r="E92" s="11"/>
      <c r="F92" s="11"/>
      <c r="G92" s="11"/>
      <c r="H92" s="185"/>
      <c r="I92" s="122"/>
      <c r="J92" s="122"/>
      <c r="K92" s="11"/>
      <c r="L92" s="90"/>
      <c r="M92" s="90"/>
      <c r="N92" s="104" t="s">
        <v>335</v>
      </c>
      <c r="O92" s="510" t="str">
        <f t="shared" ref="O92:AA92" si="24">IFERROR(O$84/O89,"")</f>
        <v/>
      </c>
      <c r="P92" s="510" t="str">
        <f t="shared" si="24"/>
        <v/>
      </c>
      <c r="Q92" s="510" t="str">
        <f t="shared" si="24"/>
        <v/>
      </c>
      <c r="R92" s="510" t="str">
        <f t="shared" si="24"/>
        <v/>
      </c>
      <c r="S92" s="510" t="str">
        <f t="shared" si="24"/>
        <v/>
      </c>
      <c r="T92" s="510" t="str">
        <f t="shared" si="24"/>
        <v/>
      </c>
      <c r="U92" s="510" t="str">
        <f t="shared" si="24"/>
        <v/>
      </c>
      <c r="V92" s="510" t="str">
        <f t="shared" si="24"/>
        <v/>
      </c>
      <c r="W92" s="510" t="str">
        <f t="shared" si="24"/>
        <v/>
      </c>
      <c r="X92" s="510" t="str">
        <f t="shared" si="24"/>
        <v/>
      </c>
      <c r="Y92" s="510" t="str">
        <f t="shared" si="24"/>
        <v/>
      </c>
      <c r="Z92" s="510" t="str">
        <f t="shared" si="24"/>
        <v/>
      </c>
      <c r="AA92" s="510" t="str">
        <f t="shared" si="24"/>
        <v/>
      </c>
      <c r="AB92" s="511"/>
      <c r="AC92" s="140"/>
      <c r="AD92" s="510" t="str">
        <f>IFERROR(AD$84/AD89,"")</f>
        <v/>
      </c>
      <c r="AE92" s="511"/>
      <c r="AF92" s="214" t="str">
        <f t="shared" si="22"/>
        <v/>
      </c>
      <c r="AG92" s="510" t="str">
        <f>IFERROR(AG$84/AG89,"")</f>
        <v/>
      </c>
      <c r="AH92" s="511"/>
      <c r="AI92" s="214" t="str">
        <f t="shared" si="23"/>
        <v/>
      </c>
    </row>
    <row r="93" spans="1:35" x14ac:dyDescent="0.35">
      <c r="A93" s="11"/>
      <c r="B93" s="11"/>
      <c r="C93" s="208"/>
      <c r="D93" s="11"/>
      <c r="E93" s="11"/>
      <c r="F93" s="11"/>
      <c r="G93" s="11"/>
      <c r="H93" s="185"/>
      <c r="I93" s="122"/>
      <c r="J93" s="122"/>
      <c r="K93" s="11"/>
      <c r="L93" s="90"/>
      <c r="M93" s="90"/>
      <c r="N93" s="104" t="s">
        <v>336</v>
      </c>
      <c r="O93" s="510" t="str">
        <f t="shared" ref="O93:AA93" si="25">IFERROR(O$84/O90,"")</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IFERROR(AD$84/AD90,"")</f>
        <v/>
      </c>
      <c r="AE93" s="511"/>
      <c r="AF93" s="214" t="str">
        <f t="shared" si="22"/>
        <v/>
      </c>
      <c r="AG93" s="510" t="str">
        <f>IFERROR(AG$84/AG90,"")</f>
        <v/>
      </c>
      <c r="AH93" s="511"/>
      <c r="AI93" s="214" t="str">
        <f t="shared" si="23"/>
        <v/>
      </c>
    </row>
    <row r="94" spans="1:35" x14ac:dyDescent="0.35">
      <c r="A94" s="11"/>
      <c r="B94" s="11"/>
      <c r="C94" s="208"/>
      <c r="D94" s="11"/>
      <c r="E94" s="11"/>
      <c r="F94" s="11"/>
      <c r="G94" s="11"/>
      <c r="H94" s="185"/>
      <c r="I94" s="122"/>
      <c r="J94" s="122"/>
      <c r="K94" s="11"/>
      <c r="L94" s="90"/>
      <c r="M94" s="90"/>
      <c r="N94" s="104" t="s">
        <v>775</v>
      </c>
      <c r="O94" s="510" t="str">
        <f t="shared" ref="O94:AA94" si="26">IFERROR(O$84/O91,"")</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f t="shared" si="26"/>
        <v>0</v>
      </c>
      <c r="Y94" s="510">
        <f t="shared" si="26"/>
        <v>2.3716814159292037</v>
      </c>
      <c r="Z94" s="510">
        <f t="shared" si="26"/>
        <v>6.05607476635514</v>
      </c>
      <c r="AA94" s="510">
        <f t="shared" si="26"/>
        <v>5.4296028880866425</v>
      </c>
      <c r="AB94" s="511"/>
      <c r="AC94" s="140"/>
      <c r="AD94" s="510" t="str">
        <f>IFERROR(AD$84/AD91,"")</f>
        <v/>
      </c>
      <c r="AE94" s="511"/>
      <c r="AF94" s="214" t="e">
        <f t="shared" si="22"/>
        <v>#VALUE!</v>
      </c>
      <c r="AG94" s="510">
        <f>IFERROR(AG$84/AG91,"")</f>
        <v>3.2801035822183855</v>
      </c>
      <c r="AH94" s="511"/>
      <c r="AI94" s="214">
        <f t="shared" si="23"/>
        <v>2.149499305868257</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SUM(O98:Z98)</f>
        <v>0</v>
      </c>
      <c r="AB98" s="144" t="str">
        <f>IF(AA98=0,"",IFERROR(AA98/AA$19,""))</f>
        <v/>
      </c>
      <c r="AC98" s="140"/>
      <c r="AD98" s="143"/>
      <c r="AE98" s="144" t="str">
        <f>IF(AD98=0,"",IFERROR(AD98/AD$19,""))</f>
        <v/>
      </c>
      <c r="AF98" s="145">
        <f>IF(AND($AA98="",AD98=""),"",$AA98-AD98)</f>
        <v>0</v>
      </c>
      <c r="AG98" s="143">
        <v>258.99</v>
      </c>
      <c r="AH98" s="144">
        <f>IF(AG98=0,"",IFERROR(AG98/AG$19,""))</f>
        <v>6.4919780868479731E-3</v>
      </c>
      <c r="AI98" s="145">
        <f>IF(AND($AA98="",AG98=""),"",$AA98-AG98)</f>
        <v>-258.99</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v>90</v>
      </c>
      <c r="U99" s="143">
        <v>22</v>
      </c>
      <c r="V99" s="143"/>
      <c r="W99" s="143"/>
      <c r="X99" s="143"/>
      <c r="Y99" s="143">
        <v>660</v>
      </c>
      <c r="Z99" s="143"/>
      <c r="AA99" s="143">
        <f>SUM(O99:Z99)</f>
        <v>772</v>
      </c>
      <c r="AB99" s="144">
        <f>IF(AA99=0,"",IFERROR(AA99/AA$19,""))</f>
        <v>1.5355025290044892E-2</v>
      </c>
      <c r="AC99" s="140"/>
      <c r="AD99" s="143"/>
      <c r="AE99" s="144" t="str">
        <f>IF(AD99=0,"",IFERROR(AD99/AD$19,""))</f>
        <v/>
      </c>
      <c r="AF99" s="145">
        <f>IF(AND($AA99="",AD99=""),"",$AA99-AD99)</f>
        <v>772</v>
      </c>
      <c r="AG99" s="143">
        <v>7</v>
      </c>
      <c r="AH99" s="144">
        <f>IF(AG99=0,"",IFERROR(AG99/AG$19,""))</f>
        <v>1.7546564194731771E-4</v>
      </c>
      <c r="AI99" s="145">
        <f>IF(AND($AA99="",AG99=""),"",$AA99-AG99)</f>
        <v>765</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v>828</v>
      </c>
      <c r="S100" s="143"/>
      <c r="T100" s="143">
        <v>1365</v>
      </c>
      <c r="U100" s="143">
        <v>142</v>
      </c>
      <c r="V100" s="143"/>
      <c r="W100" s="143">
        <v>690</v>
      </c>
      <c r="X100" s="143"/>
      <c r="Y100" s="143"/>
      <c r="Z100" s="143"/>
      <c r="AA100" s="143">
        <f>SUM(O100:Z100)</f>
        <v>3025</v>
      </c>
      <c r="AB100" s="144">
        <f>IF(AA100=0,"",IFERROR(AA100/AA$19,""))</f>
        <v>6.0167035624852074E-2</v>
      </c>
      <c r="AC100" s="140"/>
      <c r="AD100" s="143">
        <v>32916.744235348102</v>
      </c>
      <c r="AE100" s="144">
        <f>IF(AD100=0,"",IFERROR(AD100/AD$19,""))</f>
        <v>0.21999999999999961</v>
      </c>
      <c r="AF100" s="145">
        <f>IF(AND($AA100="",AD100=""),"",$AA100-AD100)</f>
        <v>-29891.744235348102</v>
      </c>
      <c r="AG100" s="143">
        <v>962</v>
      </c>
      <c r="AH100" s="144">
        <f>IF(AG100=0,"",IFERROR(AG100/AG$19,""))</f>
        <v>2.4113992507617088E-2</v>
      </c>
      <c r="AI100" s="145">
        <f>IF(AND($AA100="",AG100=""),"",$AA100-AG100)</f>
        <v>2063</v>
      </c>
    </row>
    <row r="101" spans="1:35" x14ac:dyDescent="0.35">
      <c r="A101" s="11"/>
      <c r="B101" s="11"/>
      <c r="C101" s="208"/>
      <c r="D101" s="11"/>
      <c r="E101" s="11"/>
      <c r="F101" s="11"/>
      <c r="G101" s="11"/>
      <c r="H101" s="185" t="s">
        <v>808</v>
      </c>
      <c r="I101" s="122"/>
      <c r="J101" s="122"/>
      <c r="K101" s="11"/>
      <c r="L101" s="90" t="str">
        <f>IF(_epmOfflineCondition_,"471210",_xll.EVPRO($B$1,H101,"JDEID"))</f>
        <v>471210</v>
      </c>
      <c r="M101" s="90" t="str">
        <f>IF(_epmOfflineCondition_,"",IF(AND(I101="N",J101="N"),_xll.EVPRO($B$1,H101,"PSFTID"),""))</f>
        <v/>
      </c>
      <c r="N101" s="90" t="str">
        <f>IF(_epmOfflineCondition_,"Reception Liquor",IF(_xll.EVDES(H101,$B$1)="#NODATA","",_xll.EVDES(H101,$B$1)))</f>
        <v>Reception Liquor</v>
      </c>
      <c r="O101" s="143"/>
      <c r="P101" s="143"/>
      <c r="Q101" s="143"/>
      <c r="R101" s="143"/>
      <c r="S101" s="143"/>
      <c r="T101" s="143"/>
      <c r="U101" s="143"/>
      <c r="V101" s="143"/>
      <c r="W101" s="143"/>
      <c r="X101" s="143"/>
      <c r="Y101" s="143"/>
      <c r="Z101" s="143"/>
      <c r="AA101" s="143">
        <f>SUM(O101:Z101)</f>
        <v>0</v>
      </c>
      <c r="AB101" s="144" t="str">
        <f>IF(AA101=0,"",IFERROR(AA101/AA$19,""))</f>
        <v/>
      </c>
      <c r="AC101" s="140"/>
      <c r="AD101" s="143"/>
      <c r="AE101" s="144" t="str">
        <f>IF(AD101=0,"",IFERROR(AD101/AD$19,""))</f>
        <v/>
      </c>
      <c r="AF101" s="145">
        <f>IF(AND($AA101="",AD101=""),"",$AA101-AD101)</f>
        <v>0</v>
      </c>
      <c r="AG101" s="143">
        <v>689</v>
      </c>
      <c r="AH101" s="144">
        <f>IF(AG101=0,"",IFERROR(AG101/AG$19,""))</f>
        <v>1.7270832471671698E-2</v>
      </c>
      <c r="AI101" s="145">
        <f>IF(AND($AA101="",AG101=""),"",$AA101-AG101)</f>
        <v>-689</v>
      </c>
    </row>
    <row r="102" spans="1:35" x14ac:dyDescent="0.35">
      <c r="A102" s="11"/>
      <c r="B102" s="11"/>
      <c r="C102" s="208"/>
      <c r="D102" s="11"/>
      <c r="E102" s="11"/>
      <c r="F102" s="11"/>
      <c r="G102" s="11"/>
      <c r="H102" s="185" t="s">
        <v>340</v>
      </c>
      <c r="I102" s="122"/>
      <c r="J102" s="122"/>
      <c r="K102" s="11"/>
      <c r="L102" s="90" t="str">
        <f>IF(_epmOfflineCondition_,"",_xll.EVPRO($B$1,H102,"JDEID"))</f>
        <v/>
      </c>
      <c r="M102" s="90" t="str">
        <f>IF(_epmOfflineCondition_,"",IF(AND(I102="N",J102="N"),_xll.EVPRO($B$1,H102,"PSFTID"),""))</f>
        <v/>
      </c>
      <c r="N102" s="106" t="str">
        <f>IF(_epmOfflineCondition_,"Liquor Revenue ",IF(_xll.EVDES(H102,$B$1)="#NODATA","",_xll.EVDES(H102,$B$1)))</f>
        <v xml:space="preserve">Liquor Revenue </v>
      </c>
      <c r="O102" s="166"/>
      <c r="P102" s="166"/>
      <c r="Q102" s="166"/>
      <c r="R102" s="166">
        <v>828</v>
      </c>
      <c r="S102" s="166"/>
      <c r="T102" s="166">
        <v>1455</v>
      </c>
      <c r="U102" s="166">
        <v>164</v>
      </c>
      <c r="V102" s="166"/>
      <c r="W102" s="166">
        <v>690</v>
      </c>
      <c r="X102" s="166"/>
      <c r="Y102" s="166">
        <v>660</v>
      </c>
      <c r="Z102" s="166"/>
      <c r="AA102" s="166">
        <f>SUM(O102:Z102)</f>
        <v>3797</v>
      </c>
      <c r="AB102" s="167">
        <f>IF(AA102=0,"",IFERROR(AA102/AA$19,""))</f>
        <v>7.5522060914896966E-2</v>
      </c>
      <c r="AC102" s="140"/>
      <c r="AD102" s="166">
        <v>32916.744235348102</v>
      </c>
      <c r="AE102" s="167">
        <f>IF(AD102=0,"",IFERROR(AD102/AD$19,""))</f>
        <v>0.21999999999999961</v>
      </c>
      <c r="AF102" s="168">
        <f>IF(AND($AA102="",AD102=""),"",$AA102-AD102)</f>
        <v>-29119.744235348102</v>
      </c>
      <c r="AG102" s="166">
        <v>1916.99</v>
      </c>
      <c r="AH102" s="167">
        <f>IF(AG102=0,"",IFERROR(AG102/AG$19,""))</f>
        <v>4.805226870808408E-2</v>
      </c>
      <c r="AI102" s="168">
        <f>IF(AND($AA102="",AG102=""),"",$AA102-AG102)</f>
        <v>1880.01</v>
      </c>
    </row>
    <row r="103" spans="1:35" x14ac:dyDescent="0.35">
      <c r="A103" s="11"/>
      <c r="B103" s="11"/>
      <c r="C103" s="208"/>
      <c r="D103" s="11"/>
      <c r="E103" s="11"/>
      <c r="F103" s="11"/>
      <c r="G103" s="11"/>
      <c r="H103" s="185"/>
      <c r="I103" s="122"/>
      <c r="J103" s="122"/>
      <c r="K103" s="11"/>
      <c r="L103" s="90"/>
      <c r="M103" s="90"/>
      <c r="N103" s="53"/>
      <c r="O103" s="174"/>
      <c r="P103" s="175"/>
      <c r="Q103" s="175"/>
      <c r="R103" s="175"/>
      <c r="S103" s="175"/>
      <c r="T103" s="175"/>
      <c r="U103" s="175"/>
      <c r="V103" s="175"/>
      <c r="W103" s="175"/>
      <c r="X103" s="175"/>
      <c r="Y103" s="175"/>
      <c r="Z103" s="175"/>
      <c r="AA103" s="175"/>
      <c r="AB103" s="176"/>
      <c r="AC103" s="140"/>
      <c r="AD103" s="174"/>
      <c r="AE103" s="175"/>
      <c r="AF103" s="176"/>
      <c r="AG103" s="174"/>
      <c r="AH103" s="175"/>
      <c r="AI103" s="176"/>
    </row>
    <row r="104" spans="1:35" x14ac:dyDescent="0.35">
      <c r="A104" s="11"/>
      <c r="B104" s="11"/>
      <c r="C104" s="208"/>
      <c r="D104" s="11"/>
      <c r="E104" s="11"/>
      <c r="F104" s="11"/>
      <c r="G104" s="11"/>
      <c r="H104" s="185"/>
      <c r="I104" s="122"/>
      <c r="J104" s="122"/>
      <c r="K104" s="11"/>
      <c r="L104" s="90"/>
      <c r="M104" s="90"/>
      <c r="N104" s="53" t="s">
        <v>339</v>
      </c>
      <c r="O104" s="162"/>
      <c r="P104" s="163"/>
      <c r="Q104" s="163"/>
      <c r="R104" s="163"/>
      <c r="S104" s="163"/>
      <c r="T104" s="163"/>
      <c r="U104" s="163"/>
      <c r="V104" s="163"/>
      <c r="W104" s="163"/>
      <c r="X104" s="163"/>
      <c r="Y104" s="163"/>
      <c r="Z104" s="163"/>
      <c r="AA104" s="163"/>
      <c r="AB104" s="164"/>
      <c r="AC104" s="140"/>
      <c r="AD104" s="162"/>
      <c r="AE104" s="163"/>
      <c r="AF104" s="164"/>
      <c r="AG104" s="162"/>
      <c r="AH104" s="163"/>
      <c r="AI104" s="164"/>
    </row>
    <row r="105" spans="1:35" x14ac:dyDescent="0.35">
      <c r="A105" s="11"/>
      <c r="B105" s="11"/>
      <c r="C105" s="208"/>
      <c r="D105" s="11"/>
      <c r="E105" s="11"/>
      <c r="F105" s="11"/>
      <c r="G105" s="11"/>
      <c r="H105" s="185" t="s">
        <v>295</v>
      </c>
      <c r="I105" s="122"/>
      <c r="J105" s="122"/>
      <c r="K105" s="11"/>
      <c r="L105" s="90" t="str">
        <f>IF(_epmOfflineCondition_,"461300",_xll.EVPRO($B$1,H105,"JDEID"))</f>
        <v>461300</v>
      </c>
      <c r="M105" s="90" t="str">
        <f>IF(_epmOfflineCondition_,"",IF(AND(I105="N",J105="N"),_xll.EVPRO($B$1,H105,"PSFTID"),""))</f>
        <v/>
      </c>
      <c r="N105" s="90" t="str">
        <f>IF(_epmOfflineCondition_,"Breakfast Beer",IF(_xll.EVDES(H105,$B$1)="#NODATA","",_xll.EVDES(H105,$B$1)))</f>
        <v>Breakfast Beer</v>
      </c>
      <c r="O105" s="143"/>
      <c r="P105" s="143"/>
      <c r="Q105" s="143"/>
      <c r="R105" s="143"/>
      <c r="S105" s="143"/>
      <c r="T105" s="143"/>
      <c r="U105" s="143"/>
      <c r="V105" s="143"/>
      <c r="W105" s="143"/>
      <c r="X105" s="143"/>
      <c r="Y105" s="143"/>
      <c r="Z105" s="143"/>
      <c r="AA105" s="143">
        <f>SUM(O105:Z105)</f>
        <v>0</v>
      </c>
      <c r="AB105" s="144" t="str">
        <f>IF(AA105=0,"",IFERROR(AA105/AA$19,""))</f>
        <v/>
      </c>
      <c r="AC105" s="140"/>
      <c r="AD105" s="143"/>
      <c r="AE105" s="144" t="str">
        <f>IF(AD105=0,"",IFERROR(AD105/AD$19,""))</f>
        <v/>
      </c>
      <c r="AF105" s="145">
        <f>IF(AND($AA105="",AD105=""),"",$AA105-AD105)</f>
        <v>0</v>
      </c>
      <c r="AG105" s="143"/>
      <c r="AH105" s="144" t="str">
        <f>IF(AG105=0,"",IFERROR(AG105/AG$19,""))</f>
        <v/>
      </c>
      <c r="AI105" s="145">
        <f>IF(AND($AA105="",AG105=""),"",$AA105-AG105)</f>
        <v>0</v>
      </c>
    </row>
    <row r="106" spans="1:35" x14ac:dyDescent="0.35">
      <c r="A106" s="11"/>
      <c r="B106" s="11"/>
      <c r="C106" s="208"/>
      <c r="D106" s="11"/>
      <c r="E106" s="11"/>
      <c r="F106" s="11"/>
      <c r="G106" s="11"/>
      <c r="H106" s="185" t="s">
        <v>305</v>
      </c>
      <c r="I106" s="122"/>
      <c r="J106" s="122"/>
      <c r="K106" s="11"/>
      <c r="L106" s="90" t="str">
        <f>IF(_epmOfflineCondition_,"462300",_xll.EVPRO($B$1,H106,"JDEID"))</f>
        <v>462300</v>
      </c>
      <c r="M106" s="90" t="str">
        <f>IF(_epmOfflineCondition_,"",IF(AND(I106="N",J106="N"),_xll.EVPRO($B$1,H106,"PSFTID"),""))</f>
        <v/>
      </c>
      <c r="N106" s="90" t="str">
        <f>IF(_epmOfflineCondition_,"Lunch Beer",IF(_xll.EVDES(H106,$B$1)="#NODATA","",_xll.EVDES(H106,$B$1)))</f>
        <v>Lunch Beer</v>
      </c>
      <c r="O106" s="143"/>
      <c r="P106" s="143"/>
      <c r="Q106" s="143"/>
      <c r="R106" s="143"/>
      <c r="S106" s="143"/>
      <c r="T106" s="143"/>
      <c r="U106" s="143"/>
      <c r="V106" s="143"/>
      <c r="W106" s="143"/>
      <c r="X106" s="143"/>
      <c r="Y106" s="143"/>
      <c r="Z106" s="143"/>
      <c r="AA106" s="143">
        <f>SUM(O106:Z106)</f>
        <v>0</v>
      </c>
      <c r="AB106" s="144" t="str">
        <f>IF(AA106=0,"",IFERROR(AA106/AA$19,""))</f>
        <v/>
      </c>
      <c r="AC106" s="140"/>
      <c r="AD106" s="143"/>
      <c r="AE106" s="144" t="str">
        <f>IF(AD106=0,"",IFERROR(AD106/AD$19,""))</f>
        <v/>
      </c>
      <c r="AF106" s="145">
        <f>IF(AND($AA106="",AD106=""),"",$AA106-AD106)</f>
        <v>0</v>
      </c>
      <c r="AG106" s="143">
        <v>102</v>
      </c>
      <c r="AH106" s="144">
        <f>IF(AG106=0,"",IFERROR(AG106/AG$19,""))</f>
        <v>2.5567850683752007E-3</v>
      </c>
      <c r="AI106" s="145">
        <f>IF(AND($AA106="",AG106=""),"",$AA106-AG106)</f>
        <v>-102</v>
      </c>
    </row>
    <row r="107" spans="1:35" x14ac:dyDescent="0.35">
      <c r="A107" s="11"/>
      <c r="B107" s="11"/>
      <c r="C107" s="208"/>
      <c r="D107" s="11"/>
      <c r="E107" s="11"/>
      <c r="F107" s="11"/>
      <c r="G107" s="11"/>
      <c r="H107" s="185" t="s">
        <v>306</v>
      </c>
      <c r="I107" s="122"/>
      <c r="J107" s="122"/>
      <c r="K107" s="11"/>
      <c r="L107" s="90" t="str">
        <f>IF(_epmOfflineCondition_,"463300",_xll.EVPRO($B$1,H107,"JDEID"))</f>
        <v>463300</v>
      </c>
      <c r="M107" s="90" t="str">
        <f>IF(_epmOfflineCondition_,"",IF(AND(I107="N",J107="N"),_xll.EVPRO($B$1,H107,"PSFTID"),""))</f>
        <v/>
      </c>
      <c r="N107" s="90" t="str">
        <f>IF(_epmOfflineCondition_,"Dinner Beer",IF(_xll.EVDES(H107,$B$1)="#NODATA","",_xll.EVDES(H107,$B$1)))</f>
        <v>Dinner Beer</v>
      </c>
      <c r="O107" s="143"/>
      <c r="P107" s="143"/>
      <c r="Q107" s="143"/>
      <c r="R107" s="143"/>
      <c r="S107" s="143"/>
      <c r="T107" s="143"/>
      <c r="U107" s="143"/>
      <c r="V107" s="143"/>
      <c r="W107" s="143"/>
      <c r="X107" s="143"/>
      <c r="Y107" s="143"/>
      <c r="Z107" s="143"/>
      <c r="AA107" s="143">
        <f>SUM(O107:Z107)</f>
        <v>0</v>
      </c>
      <c r="AB107" s="144" t="str">
        <f>IF(AA107=0,"",IFERROR(AA107/AA$19,""))</f>
        <v/>
      </c>
      <c r="AC107" s="140"/>
      <c r="AD107" s="143">
        <v>5984.8625882450997</v>
      </c>
      <c r="AE107" s="144">
        <f>IF(AD107=0,"",IFERROR(AD107/AD$19,""))</f>
        <v>3.9999999999999862E-2</v>
      </c>
      <c r="AF107" s="145">
        <f>IF(AND($AA107="",AD107=""),"",$AA107-AD107)</f>
        <v>-5984.8625882450997</v>
      </c>
      <c r="AG107" s="143">
        <v>165</v>
      </c>
      <c r="AH107" s="144">
        <f>IF(AG107=0,"",IFERROR(AG107/AG$19,""))</f>
        <v>4.1359758459010602E-3</v>
      </c>
      <c r="AI107" s="145">
        <f>IF(AND($AA107="",AG107=""),"",$AA107-AG107)</f>
        <v>-165</v>
      </c>
    </row>
    <row r="108" spans="1:35" x14ac:dyDescent="0.35">
      <c r="A108" s="11"/>
      <c r="B108" s="11"/>
      <c r="C108" s="208"/>
      <c r="D108" s="11"/>
      <c r="E108" s="11"/>
      <c r="F108" s="11"/>
      <c r="G108" s="11"/>
      <c r="H108" s="185" t="s">
        <v>809</v>
      </c>
      <c r="I108" s="122"/>
      <c r="J108" s="122"/>
      <c r="K108" s="11"/>
      <c r="L108" s="90" t="str">
        <f>IF(_epmOfflineCondition_,"471310",_xll.EVPRO($B$1,H108,"JDEID"))</f>
        <v>471310</v>
      </c>
      <c r="M108" s="90" t="str">
        <f>IF(_epmOfflineCondition_,"",IF(AND(I108="N",J108="N"),_xll.EVPRO($B$1,H108,"PSFTID"),""))</f>
        <v/>
      </c>
      <c r="N108" s="90" t="str">
        <f>IF(_epmOfflineCondition_,"Reception Beer",IF(_xll.EVDES(H108,$B$1)="#NODATA","",_xll.EVDES(H108,$B$1)))</f>
        <v>Reception Beer</v>
      </c>
      <c r="O108" s="143"/>
      <c r="P108" s="143"/>
      <c r="Q108" s="143"/>
      <c r="R108" s="143"/>
      <c r="S108" s="143"/>
      <c r="T108" s="143"/>
      <c r="U108" s="143"/>
      <c r="V108" s="143"/>
      <c r="W108" s="143"/>
      <c r="X108" s="143"/>
      <c r="Y108" s="143"/>
      <c r="Z108" s="143"/>
      <c r="AA108" s="143">
        <f>SUM(O108:Z108)</f>
        <v>0</v>
      </c>
      <c r="AB108" s="144" t="str">
        <f>IF(AA108=0,"",IFERROR(AA108/AA$19,""))</f>
        <v/>
      </c>
      <c r="AC108" s="140"/>
      <c r="AD108" s="143"/>
      <c r="AE108" s="144" t="str">
        <f>IF(AD108=0,"",IFERROR(AD108/AD$19,""))</f>
        <v/>
      </c>
      <c r="AF108" s="145">
        <f>IF(AND($AA108="",AD108=""),"",$AA108-AD108)</f>
        <v>0</v>
      </c>
      <c r="AG108" s="143">
        <v>125</v>
      </c>
      <c r="AH108" s="144">
        <f>IF(AG108=0,"",IFERROR(AG108/AG$19,""))</f>
        <v>3.1333150347735302E-3</v>
      </c>
      <c r="AI108" s="145">
        <f>IF(AND($AA108="",AG108=""),"",$AA108-AG108)</f>
        <v>-125</v>
      </c>
    </row>
    <row r="109" spans="1:35" x14ac:dyDescent="0.35">
      <c r="A109" s="11"/>
      <c r="B109" s="11"/>
      <c r="C109" s="208"/>
      <c r="D109" s="11"/>
      <c r="E109" s="11"/>
      <c r="F109" s="11"/>
      <c r="G109" s="11"/>
      <c r="H109" s="185" t="s">
        <v>342</v>
      </c>
      <c r="I109" s="122"/>
      <c r="J109" s="122"/>
      <c r="K109" s="11"/>
      <c r="L109" s="90" t="str">
        <f>IF(_epmOfflineCondition_,"",_xll.EVPRO($B$1,H109,"JDEID"))</f>
        <v/>
      </c>
      <c r="M109" s="90" t="str">
        <f>IF(_epmOfflineCondition_,"",IF(AND(I109="N",J109="N"),_xll.EVPRO($B$1,H109,"PSFTID"),""))</f>
        <v/>
      </c>
      <c r="N109" s="106" t="str">
        <f>IF(_epmOfflineCondition_,"Beer Revenue",IF(_xll.EVDES(H109,$B$1)="#NODATA","",_xll.EVDES(H109,$B$1)))</f>
        <v>Beer Revenue</v>
      </c>
      <c r="O109" s="166"/>
      <c r="P109" s="166"/>
      <c r="Q109" s="166"/>
      <c r="R109" s="166"/>
      <c r="S109" s="166"/>
      <c r="T109" s="166"/>
      <c r="U109" s="166"/>
      <c r="V109" s="166"/>
      <c r="W109" s="166"/>
      <c r="X109" s="166"/>
      <c r="Y109" s="166"/>
      <c r="Z109" s="166"/>
      <c r="AA109" s="166">
        <f>SUM(O109:Z109)</f>
        <v>0</v>
      </c>
      <c r="AB109" s="167" t="str">
        <f>IF(AA109=0,"",IFERROR(AA109/AA$19,""))</f>
        <v/>
      </c>
      <c r="AC109" s="140"/>
      <c r="AD109" s="166">
        <v>5984.8625882450997</v>
      </c>
      <c r="AE109" s="167">
        <f>IF(AD109=0,"",IFERROR(AD109/AD$19,""))</f>
        <v>3.9999999999999862E-2</v>
      </c>
      <c r="AF109" s="168">
        <f>IF(AND($AA109="",AD109=""),"",$AA109-AD109)</f>
        <v>-5984.8625882450997</v>
      </c>
      <c r="AG109" s="166">
        <v>392</v>
      </c>
      <c r="AH109" s="167">
        <f>IF(AG109=0,"",IFERROR(AG109/AG$19,""))</f>
        <v>9.826075949049792E-3</v>
      </c>
      <c r="AI109" s="168">
        <f>IF(AND($AA109="",AG109=""),"",$AA109-AG109)</f>
        <v>-392</v>
      </c>
    </row>
    <row r="110" spans="1:35" x14ac:dyDescent="0.35">
      <c r="A110" s="11"/>
      <c r="B110" s="11"/>
      <c r="C110" s="208"/>
      <c r="D110" s="11"/>
      <c r="E110" s="11"/>
      <c r="F110" s="11"/>
      <c r="G110" s="11"/>
      <c r="H110" s="185"/>
      <c r="I110" s="122"/>
      <c r="J110" s="122"/>
      <c r="K110" s="11"/>
      <c r="L110" s="90"/>
      <c r="M110" s="90"/>
      <c r="N110" s="53"/>
      <c r="O110" s="174"/>
      <c r="P110" s="175"/>
      <c r="Q110" s="175"/>
      <c r="R110" s="175"/>
      <c r="S110" s="175"/>
      <c r="T110" s="175"/>
      <c r="U110" s="175"/>
      <c r="V110" s="175"/>
      <c r="W110" s="175"/>
      <c r="X110" s="175"/>
      <c r="Y110" s="175"/>
      <c r="Z110" s="175"/>
      <c r="AA110" s="175"/>
      <c r="AB110" s="176"/>
      <c r="AC110" s="140"/>
      <c r="AD110" s="174"/>
      <c r="AE110" s="175"/>
      <c r="AF110" s="176"/>
      <c r="AG110" s="174"/>
      <c r="AH110" s="175"/>
      <c r="AI110" s="176"/>
    </row>
    <row r="111" spans="1:35" x14ac:dyDescent="0.35">
      <c r="A111" s="11"/>
      <c r="B111" s="11"/>
      <c r="C111" s="208"/>
      <c r="D111" s="11"/>
      <c r="E111" s="11"/>
      <c r="F111" s="11"/>
      <c r="G111" s="11"/>
      <c r="H111" s="185"/>
      <c r="I111" s="122"/>
      <c r="J111" s="122"/>
      <c r="K111" s="11"/>
      <c r="L111" s="90"/>
      <c r="M111" s="90"/>
      <c r="N111" s="53" t="s">
        <v>338</v>
      </c>
      <c r="O111" s="162"/>
      <c r="P111" s="163"/>
      <c r="Q111" s="163"/>
      <c r="R111" s="163"/>
      <c r="S111" s="163"/>
      <c r="T111" s="163"/>
      <c r="U111" s="163"/>
      <c r="V111" s="163"/>
      <c r="W111" s="163"/>
      <c r="X111" s="163"/>
      <c r="Y111" s="163"/>
      <c r="Z111" s="163"/>
      <c r="AA111" s="163"/>
      <c r="AB111" s="164"/>
      <c r="AC111" s="140"/>
      <c r="AD111" s="162"/>
      <c r="AE111" s="163"/>
      <c r="AF111" s="164"/>
      <c r="AG111" s="162"/>
      <c r="AH111" s="163"/>
      <c r="AI111" s="164"/>
    </row>
    <row r="112" spans="1:35" x14ac:dyDescent="0.35">
      <c r="A112" s="11"/>
      <c r="B112" s="11"/>
      <c r="C112" s="208"/>
      <c r="D112" s="11"/>
      <c r="E112" s="11"/>
      <c r="F112" s="11"/>
      <c r="G112" s="11"/>
      <c r="H112" s="185" t="s">
        <v>296</v>
      </c>
      <c r="I112" s="122"/>
      <c r="J112" s="122"/>
      <c r="K112" s="11"/>
      <c r="L112" s="90" t="str">
        <f>IF(_epmOfflineCondition_,"461400",_xll.EVPRO($B$1,H112,"JDEID"))</f>
        <v>461400</v>
      </c>
      <c r="M112" s="90" t="str">
        <f>IF(_epmOfflineCondition_,"",IF(AND(I112="N",J112="N"),_xll.EVPRO($B$1,H112,"PSFTID"),""))</f>
        <v/>
      </c>
      <c r="N112" s="90" t="str">
        <f>IF(_epmOfflineCondition_,"Breakfast Wine",IF(_xll.EVDES(H112,$B$1)="#NODATA","",_xll.EVDES(H112,$B$1)))</f>
        <v>Breakfast Wine</v>
      </c>
      <c r="O112" s="143"/>
      <c r="P112" s="143"/>
      <c r="Q112" s="143"/>
      <c r="R112" s="143"/>
      <c r="S112" s="143"/>
      <c r="T112" s="143"/>
      <c r="U112" s="143"/>
      <c r="V112" s="143"/>
      <c r="W112" s="143"/>
      <c r="X112" s="143"/>
      <c r="Y112" s="143"/>
      <c r="Z112" s="143"/>
      <c r="AA112" s="143">
        <f>SUM(O112:Z112)</f>
        <v>0</v>
      </c>
      <c r="AB112" s="144" t="str">
        <f>IF(AA112=0,"",IFERROR(AA112/AA$19,""))</f>
        <v/>
      </c>
      <c r="AC112" s="140"/>
      <c r="AD112" s="143"/>
      <c r="AE112" s="144" t="str">
        <f>IF(AD112=0,"",IFERROR(AD112/AD$19,""))</f>
        <v/>
      </c>
      <c r="AF112" s="145">
        <f>IF(AND($AA112="",AD112=""),"",$AA112-AD112)</f>
        <v>0</v>
      </c>
      <c r="AG112" s="143"/>
      <c r="AH112" s="144" t="str">
        <f>IF(AG112=0,"",IFERROR(AG112/AG$19,""))</f>
        <v/>
      </c>
      <c r="AI112" s="145">
        <f>IF(AND($AA112="",AG112=""),"",$AA112-AG112)</f>
        <v>0</v>
      </c>
    </row>
    <row r="113" spans="1:35" x14ac:dyDescent="0.35">
      <c r="A113" s="11"/>
      <c r="B113" s="11"/>
      <c r="C113" s="208"/>
      <c r="D113" s="11"/>
      <c r="E113" s="11"/>
      <c r="F113" s="11"/>
      <c r="G113" s="11"/>
      <c r="H113" s="185" t="s">
        <v>303</v>
      </c>
      <c r="I113" s="122"/>
      <c r="J113" s="122"/>
      <c r="K113" s="11"/>
      <c r="L113" s="90" t="str">
        <f>IF(_epmOfflineCondition_,"462400",_xll.EVPRO($B$1,H113,"JDEID"))</f>
        <v>462400</v>
      </c>
      <c r="M113" s="90" t="str">
        <f>IF(_epmOfflineCondition_,"",IF(AND(I113="N",J113="N"),_xll.EVPRO($B$1,H113,"PSFTID"),""))</f>
        <v/>
      </c>
      <c r="N113" s="90" t="str">
        <f>IF(_epmOfflineCondition_,"Lunch Wine",IF(_xll.EVDES(H113,$B$1)="#NODATA","",_xll.EVDES(H113,$B$1)))</f>
        <v>Lunch Wine</v>
      </c>
      <c r="O113" s="143"/>
      <c r="P113" s="143"/>
      <c r="Q113" s="143"/>
      <c r="R113" s="143"/>
      <c r="S113" s="143"/>
      <c r="T113" s="143"/>
      <c r="U113" s="143"/>
      <c r="V113" s="143"/>
      <c r="W113" s="143"/>
      <c r="X113" s="143"/>
      <c r="Y113" s="143"/>
      <c r="Z113" s="143"/>
      <c r="AA113" s="143">
        <f>SUM(O113:Z113)</f>
        <v>0</v>
      </c>
      <c r="AB113" s="144" t="str">
        <f>IF(AA113=0,"",IFERROR(AA113/AA$19,""))</f>
        <v/>
      </c>
      <c r="AC113" s="140"/>
      <c r="AD113" s="143"/>
      <c r="AE113" s="144" t="str">
        <f>IF(AD113=0,"",IFERROR(AD113/AD$19,""))</f>
        <v/>
      </c>
      <c r="AF113" s="145">
        <f>IF(AND($AA113="",AD113=""),"",$AA113-AD113)</f>
        <v>0</v>
      </c>
      <c r="AG113" s="143"/>
      <c r="AH113" s="144" t="str">
        <f>IF(AG113=0,"",IFERROR(AG113/AG$19,""))</f>
        <v/>
      </c>
      <c r="AI113" s="145">
        <f>IF(AND($AA113="",AG113=""),"",$AA113-AG113)</f>
        <v>0</v>
      </c>
    </row>
    <row r="114" spans="1:35" x14ac:dyDescent="0.35">
      <c r="A114" s="11"/>
      <c r="B114" s="11"/>
      <c r="C114" s="208"/>
      <c r="D114" s="11"/>
      <c r="E114" s="11"/>
      <c r="F114" s="11"/>
      <c r="G114" s="11"/>
      <c r="H114" s="185" t="s">
        <v>304</v>
      </c>
      <c r="I114" s="122"/>
      <c r="J114" s="122"/>
      <c r="K114" s="11"/>
      <c r="L114" s="90" t="str">
        <f>IF(_epmOfflineCondition_,"463400",_xll.EVPRO($B$1,H114,"JDEID"))</f>
        <v>463400</v>
      </c>
      <c r="M114" s="90" t="str">
        <f>IF(_epmOfflineCondition_,"",IF(AND(I114="N",J114="N"),_xll.EVPRO($B$1,H114,"PSFTID"),""))</f>
        <v/>
      </c>
      <c r="N114" s="90" t="str">
        <f>IF(_epmOfflineCondition_,"Dinner Wine",IF(_xll.EVDES(H114,$B$1)="#NODATA","",_xll.EVDES(H114,$B$1)))</f>
        <v>Dinner Wine</v>
      </c>
      <c r="O114" s="143"/>
      <c r="P114" s="143"/>
      <c r="Q114" s="143"/>
      <c r="R114" s="143"/>
      <c r="S114" s="143"/>
      <c r="T114" s="143"/>
      <c r="U114" s="143"/>
      <c r="V114" s="143"/>
      <c r="W114" s="143"/>
      <c r="X114" s="143"/>
      <c r="Y114" s="143"/>
      <c r="Z114" s="143"/>
      <c r="AA114" s="143">
        <f>SUM(O114:Z114)</f>
        <v>0</v>
      </c>
      <c r="AB114" s="144" t="str">
        <f>IF(AA114=0,"",IFERROR(AA114/AA$19,""))</f>
        <v/>
      </c>
      <c r="AC114" s="140"/>
      <c r="AD114" s="143">
        <v>32916.744235348102</v>
      </c>
      <c r="AE114" s="144">
        <f>IF(AD114=0,"",IFERROR(AD114/AD$19,""))</f>
        <v>0.21999999999999961</v>
      </c>
      <c r="AF114" s="145">
        <f>IF(AND($AA114="",AD114=""),"",$AA114-AD114)</f>
        <v>-32916.744235348102</v>
      </c>
      <c r="AG114" s="143">
        <v>670</v>
      </c>
      <c r="AH114" s="144">
        <f>IF(AG114=0,"",IFERROR(AG114/AG$19,""))</f>
        <v>1.6794568586386123E-2</v>
      </c>
      <c r="AI114" s="145">
        <f>IF(AND($AA114="",AG114=""),"",$AA114-AG114)</f>
        <v>-670</v>
      </c>
    </row>
    <row r="115" spans="1:35" x14ac:dyDescent="0.35">
      <c r="A115" s="11"/>
      <c r="B115" s="11"/>
      <c r="C115" s="208"/>
      <c r="D115" s="11"/>
      <c r="E115" s="11"/>
      <c r="F115" s="11"/>
      <c r="G115" s="11"/>
      <c r="H115" s="185" t="s">
        <v>810</v>
      </c>
      <c r="I115" s="122"/>
      <c r="J115" s="122"/>
      <c r="K115" s="11"/>
      <c r="L115" s="90" t="str">
        <f>IF(_epmOfflineCondition_,"471410",_xll.EVPRO($B$1,H115,"JDEID"))</f>
        <v>471410</v>
      </c>
      <c r="M115" s="90" t="str">
        <f>IF(_epmOfflineCondition_,"",IF(AND(I115="N",J115="N"),_xll.EVPRO($B$1,H115,"PSFTID"),""))</f>
        <v/>
      </c>
      <c r="N115" s="90" t="str">
        <f>IF(_epmOfflineCondition_,"Reception Wine",IF(_xll.EVDES(H115,$B$1)="#NODATA","",_xll.EVDES(H115,$B$1)))</f>
        <v>Reception Wine</v>
      </c>
      <c r="O115" s="143"/>
      <c r="P115" s="143"/>
      <c r="Q115" s="143"/>
      <c r="R115" s="143"/>
      <c r="S115" s="143"/>
      <c r="T115" s="143"/>
      <c r="U115" s="143"/>
      <c r="V115" s="143"/>
      <c r="W115" s="143"/>
      <c r="X115" s="143"/>
      <c r="Y115" s="143"/>
      <c r="Z115" s="143"/>
      <c r="AA115" s="143">
        <f>SUM(O115:Z115)</f>
        <v>0</v>
      </c>
      <c r="AB115" s="144" t="str">
        <f>IF(AA115=0,"",IFERROR(AA115/AA$19,""))</f>
        <v/>
      </c>
      <c r="AC115" s="140"/>
      <c r="AD115" s="143"/>
      <c r="AE115" s="144" t="str">
        <f>IF(AD115=0,"",IFERROR(AD115/AD$19,""))</f>
        <v/>
      </c>
      <c r="AF115" s="145">
        <f>IF(AND($AA115="",AD115=""),"",$AA115-AD115)</f>
        <v>0</v>
      </c>
      <c r="AG115" s="143">
        <v>2108</v>
      </c>
      <c r="AH115" s="144">
        <f>IF(AG115=0,"",IFERROR(AG115/AG$19,""))</f>
        <v>5.2840224746420819E-2</v>
      </c>
      <c r="AI115" s="145">
        <f>IF(AND($AA115="",AG115=""),"",$AA115-AG115)</f>
        <v>-2108</v>
      </c>
    </row>
    <row r="116" spans="1:35" x14ac:dyDescent="0.35">
      <c r="A116" s="11"/>
      <c r="B116" s="11"/>
      <c r="C116" s="208"/>
      <c r="D116" s="11"/>
      <c r="E116" s="11"/>
      <c r="F116" s="11"/>
      <c r="G116" s="11"/>
      <c r="H116" s="185" t="s">
        <v>341</v>
      </c>
      <c r="I116" s="122"/>
      <c r="J116" s="122"/>
      <c r="K116" s="11"/>
      <c r="L116" s="90" t="str">
        <f>IF(_epmOfflineCondition_,"",_xll.EVPRO($B$1,H116,"JDEID"))</f>
        <v/>
      </c>
      <c r="M116" s="90" t="str">
        <f>IF(_epmOfflineCondition_,"",IF(AND(I116="N",J116="N"),_xll.EVPRO($B$1,H116,"PSFTID"),""))</f>
        <v/>
      </c>
      <c r="N116" s="106" t="str">
        <f>IF(_epmOfflineCondition_,"Wine Revenue",IF(_xll.EVDES(H116,$B$1)="#NODATA","",_xll.EVDES(H116,$B$1)))</f>
        <v>Wine Revenue</v>
      </c>
      <c r="O116" s="166"/>
      <c r="P116" s="166"/>
      <c r="Q116" s="166"/>
      <c r="R116" s="166"/>
      <c r="S116" s="166"/>
      <c r="T116" s="166"/>
      <c r="U116" s="166"/>
      <c r="V116" s="166"/>
      <c r="W116" s="166"/>
      <c r="X116" s="166"/>
      <c r="Y116" s="166"/>
      <c r="Z116" s="166"/>
      <c r="AA116" s="166">
        <f>SUM(O116:Z116)</f>
        <v>0</v>
      </c>
      <c r="AB116" s="167" t="str">
        <f>IF(AA116=0,"",IFERROR(AA116/AA$19,""))</f>
        <v/>
      </c>
      <c r="AC116" s="140"/>
      <c r="AD116" s="166">
        <v>32916.744235348102</v>
      </c>
      <c r="AE116" s="167">
        <f>IF(AD116=0,"",IFERROR(AD116/AD$19,""))</f>
        <v>0.21999999999999961</v>
      </c>
      <c r="AF116" s="168">
        <f>IF(AND($AA116="",AD116=""),"",$AA116-AD116)</f>
        <v>-32916.744235348102</v>
      </c>
      <c r="AG116" s="166">
        <v>2778</v>
      </c>
      <c r="AH116" s="167">
        <f>IF(AG116=0,"",IFERROR(AG116/AG$19,""))</f>
        <v>6.9634793332806935E-2</v>
      </c>
      <c r="AI116" s="168">
        <f>IF(AND($AA116="",AG116=""),"",$AA116-AG116)</f>
        <v>-2778</v>
      </c>
    </row>
    <row r="117" spans="1:35" x14ac:dyDescent="0.35">
      <c r="A117" s="11"/>
      <c r="B117" s="11"/>
      <c r="C117" s="208"/>
      <c r="D117" s="11"/>
      <c r="E117" s="11"/>
      <c r="F117" s="11"/>
      <c r="G117" s="11"/>
      <c r="H117" s="185"/>
      <c r="I117" s="122"/>
      <c r="J117" s="122"/>
      <c r="K117" s="11"/>
      <c r="L117" s="90"/>
      <c r="M117" s="90"/>
      <c r="N117" s="11"/>
      <c r="O117" s="174"/>
      <c r="P117" s="175"/>
      <c r="Q117" s="175"/>
      <c r="R117" s="175"/>
      <c r="S117" s="175"/>
      <c r="T117" s="175"/>
      <c r="U117" s="175"/>
      <c r="V117" s="175"/>
      <c r="W117" s="175"/>
      <c r="X117" s="175"/>
      <c r="Y117" s="175"/>
      <c r="Z117" s="175"/>
      <c r="AA117" s="175"/>
      <c r="AB117" s="176"/>
      <c r="AC117" s="140"/>
      <c r="AD117" s="174"/>
      <c r="AE117" s="175"/>
      <c r="AF117" s="176"/>
      <c r="AG117" s="174"/>
      <c r="AH117" s="175"/>
      <c r="AI117" s="176"/>
    </row>
    <row r="118" spans="1:35" x14ac:dyDescent="0.35">
      <c r="A118" s="11"/>
      <c r="B118" s="11"/>
      <c r="C118" s="208"/>
      <c r="D118" s="11"/>
      <c r="E118" s="11"/>
      <c r="F118" s="11"/>
      <c r="G118" s="11"/>
      <c r="H118" s="88" t="s">
        <v>267</v>
      </c>
      <c r="I118" s="122"/>
      <c r="J118" s="122"/>
      <c r="K118" s="11"/>
      <c r="L118" s="90" t="str">
        <f>IF(_epmOfflineCondition_,"",_xll.EVPRO($B$1,H118,"JDEID"))</f>
        <v/>
      </c>
      <c r="M118" s="90" t="str">
        <f>IF(_epmOfflineCondition_,"",IF(AND(I118="N",J118="N"),_xll.EVPRO($B$1,H118,"PSFTID"),""))</f>
        <v/>
      </c>
      <c r="N118" s="90" t="str">
        <f>IF(_epmOfflineCondition_,"Breakfast  Beverage Revenue",IF(_xll.EVDES(H118,$B$1)="#NODATA","",_xll.EVDES(H118,$B$1)))</f>
        <v>Breakfast  Beverage Revenue</v>
      </c>
      <c r="O118" s="143">
        <f t="shared" ref="O118:Z118" si="27">O98+O105+O112</f>
        <v>0</v>
      </c>
      <c r="P118" s="143">
        <f t="shared" si="27"/>
        <v>0</v>
      </c>
      <c r="Q118" s="143">
        <f t="shared" si="27"/>
        <v>0</v>
      </c>
      <c r="R118" s="143">
        <f t="shared" si="27"/>
        <v>0</v>
      </c>
      <c r="S118" s="143">
        <f t="shared" si="27"/>
        <v>0</v>
      </c>
      <c r="T118" s="143">
        <f t="shared" si="27"/>
        <v>0</v>
      </c>
      <c r="U118" s="143">
        <f t="shared" si="27"/>
        <v>0</v>
      </c>
      <c r="V118" s="143">
        <f t="shared" si="27"/>
        <v>0</v>
      </c>
      <c r="W118" s="143">
        <f t="shared" si="27"/>
        <v>0</v>
      </c>
      <c r="X118" s="143">
        <f t="shared" si="27"/>
        <v>0</v>
      </c>
      <c r="Y118" s="143">
        <f t="shared" si="27"/>
        <v>0</v>
      </c>
      <c r="Z118" s="143">
        <f t="shared" si="27"/>
        <v>0</v>
      </c>
      <c r="AA118" s="143">
        <f>SUM(O118:Z118)</f>
        <v>0</v>
      </c>
      <c r="AB118" s="144" t="str">
        <f>IF(AA118=0,"",IFERROR(AA118/AA$19,""))</f>
        <v/>
      </c>
      <c r="AC118" s="140"/>
      <c r="AD118" s="143">
        <f>AD98+AD105+AD112</f>
        <v>0</v>
      </c>
      <c r="AE118" s="144" t="str">
        <f>IF(AD118=0,"",IFERROR(AD118/AD$19,""))</f>
        <v/>
      </c>
      <c r="AF118" s="145">
        <f>IF(AND($AA118="",AD118=""),"",$AA118-AD118)</f>
        <v>0</v>
      </c>
      <c r="AG118" s="143">
        <f>AG98+AG105+AG112</f>
        <v>258.99</v>
      </c>
      <c r="AH118" s="144">
        <f>IF(AG118=0,"",IFERROR(AG118/AG$19,""))</f>
        <v>6.4919780868479731E-3</v>
      </c>
      <c r="AI118" s="145">
        <f>IF(AND($AA118="",AG118=""),"",$AA118-AG118)</f>
        <v>-258.99</v>
      </c>
    </row>
    <row r="119" spans="1:35" x14ac:dyDescent="0.35">
      <c r="A119" s="11"/>
      <c r="B119" s="11"/>
      <c r="C119" s="208"/>
      <c r="D119" s="11"/>
      <c r="E119" s="11"/>
      <c r="F119" s="11"/>
      <c r="G119" s="11"/>
      <c r="H119" s="88" t="s">
        <v>268</v>
      </c>
      <c r="I119" s="122"/>
      <c r="J119" s="122"/>
      <c r="K119" s="11"/>
      <c r="L119" s="90" t="str">
        <f>IF(_epmOfflineCondition_,"",_xll.EVPRO($B$1,H119,"JDEID"))</f>
        <v/>
      </c>
      <c r="M119" s="90" t="str">
        <f>IF(_epmOfflineCondition_,"",IF(AND(I119="N",J119="N"),_xll.EVPRO($B$1,H119,"PSFTID"),""))</f>
        <v/>
      </c>
      <c r="N119" s="90" t="str">
        <f>IF(_epmOfflineCondition_,"Lunch Beverage Revenue",IF(_xll.EVDES(H119,$B$1)="#NODATA","",_xll.EVDES(H119,$B$1)))</f>
        <v>Lunch Beverage Revenue</v>
      </c>
      <c r="O119" s="143">
        <f t="shared" ref="O119:Z119" si="28">O99+O106+O113</f>
        <v>0</v>
      </c>
      <c r="P119" s="143">
        <f t="shared" si="28"/>
        <v>0</v>
      </c>
      <c r="Q119" s="143">
        <f t="shared" si="28"/>
        <v>0</v>
      </c>
      <c r="R119" s="143">
        <f t="shared" si="28"/>
        <v>0</v>
      </c>
      <c r="S119" s="143">
        <f t="shared" si="28"/>
        <v>0</v>
      </c>
      <c r="T119" s="143">
        <f t="shared" si="28"/>
        <v>90</v>
      </c>
      <c r="U119" s="143">
        <f t="shared" si="28"/>
        <v>22</v>
      </c>
      <c r="V119" s="143">
        <f t="shared" si="28"/>
        <v>0</v>
      </c>
      <c r="W119" s="143">
        <f t="shared" si="28"/>
        <v>0</v>
      </c>
      <c r="X119" s="143">
        <f t="shared" si="28"/>
        <v>0</v>
      </c>
      <c r="Y119" s="143">
        <f t="shared" si="28"/>
        <v>660</v>
      </c>
      <c r="Z119" s="143">
        <f t="shared" si="28"/>
        <v>0</v>
      </c>
      <c r="AA119" s="143">
        <f>SUM(O119:Z119)</f>
        <v>772</v>
      </c>
      <c r="AB119" s="144">
        <f>IF(AA119=0,"",IFERROR(AA119/AA$19,""))</f>
        <v>1.5355025290044892E-2</v>
      </c>
      <c r="AC119" s="140"/>
      <c r="AD119" s="143">
        <f>AD99+AD106+AD113</f>
        <v>0</v>
      </c>
      <c r="AE119" s="144" t="str">
        <f>IF(AD119=0,"",IFERROR(AD119/AD$19,""))</f>
        <v/>
      </c>
      <c r="AF119" s="145">
        <f>IF(AND($AA119="",AD119=""),"",$AA119-AD119)</f>
        <v>772</v>
      </c>
      <c r="AG119" s="143">
        <f>AG99+AG106+AG113</f>
        <v>109</v>
      </c>
      <c r="AH119" s="144">
        <f>IF(AG119=0,"",IFERROR(AG119/AG$19,""))</f>
        <v>2.7322507103225186E-3</v>
      </c>
      <c r="AI119" s="145">
        <f>IF(AND($AA119="",AG119=""),"",$AA119-AG119)</f>
        <v>663</v>
      </c>
    </row>
    <row r="120" spans="1:35" x14ac:dyDescent="0.35">
      <c r="A120" s="11"/>
      <c r="B120" s="11"/>
      <c r="C120" s="208"/>
      <c r="D120" s="11"/>
      <c r="E120" s="11"/>
      <c r="F120" s="11"/>
      <c r="G120" s="11"/>
      <c r="H120" s="185" t="s">
        <v>269</v>
      </c>
      <c r="I120" s="122"/>
      <c r="J120" s="122"/>
      <c r="K120" s="11"/>
      <c r="L120" s="90" t="str">
        <f>IF(_epmOfflineCondition_,"",_xll.EVPRO($B$1,H120,"JDEID"))</f>
        <v/>
      </c>
      <c r="M120" s="90" t="str">
        <f>IF(_epmOfflineCondition_,"",IF(AND(I120="N",J120="N"),_xll.EVPRO($B$1,H120,"PSFTID"),""))</f>
        <v/>
      </c>
      <c r="N120" s="90" t="str">
        <f>IF(_epmOfflineCondition_,"Dinner Beverage Revenue",IF(_xll.EVDES(H120,$B$1)="#NODATA","",_xll.EVDES(H120,$B$1)))</f>
        <v>Dinner Beverage Revenue</v>
      </c>
      <c r="O120" s="143">
        <f t="shared" ref="O120:Z120" si="29">O100+O107+O114</f>
        <v>0</v>
      </c>
      <c r="P120" s="143">
        <f t="shared" si="29"/>
        <v>0</v>
      </c>
      <c r="Q120" s="143">
        <f t="shared" si="29"/>
        <v>0</v>
      </c>
      <c r="R120" s="143">
        <f t="shared" si="29"/>
        <v>828</v>
      </c>
      <c r="S120" s="143">
        <f t="shared" si="29"/>
        <v>0</v>
      </c>
      <c r="T120" s="143">
        <f t="shared" si="29"/>
        <v>1365</v>
      </c>
      <c r="U120" s="143">
        <f t="shared" si="29"/>
        <v>142</v>
      </c>
      <c r="V120" s="143">
        <f t="shared" si="29"/>
        <v>0</v>
      </c>
      <c r="W120" s="143">
        <f t="shared" si="29"/>
        <v>690</v>
      </c>
      <c r="X120" s="143">
        <f t="shared" si="29"/>
        <v>0</v>
      </c>
      <c r="Y120" s="143">
        <f t="shared" si="29"/>
        <v>0</v>
      </c>
      <c r="Z120" s="143">
        <f t="shared" si="29"/>
        <v>0</v>
      </c>
      <c r="AA120" s="143">
        <f>SUM(O120:Z120)</f>
        <v>3025</v>
      </c>
      <c r="AB120" s="144">
        <f>IF(AA120=0,"",IFERROR(AA120/AA$19,""))</f>
        <v>6.0167035624852074E-2</v>
      </c>
      <c r="AC120" s="140"/>
      <c r="AD120" s="143">
        <f>AD100+AD107+AD114</f>
        <v>71818.351058941305</v>
      </c>
      <c r="AE120" s="144">
        <f>IF(AD120=0,"",IFERROR(AD120/AD$19,""))</f>
        <v>0.47999999999999909</v>
      </c>
      <c r="AF120" s="145">
        <f>IF(AND($AA120="",AD120=""),"",$AA120-AD120)</f>
        <v>-68793.351058941305</v>
      </c>
      <c r="AG120" s="143">
        <f>AG100+AG107+AG114</f>
        <v>1797</v>
      </c>
      <c r="AH120" s="144">
        <f>IF(AG120=0,"",IFERROR(AG120/AG$19,""))</f>
        <v>4.5044536939904276E-2</v>
      </c>
      <c r="AI120" s="145">
        <f>IF(AND($AA120="",AG120=""),"",$AA120-AG120)</f>
        <v>1228</v>
      </c>
    </row>
    <row r="121" spans="1:35" x14ac:dyDescent="0.35">
      <c r="A121" s="11"/>
      <c r="B121" s="11"/>
      <c r="C121" s="208"/>
      <c r="D121" s="11"/>
      <c r="E121" s="11"/>
      <c r="F121" s="11"/>
      <c r="G121" s="11"/>
      <c r="H121" s="185" t="s">
        <v>791</v>
      </c>
      <c r="I121" s="122"/>
      <c r="J121" s="122"/>
      <c r="K121" s="11"/>
      <c r="L121" s="90" t="str">
        <f>IF(_epmOfflineCondition_,"",_xll.EVPRO($B$1,H121,"JDEID"))</f>
        <v/>
      </c>
      <c r="M121" s="90" t="str">
        <f>IF(_epmOfflineCondition_,"",IF(AND(I121="N",J121="N"),_xll.EVPRO($B$1,H121,"PSFTID"),""))</f>
        <v/>
      </c>
      <c r="N121" s="90" t="str">
        <f>IF(_epmOfflineCondition_,"Reception Beverage Revenue",IF(_xll.EVDES(H121,$B$1)="#NODATA","",_xll.EVDES(H121,$B$1)))</f>
        <v>Reception Beverage Revenue</v>
      </c>
      <c r="O121" s="143">
        <f t="shared" ref="O121:Z121" si="30">O101+O108+O115</f>
        <v>0</v>
      </c>
      <c r="P121" s="143">
        <f t="shared" si="30"/>
        <v>0</v>
      </c>
      <c r="Q121" s="143">
        <f t="shared" si="30"/>
        <v>0</v>
      </c>
      <c r="R121" s="143">
        <f t="shared" si="30"/>
        <v>0</v>
      </c>
      <c r="S121" s="143">
        <f t="shared" si="30"/>
        <v>0</v>
      </c>
      <c r="T121" s="143">
        <f t="shared" si="30"/>
        <v>0</v>
      </c>
      <c r="U121" s="143">
        <f t="shared" si="30"/>
        <v>0</v>
      </c>
      <c r="V121" s="143">
        <f t="shared" si="30"/>
        <v>0</v>
      </c>
      <c r="W121" s="143">
        <f t="shared" si="30"/>
        <v>0</v>
      </c>
      <c r="X121" s="143">
        <f t="shared" si="30"/>
        <v>0</v>
      </c>
      <c r="Y121" s="143">
        <f t="shared" si="30"/>
        <v>0</v>
      </c>
      <c r="Z121" s="143">
        <f t="shared" si="30"/>
        <v>0</v>
      </c>
      <c r="AA121" s="143">
        <f>SUM(O121:Z121)</f>
        <v>0</v>
      </c>
      <c r="AB121" s="144" t="str">
        <f>IF(AA121=0,"",IFERROR(AA121/AA$19,""))</f>
        <v/>
      </c>
      <c r="AC121" s="140"/>
      <c r="AD121" s="143">
        <f>AD101+AD108+AD115</f>
        <v>0</v>
      </c>
      <c r="AE121" s="144" t="str">
        <f>IF(AD121=0,"",IFERROR(AD121/AD$19,""))</f>
        <v/>
      </c>
      <c r="AF121" s="145">
        <f>IF(AND($AA121="",AD121=""),"",$AA121-AD121)</f>
        <v>0</v>
      </c>
      <c r="AG121" s="143">
        <f>AG101+AG108+AG115</f>
        <v>2922</v>
      </c>
      <c r="AH121" s="144">
        <f>IF(AG121=0,"",IFERROR(AG121/AG$19,""))</f>
        <v>7.324437225286605E-2</v>
      </c>
      <c r="AI121" s="145">
        <f>IF(AND($AA121="",AG121=""),"",$AA121-AG121)</f>
        <v>-2922</v>
      </c>
    </row>
    <row r="122" spans="1:35" x14ac:dyDescent="0.35">
      <c r="A122" s="11"/>
      <c r="B122" s="11"/>
      <c r="C122" s="208"/>
      <c r="D122" s="11"/>
      <c r="E122" s="11"/>
      <c r="F122" s="11"/>
      <c r="G122" s="11"/>
      <c r="H122" s="88" t="s">
        <v>272</v>
      </c>
      <c r="I122" s="122"/>
      <c r="J122" s="122"/>
      <c r="K122" s="11"/>
      <c r="L122" s="90" t="str">
        <f>IF(_epmOfflineCondition_,"",_xll.EVPRO($B$1,H122,"JDEID"))</f>
        <v/>
      </c>
      <c r="M122" s="90" t="str">
        <f>IF(_epmOfflineCondition_,"",IF(AND(I122="N",J122="N"),_xll.EVPRO($B$1,H122,"PSFTID"),""))</f>
        <v/>
      </c>
      <c r="N122" s="106" t="str">
        <f>IF(_epmOfflineCondition_,"Total Beverage Revenue",IF(_xll.EVDES(H122,$B$1)="#NODATA","",_xll.EVDES(H122,$B$1)))</f>
        <v>Total Beverage Revenue</v>
      </c>
      <c r="O122" s="166">
        <f t="shared" ref="O122:Z122" si="31">SUM(O118:O121)</f>
        <v>0</v>
      </c>
      <c r="P122" s="166">
        <f t="shared" si="31"/>
        <v>0</v>
      </c>
      <c r="Q122" s="166">
        <f t="shared" si="31"/>
        <v>0</v>
      </c>
      <c r="R122" s="166">
        <f t="shared" si="31"/>
        <v>828</v>
      </c>
      <c r="S122" s="166">
        <f t="shared" si="31"/>
        <v>0</v>
      </c>
      <c r="T122" s="166">
        <f t="shared" si="31"/>
        <v>1455</v>
      </c>
      <c r="U122" s="166">
        <f t="shared" si="31"/>
        <v>164</v>
      </c>
      <c r="V122" s="166">
        <f t="shared" si="31"/>
        <v>0</v>
      </c>
      <c r="W122" s="166">
        <f t="shared" si="31"/>
        <v>690</v>
      </c>
      <c r="X122" s="166">
        <f t="shared" si="31"/>
        <v>0</v>
      </c>
      <c r="Y122" s="166">
        <f t="shared" si="31"/>
        <v>660</v>
      </c>
      <c r="Z122" s="166">
        <f t="shared" si="31"/>
        <v>0</v>
      </c>
      <c r="AA122" s="166">
        <f>SUM(O122:Z122)</f>
        <v>3797</v>
      </c>
      <c r="AB122" s="167">
        <f>IF(AA122=0,"",IFERROR(AA122/AA$19,""))</f>
        <v>7.5522060914896966E-2</v>
      </c>
      <c r="AC122" s="140"/>
      <c r="AD122" s="166">
        <f>SUM(AD118:AD121)</f>
        <v>71818.351058941305</v>
      </c>
      <c r="AE122" s="167">
        <f>IF(AD122=0,"",IFERROR(AD122/AD$19,""))</f>
        <v>0.47999999999999909</v>
      </c>
      <c r="AF122" s="168">
        <f>IF(AND($AA122="",AD122=""),"",$AA122-AD122)</f>
        <v>-68021.351058941305</v>
      </c>
      <c r="AG122" s="166">
        <f>SUM(AG118:AG121)</f>
        <v>5086.99</v>
      </c>
      <c r="AH122" s="167">
        <f>IF(AG122=0,"",IFERROR(AG122/AG$19,""))</f>
        <v>0.12751313798994079</v>
      </c>
      <c r="AI122" s="168">
        <f>IF(AND($AA122="",AG122=""),"",$AA122-AG122)</f>
        <v>-1289.9899999999998</v>
      </c>
    </row>
    <row r="123" spans="1:35" x14ac:dyDescent="0.35">
      <c r="A123" s="11"/>
      <c r="B123" s="11"/>
      <c r="C123" s="208"/>
      <c r="D123" s="11"/>
      <c r="E123" s="11"/>
      <c r="F123" s="11"/>
      <c r="G123" s="11"/>
      <c r="H123" s="185"/>
      <c r="I123" s="122"/>
      <c r="J123" s="122"/>
      <c r="K123" s="11"/>
      <c r="L123" s="11"/>
      <c r="M123" s="11"/>
      <c r="N123" s="11"/>
      <c r="O123" s="511">
        <f t="shared" ref="O123:AA123" si="32">O102+O109+O116-O122</f>
        <v>0</v>
      </c>
      <c r="P123" s="511">
        <f t="shared" si="32"/>
        <v>0</v>
      </c>
      <c r="Q123" s="511">
        <f t="shared" si="32"/>
        <v>0</v>
      </c>
      <c r="R123" s="511">
        <f t="shared" si="32"/>
        <v>0</v>
      </c>
      <c r="S123" s="511">
        <f t="shared" si="32"/>
        <v>0</v>
      </c>
      <c r="T123" s="511">
        <f t="shared" si="32"/>
        <v>0</v>
      </c>
      <c r="U123" s="511">
        <f t="shared" si="32"/>
        <v>0</v>
      </c>
      <c r="V123" s="511">
        <f t="shared" si="32"/>
        <v>0</v>
      </c>
      <c r="W123" s="511">
        <f t="shared" si="32"/>
        <v>0</v>
      </c>
      <c r="X123" s="511">
        <f t="shared" si="32"/>
        <v>0</v>
      </c>
      <c r="Y123" s="511">
        <f t="shared" si="32"/>
        <v>0</v>
      </c>
      <c r="Z123" s="511">
        <f t="shared" si="32"/>
        <v>0</v>
      </c>
      <c r="AA123" s="511">
        <f t="shared" si="32"/>
        <v>0</v>
      </c>
      <c r="AB123" s="144"/>
      <c r="AC123" s="140"/>
      <c r="AD123" s="511">
        <f>AD102+AD109+AD116-AD122</f>
        <v>0</v>
      </c>
      <c r="AE123" s="144"/>
      <c r="AF123" s="143"/>
      <c r="AG123" s="511">
        <f>AG102+AG109+AG116-AG122</f>
        <v>0</v>
      </c>
      <c r="AH123" s="144"/>
      <c r="AI123" s="143"/>
    </row>
    <row r="124" spans="1:35" x14ac:dyDescent="0.35">
      <c r="A124" s="11"/>
      <c r="B124" s="11"/>
      <c r="C124" s="208"/>
      <c r="D124" s="11"/>
      <c r="E124" s="11"/>
      <c r="F124" s="11"/>
      <c r="G124" s="11"/>
      <c r="H124" s="185"/>
      <c r="I124" s="122"/>
      <c r="J124" s="122"/>
      <c r="K124" s="11"/>
      <c r="L124" s="11"/>
      <c r="M124" s="11"/>
      <c r="N124" s="11"/>
      <c r="O124" s="174"/>
      <c r="P124" s="175"/>
      <c r="Q124" s="175"/>
      <c r="R124" s="175"/>
      <c r="S124" s="175"/>
      <c r="T124" s="175"/>
      <c r="U124" s="175"/>
      <c r="V124" s="175"/>
      <c r="W124" s="175"/>
      <c r="X124" s="175"/>
      <c r="Y124" s="175"/>
      <c r="Z124" s="175"/>
      <c r="AA124" s="175"/>
      <c r="AB124" s="176"/>
      <c r="AC124" s="140"/>
      <c r="AD124" s="174"/>
      <c r="AE124" s="175"/>
      <c r="AF124" s="176"/>
      <c r="AG124" s="174"/>
      <c r="AH124" s="175"/>
      <c r="AI124" s="176"/>
    </row>
    <row r="125" spans="1:35" ht="15.5" x14ac:dyDescent="0.35">
      <c r="A125" s="11"/>
      <c r="B125" s="11"/>
      <c r="C125" s="208"/>
      <c r="D125" s="11"/>
      <c r="E125" s="11"/>
      <c r="F125" s="11"/>
      <c r="G125" s="11"/>
      <c r="H125" s="185" t="s">
        <v>281</v>
      </c>
      <c r="I125" s="122"/>
      <c r="J125" s="122"/>
      <c r="K125" s="11"/>
      <c r="L125" s="11"/>
      <c r="M125" s="11"/>
      <c r="N125" s="489" t="str">
        <f>IF(_epmOfflineCondition_,"Cost of Sales",IF(_xll.EVDES(H125,$B$1)="#NODATA","",_xll.EVDES(H125,$B$1)))</f>
        <v>Cost of Sales</v>
      </c>
      <c r="O125" s="518"/>
      <c r="P125" s="519"/>
      <c r="Q125" s="519"/>
      <c r="R125" s="519"/>
      <c r="S125" s="519"/>
      <c r="T125" s="519"/>
      <c r="U125" s="519"/>
      <c r="V125" s="519"/>
      <c r="W125" s="519"/>
      <c r="X125" s="519"/>
      <c r="Y125" s="519"/>
      <c r="Z125" s="519"/>
      <c r="AA125" s="519"/>
      <c r="AB125" s="520"/>
      <c r="AC125" s="140"/>
      <c r="AD125" s="518"/>
      <c r="AE125" s="519"/>
      <c r="AF125" s="519"/>
      <c r="AG125" s="519"/>
      <c r="AH125" s="519"/>
      <c r="AI125" s="520"/>
    </row>
    <row r="126" spans="1:35" x14ac:dyDescent="0.35">
      <c r="A126" s="11"/>
      <c r="B126" s="11"/>
      <c r="C126" s="208"/>
      <c r="D126" s="11"/>
      <c r="E126" s="11"/>
      <c r="F126" s="11"/>
      <c r="G126" s="11"/>
      <c r="H126" s="185">
        <v>561100</v>
      </c>
      <c r="I126" s="122"/>
      <c r="J126" s="122"/>
      <c r="K126" s="11"/>
      <c r="L126" s="90" t="str">
        <f>IF(_epmOfflineCondition_,"561100",_xll.EVPRO($B$1,H126,"JDEID"))</f>
        <v>561100</v>
      </c>
      <c r="M126" s="90" t="str">
        <f>IF(_epmOfflineCondition_,"",IF(AND(I126="N",J126="N"),_xll.EVPRO($B$1,H126,"PSFTID"),""))</f>
        <v/>
      </c>
      <c r="N126" s="90" t="str">
        <f>IF(_epmOfflineCondition_,"Cost of Food Sales",IF(_xll.EVDES(H126,$B$1)="#NODATA","",_xll.EVDES(H126,$B$1)))</f>
        <v>Cost of Food Sales</v>
      </c>
      <c r="O126" s="143"/>
      <c r="P126" s="143"/>
      <c r="Q126" s="143">
        <v>116</v>
      </c>
      <c r="R126" s="143">
        <v>2712.82</v>
      </c>
      <c r="S126" s="143">
        <v>317.68</v>
      </c>
      <c r="T126" s="143">
        <v>702.24</v>
      </c>
      <c r="U126" s="143">
        <v>5.23</v>
      </c>
      <c r="V126" s="143"/>
      <c r="W126" s="143">
        <v>1195.48</v>
      </c>
      <c r="X126" s="143">
        <v>1408.58</v>
      </c>
      <c r="Y126" s="143">
        <v>2699.24</v>
      </c>
      <c r="Z126" s="143">
        <v>773.7</v>
      </c>
      <c r="AA126" s="143">
        <f>SUM(O126:Z126)</f>
        <v>9930.9700000000012</v>
      </c>
      <c r="AB126" s="436">
        <f>IF(_epmOfflineCondition_,0.213662523639352,IF(AA126=0,"",IFERROR(AA126/_xll.EVGTS($B$1,1,_xll.EVPRO($B$1,$H126,"COSBASIS"),$B$3,$B$5,$B$6,$B$7,$B$9,AA$16,AA$17,AA$11),"")))</f>
        <v>0.21366252363935201</v>
      </c>
      <c r="AC126" s="140"/>
      <c r="AD126" s="143">
        <v>15560.64</v>
      </c>
      <c r="AE126" s="436">
        <f>IF(_epmOfflineCondition_,0.199999964918708,IF(AD126=0,"",IFERROR(AD126/_xll.EVGTS($B$1,1,_xll.EVPRO($B$1,$H126,"COSBASIS"),$B$3,$B$5,$B$6,$B$7,$B$9,AD$16,AD$17,AD$18),"")))</f>
        <v>0.199999964918708</v>
      </c>
      <c r="AF126" s="145">
        <f t="shared" ref="AF126:AF137" si="33">IF(AND($AA126="",AD126=""),"",$AA126-AD126)</f>
        <v>-5629.6699999999983</v>
      </c>
      <c r="AG126" s="143">
        <v>9189.52</v>
      </c>
      <c r="AH126" s="436">
        <f>IF(_epmOfflineCondition_,0.264014622404894,IF(AG126=0,"",IFERROR(AG126/_xll.EVGTS($B$1,1,_xll.EVPRO($B$1,$H126,"COSBASIS"),$B$3,$B$5,$B$6,$B$7,$B$9,AG$16,AG$17,AG$18),"")))</f>
        <v>0.26401462240489398</v>
      </c>
      <c r="AI126" s="145">
        <f t="shared" ref="AI126:AI137" si="34">IF(AND($AA126="",AG126=""),"",$AA126-AG126)</f>
        <v>741.45000000000073</v>
      </c>
    </row>
    <row r="127" spans="1:35" x14ac:dyDescent="0.35">
      <c r="A127" s="11"/>
      <c r="B127" s="11"/>
      <c r="C127" s="208"/>
      <c r="D127" s="11"/>
      <c r="E127" s="11"/>
      <c r="F127" s="11"/>
      <c r="G127" s="11"/>
      <c r="H127" s="185" t="s">
        <v>756</v>
      </c>
      <c r="I127" s="122"/>
      <c r="J127" s="122"/>
      <c r="K127" s="11"/>
      <c r="L127" s="90" t="str">
        <f>IF(_epmOfflineCondition_,"",_xll.EVPRO($B$1,H127,"JDEID"))</f>
        <v/>
      </c>
      <c r="M127" s="90" t="str">
        <f>IF(_epmOfflineCondition_,"",IF(AND(I127="N",J127="N"),_xll.EVPRO($B$1,H127,"PSFTID"),""))</f>
        <v/>
      </c>
      <c r="N127" s="493" t="str">
        <f>IF(_epmOfflineCondition_,"Food Cost %",IF(_xll.EVDES(H127,$B$1)="#NODATA","",_xll.EVDES(H127,$B$1)))</f>
        <v>Food Cost %</v>
      </c>
      <c r="O127" s="508"/>
      <c r="P127" s="508"/>
      <c r="Q127" s="508">
        <v>0.20900900900900901</v>
      </c>
      <c r="R127" s="508">
        <v>0.20899999999999999</v>
      </c>
      <c r="S127" s="508">
        <v>0.20899999999999999</v>
      </c>
      <c r="T127" s="508">
        <v>0.20899999999999999</v>
      </c>
      <c r="U127" s="508">
        <v>0.2092</v>
      </c>
      <c r="V127" s="508"/>
      <c r="W127" s="508">
        <v>0.20899999999999999</v>
      </c>
      <c r="X127" s="508">
        <v>0.244049413517681</v>
      </c>
      <c r="Y127" s="508">
        <v>0.209000387146729</v>
      </c>
      <c r="Z127" s="508">
        <v>0.21296449215524399</v>
      </c>
      <c r="AA127" s="508">
        <v>0.21366252363935201</v>
      </c>
      <c r="AB127" s="436"/>
      <c r="AC127" s="140"/>
      <c r="AD127" s="508">
        <v>0.199999964918708</v>
      </c>
      <c r="AE127" s="436"/>
      <c r="AF127" s="521">
        <f t="shared" si="33"/>
        <v>1.3662558720644008E-2</v>
      </c>
      <c r="AG127" s="508">
        <v>0.26401462240489398</v>
      </c>
      <c r="AH127" s="436"/>
      <c r="AI127" s="521">
        <f t="shared" si="34"/>
        <v>-5.0352098765541975E-2</v>
      </c>
    </row>
    <row r="128" spans="1:35" x14ac:dyDescent="0.35">
      <c r="A128" s="11"/>
      <c r="B128" s="11"/>
      <c r="C128" s="208"/>
      <c r="D128" s="11"/>
      <c r="E128" s="11"/>
      <c r="F128" s="11"/>
      <c r="G128" s="11"/>
      <c r="H128" s="185" t="s">
        <v>636</v>
      </c>
      <c r="I128" s="122"/>
      <c r="J128" s="122"/>
      <c r="K128" s="11"/>
      <c r="L128" s="90" t="str">
        <f>IF(_epmOfflineCondition_,"",_xll.EVPRO($B$1,H128,"JDEID"))</f>
        <v/>
      </c>
      <c r="M128" s="90" t="str">
        <f>IF(_epmOfflineCondition_,"",IF(AND(I128="N",J128="N"),_xll.EVPRO($B$1,H128,"PSFTID"),""))</f>
        <v/>
      </c>
      <c r="N128" s="90" t="str">
        <f>IF(_epmOfflineCondition_,"Cost of Beverage Sales",IF(_xll.EVDES(H128,$B$1)="#NODATA","",_xll.EVDES(H128,$B$1)))</f>
        <v>Cost of Beverage Sales</v>
      </c>
      <c r="O128" s="143"/>
      <c r="P128" s="143"/>
      <c r="Q128" s="143"/>
      <c r="R128" s="143">
        <v>161.46</v>
      </c>
      <c r="S128" s="143"/>
      <c r="T128" s="143">
        <v>283.73</v>
      </c>
      <c r="U128" s="143">
        <v>31.98</v>
      </c>
      <c r="V128" s="143"/>
      <c r="W128" s="143">
        <v>134.55000000000001</v>
      </c>
      <c r="X128" s="143"/>
      <c r="Y128" s="143">
        <v>128.69999999999999</v>
      </c>
      <c r="Z128" s="143"/>
      <c r="AA128" s="143">
        <f>SUM(O128:Z128)</f>
        <v>740.42000000000007</v>
      </c>
      <c r="AB128" s="436">
        <f>IF(_epmOfflineCondition_,0.195001316829076,IF(AA128=0,"",IFERROR(AA128/_xll.EVGTS($B$1,1,_xll.EVPRO($B$1,$H128,"COSBASIS"),$B$3,$B$5,$B$6,$B$7,$B$9,AA$16,AA$17,AA$11),"")))</f>
        <v>0.19500131682907601</v>
      </c>
      <c r="AC128" s="140"/>
      <c r="AD128" s="143">
        <v>12687.91</v>
      </c>
      <c r="AE128" s="436">
        <f>IF(_epmOfflineCondition_,0.176666684947793,IF(AD128=0,"",IFERROR(AD128/_xll.EVGTS($B$1,1,_xll.EVPRO($B$1,$H128,"COSBASIS"),$B$3,$B$5,$B$6,$B$7,$B$9,AD$16,AD$17,AD$18),"")))</f>
        <v>0.176666684947793</v>
      </c>
      <c r="AF128" s="145">
        <f t="shared" si="33"/>
        <v>-11947.49</v>
      </c>
      <c r="AG128" s="143">
        <v>610.94000000000005</v>
      </c>
      <c r="AH128" s="436">
        <f>IF(_epmOfflineCondition_,0.120098525847309,IF(AG128=0,"",IFERROR(AG128/_xll.EVGTS($B$1,1,_xll.EVPRO($B$1,$H128,"COSBASIS"),$B$3,$B$5,$B$6,$B$7,$B$9,AG$16,AG$17,AG$18),"")))</f>
        <v>0.120098525847309</v>
      </c>
      <c r="AI128" s="145">
        <f t="shared" si="34"/>
        <v>129.48000000000002</v>
      </c>
    </row>
    <row r="129" spans="1:35" x14ac:dyDescent="0.35">
      <c r="A129" s="11"/>
      <c r="B129" s="11"/>
      <c r="C129" s="208"/>
      <c r="D129" s="11"/>
      <c r="E129" s="11"/>
      <c r="F129" s="11"/>
      <c r="G129" s="11"/>
      <c r="H129" s="185" t="s">
        <v>757</v>
      </c>
      <c r="I129" s="122"/>
      <c r="J129" s="122"/>
      <c r="K129" s="11"/>
      <c r="L129" s="90" t="str">
        <f>IF(_epmOfflineCondition_,"",_xll.EVPRO($B$1,H129,"JDEID"))</f>
        <v/>
      </c>
      <c r="M129" s="90" t="str">
        <f>IF(_epmOfflineCondition_,"",IF(AND(I129="N",J129="N"),_xll.EVPRO($B$1,H129,"PSFTID"),""))</f>
        <v/>
      </c>
      <c r="N129" s="493" t="str">
        <f>IF(_epmOfflineCondition_,"Beverage Cost %",IF(_xll.EVDES(H129,$B$1)="#NODATA","",_xll.EVDES(H129,$B$1)))</f>
        <v>Beverage Cost %</v>
      </c>
      <c r="O129" s="508"/>
      <c r="P129" s="508"/>
      <c r="Q129" s="508"/>
      <c r="R129" s="508">
        <v>0.19500000000000001</v>
      </c>
      <c r="S129" s="508"/>
      <c r="T129" s="508">
        <v>0.19500343642611701</v>
      </c>
      <c r="U129" s="508">
        <v>0.19500000000000001</v>
      </c>
      <c r="V129" s="508"/>
      <c r="W129" s="508">
        <v>0.19500000000000001</v>
      </c>
      <c r="X129" s="508"/>
      <c r="Y129" s="508">
        <v>0.19500000000000001</v>
      </c>
      <c r="Z129" s="508"/>
      <c r="AA129" s="508">
        <v>0.19500131682907601</v>
      </c>
      <c r="AB129" s="436"/>
      <c r="AC129" s="140"/>
      <c r="AD129" s="508">
        <v>0.176666684947793</v>
      </c>
      <c r="AE129" s="436"/>
      <c r="AF129" s="521">
        <f t="shared" si="33"/>
        <v>1.8334631881283009E-2</v>
      </c>
      <c r="AG129" s="508">
        <v>0.120098525847309</v>
      </c>
      <c r="AH129" s="436"/>
      <c r="AI129" s="521">
        <f t="shared" si="34"/>
        <v>7.4902790981767012E-2</v>
      </c>
    </row>
    <row r="130" spans="1:35" x14ac:dyDescent="0.35">
      <c r="A130" s="11"/>
      <c r="B130" s="11"/>
      <c r="C130" s="208"/>
      <c r="D130" s="11"/>
      <c r="E130" s="11"/>
      <c r="F130" s="11"/>
      <c r="G130" s="11"/>
      <c r="H130" s="185" t="s">
        <v>755</v>
      </c>
      <c r="I130" s="122"/>
      <c r="J130" s="122"/>
      <c r="K130" s="11"/>
      <c r="L130" s="90" t="str">
        <f>IF(_epmOfflineCondition_,"561300",_xll.EVPRO($B$1,H130,"JDEID"))</f>
        <v>561300</v>
      </c>
      <c r="M130" s="90" t="str">
        <f>IF(_epmOfflineCondition_,"",IF(AND(I130="N",J130="N"),_xll.EVPRO($B$1,H130,"PSFTID"),""))</f>
        <v/>
      </c>
      <c r="N130" s="90" t="str">
        <f>IF(_epmOfflineCondition_,"Liquor Cost of Sales",IF(_xll.EVDES(H130,$B$1)="#NODATA","",_xll.EVDES(H130,$B$1)))</f>
        <v>Liquor Cost of Sales</v>
      </c>
      <c r="O130" s="143"/>
      <c r="P130" s="143"/>
      <c r="Q130" s="143"/>
      <c r="R130" s="143">
        <v>161.46</v>
      </c>
      <c r="S130" s="143"/>
      <c r="T130" s="143">
        <v>283.73</v>
      </c>
      <c r="U130" s="143">
        <v>31.98</v>
      </c>
      <c r="V130" s="143"/>
      <c r="W130" s="143">
        <v>134.55000000000001</v>
      </c>
      <c r="X130" s="143"/>
      <c r="Y130" s="143">
        <v>128.69999999999999</v>
      </c>
      <c r="Z130" s="143"/>
      <c r="AA130" s="143">
        <f>SUM(O130:Z130)</f>
        <v>740.42000000000007</v>
      </c>
      <c r="AB130" s="436">
        <f>IF(_epmOfflineCondition_,0.195001316829076,IF(AA130=0,"",IFERROR(AA130/_xll.EVGTS($B$1,1,_xll.EVPRO($B$1,$H130,"COSBASIS"),$B$3,$B$5,$B$6,$B$7,$B$9,AA$16,AA$17,AA$11),"")))</f>
        <v>0.19500131682907601</v>
      </c>
      <c r="AC130" s="140"/>
      <c r="AD130" s="143">
        <v>5925.02</v>
      </c>
      <c r="AE130" s="436">
        <f>IF(_epmOfflineCondition_,0.180000183421462,IF(AD130=0,"",IFERROR(AD130/_xll.EVGTS($B$1,1,_xll.EVPRO($B$1,$H130,"COSBASIS"),$B$3,$B$5,$B$6,$B$7,$B$9,AD$16,AD$17,AD$18),"")))</f>
        <v>0.18000018342146201</v>
      </c>
      <c r="AF130" s="145">
        <f t="shared" si="33"/>
        <v>-5184.6000000000004</v>
      </c>
      <c r="AG130" s="143">
        <v>373.82</v>
      </c>
      <c r="AH130" s="436">
        <f>IF(_epmOfflineCondition_,0.195003625475355,IF(AG130=0,"",IFERROR(AG130/_xll.EVGTS($B$1,1,_xll.EVPRO($B$1,$H130,"COSBASIS"),$B$3,$B$5,$B$6,$B$7,$B$9,AG$16,AG$17,AG$18),"")))</f>
        <v>0.19500362547535499</v>
      </c>
      <c r="AI130" s="145">
        <f t="shared" si="34"/>
        <v>366.60000000000008</v>
      </c>
    </row>
    <row r="131" spans="1:35" x14ac:dyDescent="0.35">
      <c r="A131" s="11"/>
      <c r="B131" s="11"/>
      <c r="C131" s="208"/>
      <c r="D131" s="11"/>
      <c r="E131" s="11"/>
      <c r="F131" s="11"/>
      <c r="G131" s="11"/>
      <c r="H131" s="185" t="s">
        <v>758</v>
      </c>
      <c r="I131" s="122"/>
      <c r="J131" s="122"/>
      <c r="K131" s="11"/>
      <c r="L131" s="90" t="str">
        <f>IF(_epmOfflineCondition_,"",_xll.EVPRO($B$1,H131,"JDEID"))</f>
        <v/>
      </c>
      <c r="M131" s="90" t="str">
        <f>IF(_epmOfflineCondition_,"",IF(AND(I131="N",J131="N"),_xll.EVPRO($B$1,H131,"PSFTID"),""))</f>
        <v/>
      </c>
      <c r="N131" s="493" t="str">
        <f>IF(_epmOfflineCondition_,"Liquor Cost %",IF(_xll.EVDES(H131,$B$1)="#NODATA","",_xll.EVDES(H131,$B$1)))</f>
        <v>Liquor Cost %</v>
      </c>
      <c r="O131" s="508"/>
      <c r="P131" s="508"/>
      <c r="Q131" s="508"/>
      <c r="R131" s="508">
        <v>0.19500000000000001</v>
      </c>
      <c r="S131" s="508"/>
      <c r="T131" s="508">
        <v>0.19500343642611701</v>
      </c>
      <c r="U131" s="508">
        <v>0.19500000000000001</v>
      </c>
      <c r="V131" s="508"/>
      <c r="W131" s="508">
        <v>0.19500000000000001</v>
      </c>
      <c r="X131" s="508"/>
      <c r="Y131" s="508">
        <v>0.19500000000000001</v>
      </c>
      <c r="Z131" s="508"/>
      <c r="AA131" s="508">
        <v>0.19500131682907601</v>
      </c>
      <c r="AB131" s="436"/>
      <c r="AC131" s="140"/>
      <c r="AD131" s="508">
        <v>0.18000018342146201</v>
      </c>
      <c r="AE131" s="436"/>
      <c r="AF131" s="521">
        <f t="shared" si="33"/>
        <v>1.5001133407613998E-2</v>
      </c>
      <c r="AG131" s="508">
        <v>0.19500362547535499</v>
      </c>
      <c r="AH131" s="436"/>
      <c r="AI131" s="521">
        <f t="shared" si="34"/>
        <v>-2.3086462789811968E-6</v>
      </c>
    </row>
    <row r="132" spans="1:35" x14ac:dyDescent="0.35">
      <c r="A132" s="11"/>
      <c r="B132" s="11"/>
      <c r="C132" s="208"/>
      <c r="D132" s="11"/>
      <c r="E132" s="11"/>
      <c r="F132" s="11"/>
      <c r="G132" s="11"/>
      <c r="H132" s="185">
        <v>561400</v>
      </c>
      <c r="I132" s="122"/>
      <c r="J132" s="122"/>
      <c r="K132" s="11"/>
      <c r="L132" s="90" t="str">
        <f>IF(_epmOfflineCondition_,"561400",_xll.EVPRO($B$1,H132,"JDEID"))</f>
        <v>561400</v>
      </c>
      <c r="M132" s="90" t="str">
        <f>IF(_epmOfflineCondition_,"",IF(AND(I132="N",J132="N"),_xll.EVPRO($B$1,H132,"PSFTID"),""))</f>
        <v/>
      </c>
      <c r="N132" s="90" t="str">
        <f>IF(_epmOfflineCondition_,"Beer Cost of Sales",IF(_xll.EVDES(H132,$B$1)="#NODATA","",_xll.EVDES(H132,$B$1)))</f>
        <v>Beer Cost of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v>837.87</v>
      </c>
      <c r="AE132" s="436">
        <f>IF(_epmOfflineCondition_,0.139998201737441,IF(AD132=0,"",IFERROR(AD132/_xll.EVGTS($B$1,1,_xll.EVPRO($B$1,$H132,"COSBASIS"),$B$3,$B$5,$B$6,$B$7,$B$9,AD$16,AD$17,AD$18),"")))</f>
        <v>0.13999820173744101</v>
      </c>
      <c r="AF132" s="145">
        <f t="shared" si="33"/>
        <v>-837.87</v>
      </c>
      <c r="AG132" s="143">
        <v>82.32</v>
      </c>
      <c r="AH132" s="436">
        <f>IF(_epmOfflineCondition_,0.21,IF(AG132=0,"",IFERROR(AG132/_xll.EVGTS($B$1,1,_xll.EVPRO($B$1,$H132,"COSBASIS"),$B$3,$B$5,$B$6,$B$7,$B$9,AG$16,AG$17,AG$18),"")))</f>
        <v>0.21</v>
      </c>
      <c r="AI132" s="145">
        <f t="shared" si="34"/>
        <v>-82.32</v>
      </c>
    </row>
    <row r="133" spans="1:35" x14ac:dyDescent="0.35">
      <c r="A133" s="11"/>
      <c r="B133" s="11"/>
      <c r="C133" s="208"/>
      <c r="D133" s="11"/>
      <c r="E133" s="11"/>
      <c r="F133" s="11"/>
      <c r="G133" s="11"/>
      <c r="H133" s="185" t="s">
        <v>759</v>
      </c>
      <c r="I133" s="122"/>
      <c r="J133" s="122"/>
      <c r="K133" s="11"/>
      <c r="L133" s="90" t="str">
        <f>IF(_epmOfflineCondition_,"",_xll.EVPRO($B$1,H133,"JDEID"))</f>
        <v/>
      </c>
      <c r="M133" s="90" t="str">
        <f>IF(_epmOfflineCondition_,"",IF(AND(I133="N",J133="N"),_xll.EVPRO($B$1,H133,"PSFTID"),""))</f>
        <v/>
      </c>
      <c r="N133" s="493" t="str">
        <f>IF(_epmOfflineCondition_,"Beer Cost %",IF(_xll.EVDES(H133,$B$1)="#NODATA","",_xll.EVDES(H133,$B$1)))</f>
        <v>Beer Cost %</v>
      </c>
      <c r="O133" s="508"/>
      <c r="P133" s="508"/>
      <c r="Q133" s="508"/>
      <c r="R133" s="508"/>
      <c r="S133" s="508"/>
      <c r="T133" s="508"/>
      <c r="U133" s="508"/>
      <c r="V133" s="508"/>
      <c r="W133" s="508"/>
      <c r="X133" s="508"/>
      <c r="Y133" s="508"/>
      <c r="Z133" s="508"/>
      <c r="AA133" s="508"/>
      <c r="AB133" s="436"/>
      <c r="AC133" s="140"/>
      <c r="AD133" s="508">
        <v>0.13999820173744101</v>
      </c>
      <c r="AE133" s="436"/>
      <c r="AF133" s="521">
        <f t="shared" si="33"/>
        <v>-0.13999820173744101</v>
      </c>
      <c r="AG133" s="508">
        <v>0.21</v>
      </c>
      <c r="AH133" s="436"/>
      <c r="AI133" s="521">
        <f t="shared" si="34"/>
        <v>-0.21</v>
      </c>
    </row>
    <row r="134" spans="1:35" x14ac:dyDescent="0.35">
      <c r="A134" s="11"/>
      <c r="B134" s="11"/>
      <c r="C134" s="11"/>
      <c r="D134" s="11"/>
      <c r="E134" s="11"/>
      <c r="F134" s="11"/>
      <c r="G134" s="11"/>
      <c r="H134" s="185">
        <v>561500</v>
      </c>
      <c r="I134" s="122"/>
      <c r="J134" s="122"/>
      <c r="K134" s="11"/>
      <c r="L134" s="90" t="str">
        <f>IF(_epmOfflineCondition_,"561500",_xll.EVPRO($B$1,H134,"JDEID"))</f>
        <v>561500</v>
      </c>
      <c r="M134" s="90" t="str">
        <f>IF(_epmOfflineCondition_,"",IF(AND(I134="N",J134="N"),_xll.EVPRO($B$1,H134,"PSFTID"),""))</f>
        <v/>
      </c>
      <c r="N134" s="90" t="str">
        <f>IF(_epmOfflineCondition_,"Wine Cost of Sales",IF(_xll.EVDES(H134,$B$1)="#NODATA","",_xll.EVDES(H134,$B$1)))</f>
        <v>Wine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v>5925.02</v>
      </c>
      <c r="AE134" s="436">
        <f>IF(_epmOfflineCondition_,0.180000183421462,IF(AD134=0,"",IFERROR(AD134/_xll.EVGTS($B$1,1,_xll.EVPRO($B$1,$H134,"COSBASIS"),$B$3,$B$5,$B$6,$B$7,$B$9,AD$16,AD$17,AD$18),"")))</f>
        <v>0.18000018342146201</v>
      </c>
      <c r="AF134" s="145">
        <f t="shared" si="33"/>
        <v>-5925.02</v>
      </c>
      <c r="AG134" s="143">
        <v>154.80000000000001</v>
      </c>
      <c r="AH134" s="436">
        <f>IF(_epmOfflineCondition_,0.0557235421166307,IF(AG134=0,"",IFERROR(AG134/_xll.EVGTS($B$1,1,_xll.EVPRO($B$1,$H134,"COSBASIS"),$B$3,$B$5,$B$6,$B$7,$B$9,AG$16,AG$17,AG$18),"")))</f>
        <v>5.5723542116630699E-2</v>
      </c>
      <c r="AI134" s="145">
        <f t="shared" si="34"/>
        <v>-154.80000000000001</v>
      </c>
    </row>
    <row r="135" spans="1:35" x14ac:dyDescent="0.35">
      <c r="A135" s="11"/>
      <c r="B135" s="11"/>
      <c r="C135" s="208"/>
      <c r="D135" s="11"/>
      <c r="E135" s="11"/>
      <c r="F135" s="11"/>
      <c r="G135" s="11"/>
      <c r="H135" s="185" t="s">
        <v>760</v>
      </c>
      <c r="I135" s="122"/>
      <c r="J135" s="122"/>
      <c r="K135" s="11"/>
      <c r="L135" s="90" t="str">
        <f>IF(_epmOfflineCondition_,"",_xll.EVPRO($B$1,H135,"JDEID"))</f>
        <v/>
      </c>
      <c r="M135" s="90" t="str">
        <f>IF(_epmOfflineCondition_,"",IF(AND(I135="N",J135="N"),_xll.EVPRO($B$1,H135,"PSFTID"),""))</f>
        <v/>
      </c>
      <c r="N135" s="493" t="str">
        <f>IF(_epmOfflineCondition_,"Wine Cost %",IF(_xll.EVDES(H135,$B$1)="#NODATA","",_xll.EVDES(H135,$B$1)))</f>
        <v>Wine Cost %</v>
      </c>
      <c r="O135" s="508"/>
      <c r="P135" s="508"/>
      <c r="Q135" s="508"/>
      <c r="R135" s="508"/>
      <c r="S135" s="508"/>
      <c r="T135" s="508"/>
      <c r="U135" s="508"/>
      <c r="V135" s="508"/>
      <c r="W135" s="508"/>
      <c r="X135" s="508"/>
      <c r="Y135" s="508"/>
      <c r="Z135" s="508"/>
      <c r="AA135" s="508"/>
      <c r="AB135" s="436"/>
      <c r="AC135" s="140"/>
      <c r="AD135" s="508">
        <v>0.18000018342146201</v>
      </c>
      <c r="AE135" s="436"/>
      <c r="AF135" s="521">
        <f t="shared" si="33"/>
        <v>-0.18000018342146201</v>
      </c>
      <c r="AG135" s="508">
        <v>5.5723542116630699E-2</v>
      </c>
      <c r="AH135" s="436"/>
      <c r="AI135" s="521">
        <f t="shared" si="34"/>
        <v>-5.5723542116630699E-2</v>
      </c>
    </row>
    <row r="136" spans="1:35" x14ac:dyDescent="0.35">
      <c r="A136" s="11"/>
      <c r="B136" s="11"/>
      <c r="C136" s="208"/>
      <c r="D136" s="11"/>
      <c r="E136" s="11"/>
      <c r="F136" s="11"/>
      <c r="G136" s="11"/>
      <c r="H136" s="185" t="s">
        <v>286</v>
      </c>
      <c r="I136" s="122"/>
      <c r="J136" s="122"/>
      <c r="K136" s="11"/>
      <c r="L136" s="90" t="str">
        <f>IF(_epmOfflineCondition_,"",_xll.EVPRO($B$1,H136,"JDEID"))</f>
        <v/>
      </c>
      <c r="M136" s="90" t="str">
        <f>IF(_epmOfflineCondition_,"",IF(AND(I136="N",J136="N"),_xll.EVPRO($B$1,H136,"PSFTID"),""))</f>
        <v/>
      </c>
      <c r="N136" s="90" t="str">
        <f>IF(_epmOfflineCondition_,"Total Cost of Food &amp; Beverage Sales",IF(_xll.EVDES(H136,$B$1)="#NODATA","",_xll.EVDES(H136,$B$1)))</f>
        <v>Total Cost of Food &amp; Beverage Sales</v>
      </c>
      <c r="O136" s="143"/>
      <c r="P136" s="143"/>
      <c r="Q136" s="143">
        <v>116</v>
      </c>
      <c r="R136" s="143">
        <v>2874.28</v>
      </c>
      <c r="S136" s="143">
        <v>317.68</v>
      </c>
      <c r="T136" s="143">
        <v>985.97</v>
      </c>
      <c r="U136" s="143">
        <v>37.21</v>
      </c>
      <c r="V136" s="143"/>
      <c r="W136" s="143">
        <v>1330.03</v>
      </c>
      <c r="X136" s="143">
        <v>1408.58</v>
      </c>
      <c r="Y136" s="143">
        <v>2827.94</v>
      </c>
      <c r="Z136" s="143">
        <v>773.7</v>
      </c>
      <c r="AA136" s="143">
        <f>SUM(O136:Z136)</f>
        <v>10671.390000000001</v>
      </c>
      <c r="AB136" s="436">
        <f>IF(_epmOfflineCondition_,0.212253190841881,IF(AA136=0,"",IFERROR(AA136/_xll.EVGTS($B$1,1,_xll.EVPRO($B$1,$H136,"COSBASIS"),$B$3,$B$5,$B$6,$B$7,$B$9,AA$16,AA$17,AA$11),"")))</f>
        <v>0.21225319084188099</v>
      </c>
      <c r="AC136" s="140"/>
      <c r="AD136" s="143">
        <v>28248.55</v>
      </c>
      <c r="AE136" s="436">
        <f>IF(_epmOfflineCondition_,0.188799990532668,IF(AD136=0,"",IFERROR(AD136/_xll.EVGTS($B$1,1,_xll.EVPRO($B$1,$H136,"COSBASIS"),$B$3,$B$5,$B$6,$B$7,$B$9,AD$16,AD$17,AD$18),"")))</f>
        <v>0.18879999053266799</v>
      </c>
      <c r="AF136" s="145">
        <f t="shared" si="33"/>
        <v>-17577.159999999996</v>
      </c>
      <c r="AG136" s="143">
        <v>9800.4599999999991</v>
      </c>
      <c r="AH136" s="436">
        <f>IF(_epmOfflineCondition_,0.245663429325573,IF(AG136=0,"",IFERROR(AG136/_xll.EVGTS($B$1,1,_xll.EVPRO($B$1,$H136,"COSBASIS"),$B$3,$B$5,$B$6,$B$7,$B$9,AG$16,AG$17,AG$18),"")))</f>
        <v>0.245663429325573</v>
      </c>
      <c r="AI136" s="145">
        <f t="shared" si="34"/>
        <v>870.93000000000211</v>
      </c>
    </row>
    <row r="137" spans="1:35" x14ac:dyDescent="0.35">
      <c r="A137" s="11"/>
      <c r="B137" s="11"/>
      <c r="C137" s="208"/>
      <c r="D137" s="11"/>
      <c r="E137" s="11"/>
      <c r="F137" s="11"/>
      <c r="G137" s="11"/>
      <c r="H137" s="185"/>
      <c r="I137" s="122"/>
      <c r="J137" s="122"/>
      <c r="K137" s="11"/>
      <c r="L137" s="90"/>
      <c r="M137" s="90"/>
      <c r="N137" s="493" t="s">
        <v>762</v>
      </c>
      <c r="O137" s="508" t="str">
        <f t="shared" ref="O137:AA137" si="35">IFERROR(O136/O82,"")</f>
        <v/>
      </c>
      <c r="P137" s="508" t="str">
        <f t="shared" si="35"/>
        <v/>
      </c>
      <c r="Q137" s="508">
        <f t="shared" si="35"/>
        <v>0.20900900900900901</v>
      </c>
      <c r="R137" s="508">
        <f t="shared" si="35"/>
        <v>0.20816048667439166</v>
      </c>
      <c r="S137" s="508">
        <f t="shared" si="35"/>
        <v>0.20899999999999999</v>
      </c>
      <c r="T137" s="508">
        <f t="shared" si="35"/>
        <v>0.2047705088265836</v>
      </c>
      <c r="U137" s="508">
        <f t="shared" si="35"/>
        <v>0.19687830687830687</v>
      </c>
      <c r="V137" s="508" t="str">
        <f t="shared" si="35"/>
        <v/>
      </c>
      <c r="W137" s="508">
        <f t="shared" si="35"/>
        <v>0.20749297971918876</v>
      </c>
      <c r="X137" s="508">
        <f t="shared" si="35"/>
        <v>0.24404941351768109</v>
      </c>
      <c r="Y137" s="508">
        <f t="shared" si="35"/>
        <v>0.20831970534069982</v>
      </c>
      <c r="Z137" s="508">
        <f t="shared" si="35"/>
        <v>0.2129644921552436</v>
      </c>
      <c r="AA137" s="508">
        <f t="shared" si="35"/>
        <v>0.21225319084188107</v>
      </c>
      <c r="AB137" s="436"/>
      <c r="AC137" s="140"/>
      <c r="AD137" s="508">
        <f>IFERROR(AD136/AD82,"")</f>
        <v>0.18879999053266841</v>
      </c>
      <c r="AE137" s="436"/>
      <c r="AF137" s="521">
        <f t="shared" si="33"/>
        <v>2.3453200309212663E-2</v>
      </c>
      <c r="AG137" s="508">
        <f>IFERROR(AG136/AG82,"")</f>
        <v>0.24566342932557272</v>
      </c>
      <c r="AH137" s="436"/>
      <c r="AI137" s="521">
        <f t="shared" si="34"/>
        <v>-3.3410238483691651E-2</v>
      </c>
    </row>
    <row r="138" spans="1:35" x14ac:dyDescent="0.35">
      <c r="A138" s="11"/>
      <c r="B138" s="11"/>
      <c r="C138" s="208"/>
      <c r="D138" s="11"/>
      <c r="E138" s="11"/>
      <c r="F138" s="11"/>
      <c r="G138" s="11"/>
      <c r="H138" s="11"/>
      <c r="I138" s="59"/>
      <c r="J138" s="59"/>
      <c r="K138" s="11"/>
      <c r="L138" s="11"/>
      <c r="M138" s="11"/>
      <c r="N138" s="11"/>
      <c r="O138" s="140"/>
      <c r="P138" s="140"/>
      <c r="Q138" s="140"/>
      <c r="R138" s="140"/>
      <c r="S138" s="140"/>
      <c r="T138" s="140"/>
      <c r="U138" s="140"/>
      <c r="V138" s="140"/>
      <c r="W138" s="140"/>
      <c r="X138" s="140"/>
      <c r="Y138" s="140"/>
      <c r="Z138" s="140"/>
      <c r="AA138" s="140"/>
      <c r="AB138" s="140"/>
      <c r="AC138" s="140"/>
      <c r="AD138" s="140"/>
      <c r="AE138" s="140"/>
      <c r="AF138" s="140"/>
      <c r="AG138" s="140"/>
      <c r="AH138" s="140"/>
      <c r="AI138" s="140"/>
    </row>
    <row r="139" spans="1:35" x14ac:dyDescent="0.35">
      <c r="A139" s="11"/>
      <c r="B139" s="11"/>
      <c r="C139" s="208"/>
      <c r="D139" s="11"/>
      <c r="E139" s="11"/>
      <c r="F139" s="11"/>
      <c r="G139" s="11"/>
      <c r="H139" s="185"/>
      <c r="I139" s="122"/>
      <c r="J139" s="122"/>
      <c r="K139" s="11"/>
      <c r="L139" s="11"/>
      <c r="M139" s="11"/>
      <c r="N139" s="104" t="str">
        <f>N82&amp;" - Check"</f>
        <v>Total Food &amp; Beverage Revenue - Check</v>
      </c>
      <c r="O139" s="511">
        <f t="shared" ref="O139:AA139" si="36">O39+O49+O59+O69+O75+O80-O82</f>
        <v>0</v>
      </c>
      <c r="P139" s="511">
        <f t="shared" si="36"/>
        <v>0</v>
      </c>
      <c r="Q139" s="511">
        <f t="shared" si="36"/>
        <v>0</v>
      </c>
      <c r="R139" s="511">
        <f t="shared" si="36"/>
        <v>0</v>
      </c>
      <c r="S139" s="511">
        <f t="shared" si="36"/>
        <v>0</v>
      </c>
      <c r="T139" s="511">
        <f t="shared" si="36"/>
        <v>0</v>
      </c>
      <c r="U139" s="511">
        <f t="shared" si="36"/>
        <v>0</v>
      </c>
      <c r="V139" s="511">
        <f t="shared" si="36"/>
        <v>0</v>
      </c>
      <c r="W139" s="511">
        <f t="shared" si="36"/>
        <v>0</v>
      </c>
      <c r="X139" s="511">
        <f t="shared" si="36"/>
        <v>0</v>
      </c>
      <c r="Y139" s="511">
        <f t="shared" si="36"/>
        <v>0</v>
      </c>
      <c r="Z139" s="511">
        <f t="shared" si="36"/>
        <v>0</v>
      </c>
      <c r="AA139" s="511">
        <f t="shared" si="36"/>
        <v>0</v>
      </c>
      <c r="AB139" s="144"/>
      <c r="AC139" s="140"/>
      <c r="AD139" s="511">
        <f>AD39+AD49+AD59+AD69+AD75+AD80-AD82</f>
        <v>0</v>
      </c>
      <c r="AE139" s="144"/>
      <c r="AF139" s="143"/>
      <c r="AG139" s="511">
        <f>AG39+AG49+AG59+AG69+AG75+AG80-AG82</f>
        <v>0</v>
      </c>
      <c r="AH139" s="144"/>
      <c r="AI139" s="143"/>
    </row>
    <row r="140" spans="1:35" x14ac:dyDescent="0.35">
      <c r="A140" s="11"/>
      <c r="B140" s="11"/>
      <c r="C140" s="208"/>
      <c r="D140" s="11"/>
      <c r="E140" s="11"/>
      <c r="F140" s="11"/>
      <c r="G140" s="11"/>
      <c r="H140" s="185"/>
      <c r="I140" s="122"/>
      <c r="J140" s="122"/>
      <c r="K140" s="11"/>
      <c r="L140" s="11"/>
      <c r="M140" s="11"/>
      <c r="N140" s="104" t="str">
        <f>N84&amp;" - Check"</f>
        <v>Total Customers - Check</v>
      </c>
      <c r="O140" s="511">
        <f t="shared" ref="O140:AA140" si="37">O41+O51+O61+O70+O76-O84</f>
        <v>0</v>
      </c>
      <c r="P140" s="511">
        <f t="shared" si="37"/>
        <v>0</v>
      </c>
      <c r="Q140" s="511">
        <f t="shared" si="37"/>
        <v>0</v>
      </c>
      <c r="R140" s="511">
        <f t="shared" si="37"/>
        <v>0</v>
      </c>
      <c r="S140" s="511">
        <f t="shared" si="37"/>
        <v>0</v>
      </c>
      <c r="T140" s="511">
        <f t="shared" si="37"/>
        <v>0</v>
      </c>
      <c r="U140" s="511">
        <f t="shared" si="37"/>
        <v>0</v>
      </c>
      <c r="V140" s="511">
        <f t="shared" si="37"/>
        <v>0</v>
      </c>
      <c r="W140" s="511">
        <f t="shared" si="37"/>
        <v>0</v>
      </c>
      <c r="X140" s="511">
        <f t="shared" si="37"/>
        <v>0</v>
      </c>
      <c r="Y140" s="511">
        <f t="shared" si="37"/>
        <v>0</v>
      </c>
      <c r="Z140" s="511">
        <f t="shared" si="37"/>
        <v>0</v>
      </c>
      <c r="AA140" s="511">
        <f t="shared" si="37"/>
        <v>0</v>
      </c>
      <c r="AB140" s="144"/>
      <c r="AC140" s="140"/>
      <c r="AD140" s="511">
        <f>AD41+AD51+AD61+AD70+AD76-AD84</f>
        <v>0</v>
      </c>
      <c r="AE140" s="144"/>
      <c r="AF140" s="143"/>
      <c r="AG140" s="511">
        <f>AG41+AG51+AG61+AG70+AG76-AG84</f>
        <v>0</v>
      </c>
      <c r="AH140" s="144"/>
      <c r="AI140" s="143"/>
    </row>
    <row r="141" spans="1:35" x14ac:dyDescent="0.35">
      <c r="A141" s="11"/>
      <c r="B141" s="11"/>
      <c r="C141" s="208"/>
      <c r="D141" s="11"/>
      <c r="E141" s="11"/>
      <c r="F141" s="11"/>
      <c r="G141" s="11"/>
      <c r="H141" s="185"/>
      <c r="I141" s="122"/>
      <c r="J141" s="122"/>
      <c r="K141" s="11"/>
      <c r="L141" s="11"/>
      <c r="M141" s="11"/>
      <c r="N141" s="104" t="str">
        <f>N86&amp;" - Check"</f>
        <v>Revenue per Square Foot - Check</v>
      </c>
      <c r="O141" s="510" t="e">
        <f t="shared" ref="O141:AA141" si="38">IFERROR(O$82/O84,"")-O86</f>
        <v>#VALUE!</v>
      </c>
      <c r="P141" s="510" t="e">
        <f t="shared" si="38"/>
        <v>#VALUE!</v>
      </c>
      <c r="Q141" s="510">
        <f t="shared" si="38"/>
        <v>55.001347708894876</v>
      </c>
      <c r="R141" s="510">
        <f t="shared" si="38"/>
        <v>182.0727636257798</v>
      </c>
      <c r="S141" s="510">
        <f t="shared" si="38"/>
        <v>46.134321653189581</v>
      </c>
      <c r="T141" s="510">
        <f t="shared" si="38"/>
        <v>28.428956488255675</v>
      </c>
      <c r="U141" s="510">
        <f t="shared" si="38"/>
        <v>37.630188679245279</v>
      </c>
      <c r="V141" s="510" t="e">
        <f t="shared" si="38"/>
        <v>#VALUE!</v>
      </c>
      <c r="W141" s="510">
        <f t="shared" si="38"/>
        <v>45.934339042981776</v>
      </c>
      <c r="X141" s="510" t="e">
        <f t="shared" si="38"/>
        <v>#VALUE!</v>
      </c>
      <c r="Y141" s="510">
        <f t="shared" si="38"/>
        <v>55.340547934183519</v>
      </c>
      <c r="Z141" s="510">
        <f t="shared" si="38"/>
        <v>19.161774982529696</v>
      </c>
      <c r="AA141" s="510">
        <f t="shared" si="38"/>
        <v>63.092960730056774</v>
      </c>
      <c r="AB141" s="144"/>
      <c r="AC141" s="140"/>
      <c r="AD141" s="510">
        <f>IFERROR(AD$82/AD84,"")-AD86</f>
        <v>71.375600650594549</v>
      </c>
      <c r="AE141" s="144"/>
      <c r="AF141" s="143"/>
      <c r="AG141" s="510">
        <f>IFERROR(AG$82/AG84,"")-AG86</f>
        <v>38.622752150760995</v>
      </c>
      <c r="AH141" s="144"/>
      <c r="AI141" s="143"/>
    </row>
    <row r="142" spans="1:35" x14ac:dyDescent="0.35">
      <c r="A142" s="11"/>
      <c r="B142" s="11"/>
      <c r="C142" s="208"/>
      <c r="D142" s="11"/>
      <c r="E142" s="11"/>
      <c r="F142" s="11"/>
      <c r="G142" s="11"/>
      <c r="H142" s="185"/>
      <c r="I142" s="122"/>
      <c r="J142" s="122"/>
      <c r="K142" s="11"/>
      <c r="L142" s="11"/>
      <c r="M142" s="11"/>
      <c r="N142" s="104" t="s">
        <v>768</v>
      </c>
      <c r="O142" s="511">
        <f t="shared" ref="O142:AA142" si="39">(O126+O128)-O136</f>
        <v>0</v>
      </c>
      <c r="P142" s="511">
        <f t="shared" si="39"/>
        <v>0</v>
      </c>
      <c r="Q142" s="511">
        <f t="shared" si="39"/>
        <v>0</v>
      </c>
      <c r="R142" s="511">
        <f t="shared" si="39"/>
        <v>0</v>
      </c>
      <c r="S142" s="511">
        <f t="shared" si="39"/>
        <v>0</v>
      </c>
      <c r="T142" s="511">
        <f t="shared" si="39"/>
        <v>0</v>
      </c>
      <c r="U142" s="511">
        <f t="shared" si="39"/>
        <v>0</v>
      </c>
      <c r="V142" s="511">
        <f t="shared" si="39"/>
        <v>0</v>
      </c>
      <c r="W142" s="511">
        <f t="shared" si="39"/>
        <v>0</v>
      </c>
      <c r="X142" s="511">
        <f t="shared" si="39"/>
        <v>0</v>
      </c>
      <c r="Y142" s="511">
        <f t="shared" si="39"/>
        <v>0</v>
      </c>
      <c r="Z142" s="511">
        <f t="shared" si="39"/>
        <v>0</v>
      </c>
      <c r="AA142" s="511">
        <f t="shared" si="39"/>
        <v>0</v>
      </c>
      <c r="AB142" s="144"/>
      <c r="AC142" s="140"/>
      <c r="AD142" s="511">
        <f>(AD126+AD128)-AD136</f>
        <v>0</v>
      </c>
      <c r="AE142" s="144"/>
      <c r="AF142" s="143"/>
      <c r="AG142" s="511">
        <f>(AG126+AG128)-AG136</f>
        <v>0</v>
      </c>
      <c r="AH142" s="144"/>
      <c r="AI142" s="143"/>
    </row>
    <row r="143" spans="1:35" x14ac:dyDescent="0.35">
      <c r="A143" s="11"/>
      <c r="B143" s="11"/>
      <c r="C143" s="208"/>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3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208"/>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3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267"/>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sheetData>
  <sheetProtection algorithmName="SHA-512" hashValue="6NFRoHg5sIydgEaMtG6CjJJeGKM5X1BoQvtLDIQzavJn+9LLl+fRyy71YKcPjZko/FuU2kxPOjHxz4U5XNVihQ==" saltValue="RzQ8jkL5idOcAzSl2yGw+w==" spinCount="100000" sheet="1" scenarios="1"/>
  <mergeCells count="2">
    <mergeCell ref="AD31:AE31"/>
    <mergeCell ref="AG31:AH31"/>
  </mergeCells>
  <conditionalFormatting sqref="AD43 AF43:AG43 O43:AA43">
    <cfRule type="expression" dxfId="35" priority="10">
      <formula>ROUND(O42,2)&lt;&gt;ROUND(O43,2)</formula>
    </cfRule>
  </conditionalFormatting>
  <conditionalFormatting sqref="O53:AA53 AD53 AF53:AG53">
    <cfRule type="expression" dxfId="34" priority="9">
      <formula>ROUND(O52,2)&lt;&gt;ROUND(O53,2)</formula>
    </cfRule>
  </conditionalFormatting>
  <conditionalFormatting sqref="O63:AA63 AD63 AF63:AG63">
    <cfRule type="expression" dxfId="33" priority="8">
      <formula>ROUND(O62,2)&lt;&gt;ROUND(O63,2)</formula>
    </cfRule>
  </conditionalFormatting>
  <conditionalFormatting sqref="O72:AA72 AD72 AF72:AG72">
    <cfRule type="expression" dxfId="32" priority="7">
      <formula>ROUND(O71,2)&lt;&gt;ROUND(O72,2)</formula>
    </cfRule>
  </conditionalFormatting>
  <conditionalFormatting sqref="AD78 AF78:AG78 O78:AA78">
    <cfRule type="expression" dxfId="31" priority="6">
      <formula>ROUND(O77,2)&lt;&gt;ROUND(O78,2)</formula>
    </cfRule>
  </conditionalFormatting>
  <conditionalFormatting sqref="AI43">
    <cfRule type="expression" dxfId="30" priority="5">
      <formula>ROUND(AI42,2)&lt;&gt;ROUND(AI43,2)</formula>
    </cfRule>
  </conditionalFormatting>
  <conditionalFormatting sqref="AI53">
    <cfRule type="expression" dxfId="29" priority="4">
      <formula>ROUND(AI52,2)&lt;&gt;ROUND(AI53,2)</formula>
    </cfRule>
  </conditionalFormatting>
  <conditionalFormatting sqref="AI63">
    <cfRule type="expression" dxfId="28" priority="3">
      <formula>ROUND(AI62,2)&lt;&gt;ROUND(AI63,2)</formula>
    </cfRule>
  </conditionalFormatting>
  <conditionalFormatting sqref="AI72">
    <cfRule type="expression" dxfId="27" priority="2">
      <formula>ROUND(AI71,2)&lt;&gt;ROUND(AI72,2)</formula>
    </cfRule>
  </conditionalFormatting>
  <conditionalFormatting sqref="AI78">
    <cfRule type="expression" dxfId="26" priority="1">
      <formula>ROUND(AI77,2)&lt;&gt;ROUND(AI78,2)</formula>
    </cfRule>
  </conditionalFormatting>
  <conditionalFormatting sqref="N43 N53 N63 N72 N78">
    <cfRule type="expression" dxfId="25" priority="11">
      <formula>$G44&lt;&gt;0</formula>
    </cfRule>
  </conditionalFormatting>
  <conditionalFormatting sqref="N79">
    <cfRule type="expression" dxfId="24" priority="12">
      <formula>#REF!&lt;&gt;0</formula>
    </cfRule>
  </conditionalFormatting>
  <dataValidations count="2">
    <dataValidation type="list" allowBlank="1" sqref="B28" xr:uid="{00000000-0002-0000-1800-000000000000}">
      <formula1>"ACCOUNT,BUSINESSUNIT,CATEGORY,DATASRC,DEPARTMENT,INTCO,MEASURES,RPTCURRENCY,TIME"</formula1>
    </dataValidation>
    <dataValidation type="list" allowBlank="1" sqref="B29" xr:uid="{00000000-0002-0000-1800-000001000000}">
      <formula1>"SELF,ALL,BAS,DEP,BASMEMBERS,MEMBERS,NOEXPAND,GDEP"</formula1>
    </dataValidation>
  </dataValidations>
  <pageMargins left="0.25" right="0.25" top="0.5" bottom="0.5" header="0.3" footer="0.3"/>
  <pageSetup scale="50" fitToHeight="0" orientation="landscape" r:id="rId1"/>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515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5153" r:id="rId7" name="FPMExcelClientSheetOptionstb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805</v>
      </c>
      <c r="C6" s="11" t="str">
        <f>IF(_epmOfflineCondition_,"Banquet CS Group",_xll.EVDES(B6,$B$1))</f>
        <v>Banquet CS Group</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IF(_epmOfflineCondition_,"'BCC_Group'!$B$2:$B$10",_xll.EVRNG($B$2:$B$10))</f>
        <v>'BCC_Group'!$B$2:$B$10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IF(_epmOfflineCondition_,"'BCC_Group'!$O$16:$AN$18",_xll.EVRNG($O$16:$AN$18))</f>
        <v>'BCC_Group'!$O$16:$AN$18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IF(_epmOfflineCondition_,"'BCC_Group'!$H$35:$H$56",_xll.EVRNG(H35:H56))</f>
        <v>'BCC_Group'!$H$35:$H$56</v>
      </c>
      <c r="C19" s="11"/>
      <c r="D19" s="11"/>
      <c r="E19" s="11"/>
      <c r="F19" s="11"/>
      <c r="G19" s="67" t="str">
        <f>$B$6</f>
        <v>D2248</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IF(_epmOfflineCondition_,500,_xll.EVGTS($B$1,1,$B$3,$B$5,$B$7,$B$9,P$16,P$17,P$18,$G$19,$H$19))</f>
        <v>500</v>
      </c>
      <c r="Q19" s="69">
        <f>IF(_epmOfflineCondition_,950,_xll.EVGTS($B$1,1,$B$3,$B$5,$B$7,$B$9,Q$16,Q$17,Q$18,$G$19,$H$19))</f>
        <v>950</v>
      </c>
      <c r="R19" s="69">
        <f>IF(_epmOfflineCondition_,17945.1,_xll.EVGTS($B$1,1,$B$3,$B$5,$B$7,$B$9,R$16,R$17,R$18,$G$19,$H$19))</f>
        <v>17945.099999999999</v>
      </c>
      <c r="S19" s="69">
        <f>IF(_epmOfflineCondition_,2354.4,_xll.EVGTS($B$1,1,$B$3,$B$5,$B$7,$B$9,S$16,S$17,S$18,$G$19,$H$19))</f>
        <v>2354.4</v>
      </c>
      <c r="T19" s="69">
        <f>IF(_epmOfflineCondition_,7174.3,_xll.EVGTS($B$1,1,$B$3,$B$5,$B$7,$B$9,T$16,T$17,T$18,$G$19,$H$19))</f>
        <v>7174.3</v>
      </c>
      <c r="U19" s="69">
        <f>IF(_epmOfflineCondition_,2824.02,_xll.EVGTS($B$1,1,$B$3,$B$5,$B$7,$B$9,U$16,U$17,U$18,$G$19,$H$19))</f>
        <v>2824.02</v>
      </c>
      <c r="V19" s="69">
        <f>IF(_epmOfflineCondition_,0,_xll.EVGTS($B$1,1,$B$3,$B$5,$B$7,$B$9,V$16,V$17,V$18,$G$19,$H$19))</f>
        <v>0</v>
      </c>
      <c r="W19" s="69">
        <f>IF(_epmOfflineCondition_,10095.2,_xll.EVGTS($B$1,1,$B$3,$B$5,$B$7,$B$9,W$16,W$17,W$18,$G$19,$H$19))</f>
        <v>10095.200000000001</v>
      </c>
      <c r="X19" s="69">
        <f>IF(_epmOfflineCondition_,8564.7,_xll.EVGTS($B$1,1,$B$3,$B$5,$B$7,$B$9,X$16,X$17,X$18,$G$19,$H$19))</f>
        <v>8564.7000000000007</v>
      </c>
      <c r="Y19" s="69">
        <f>IF(_epmOfflineCondition_,13337.14,_xll.EVGTS($B$1,1,$B$3,$B$5,$B$7,$B$9,Y$16,Y$17,Y$18,$G$19,$H$19))</f>
        <v>13337.14</v>
      </c>
      <c r="Z19" s="69">
        <f>IF(_epmOfflineCondition_,11482.26,_xll.EVGTS($B$1,1,$B$3,$B$5,$B$7,$B$9,Z$16,Z$17,Z$18,$G$19,$H$19))</f>
        <v>11482.26</v>
      </c>
      <c r="AA19" s="69">
        <f>SUM(O19:Z19)</f>
        <v>75227.12</v>
      </c>
      <c r="AB19" s="67"/>
      <c r="AC19" s="67"/>
      <c r="AD19" s="69">
        <f>IF(_epmOfflineCondition_,86053.6649414757,_xll.EVGTS($B$1,1,$B$3,$B$5,$B$7,$B$9,AD$16,AD$17,AD$18,$G$19,$H$19))</f>
        <v>86053.664941475698</v>
      </c>
      <c r="AE19" s="67"/>
      <c r="AF19" s="67"/>
      <c r="AG19" s="69">
        <f>IF(_epmOfflineCondition_,74012.38,_xll.EVGTS($B$1,1,$B$3,$B$5,$B$7,$B$9,AG$16,AG$17,AG$18,$G$19,$H$19))</f>
        <v>74012.38</v>
      </c>
      <c r="AH19" s="67"/>
      <c r="AI19" s="67"/>
      <c r="AJ19" s="11"/>
      <c r="AK19" s="11"/>
      <c r="AL19" s="11"/>
      <c r="AM19" s="11"/>
      <c r="AN19" s="11"/>
      <c r="AO19" s="11"/>
    </row>
    <row r="20" spans="1:41" hidden="1" outlineLevel="1" x14ac:dyDescent="0.35">
      <c r="A20" s="65" t="s">
        <v>5</v>
      </c>
      <c r="B20" s="66"/>
      <c r="C20" s="11"/>
      <c r="D20" s="11"/>
      <c r="E20" s="11"/>
      <c r="F20" s="11"/>
      <c r="G20" s="67" t="str">
        <f>$B$6</f>
        <v>D2248</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IF(_epmOfflineCondition_,71,_xll.EVGTS($B$1,1,$B$3,$B$5,$B$7,$B$9,R$16,R$17,R$18,$G$20,$H$20))</f>
        <v>71</v>
      </c>
      <c r="S20" s="69">
        <f>IF(_epmOfflineCondition_,32,_xll.EVGTS($B$1,1,$B$3,$B$5,$B$7,$B$9,S$16,S$17,S$18,$G$20,$H$20))</f>
        <v>32</v>
      </c>
      <c r="T20" s="69">
        <f>IF(_epmOfflineCondition_,147,_xll.EVGTS($B$1,1,$B$3,$B$5,$B$7,$B$9,T$16,T$17,T$18,$G$20,$H$20))</f>
        <v>147</v>
      </c>
      <c r="U20" s="69">
        <f>IF(_epmOfflineCondition_,0,_xll.EVGTS($B$1,1,$B$3,$B$5,$B$7,$B$9,U$16,U$17,U$18,$G$20,$H$20))</f>
        <v>0</v>
      </c>
      <c r="V20" s="69">
        <f>IF(_epmOfflineCondition_,0,_xll.EVGTS($B$1,1,$B$3,$B$5,$B$7,$B$9,V$16,V$17,V$18,$G$20,$H$20))</f>
        <v>0</v>
      </c>
      <c r="W20" s="69">
        <f>IF(_epmOfflineCondition_,124,_xll.EVGTS($B$1,1,$B$3,$B$5,$B$7,$B$9,W$16,W$17,W$18,$G$20,$H$20))</f>
        <v>124</v>
      </c>
      <c r="X20" s="69">
        <f>IF(_epmOfflineCondition_,0,_xll.EVGTS($B$1,1,$B$3,$B$5,$B$7,$B$9,X$16,X$17,X$18,$G$20,$H$20))</f>
        <v>0</v>
      </c>
      <c r="Y20" s="69">
        <f>IF(_epmOfflineCondition_,127,_xll.EVGTS($B$1,1,$B$3,$B$5,$B$7,$B$9,Y$16,Y$17,Y$18,$G$20,$H$20))</f>
        <v>127</v>
      </c>
      <c r="Z20" s="69">
        <f>IF(_epmOfflineCondition_,162,_xll.EVGTS($B$1,1,$B$3,$B$5,$B$7,$B$9,Z$16,Z$17,Z$18,$G$20,$H$20))</f>
        <v>162</v>
      </c>
      <c r="AA20" s="69">
        <f>SUM(O20:Z20)</f>
        <v>663</v>
      </c>
      <c r="AB20" s="67"/>
      <c r="AC20" s="67"/>
      <c r="AD20" s="69">
        <f>IF(_epmOfflineCondition_,665.176470591,_xll.EVGTS($B$1,1,$B$3,$B$5,$B$7,$B$9,AD$16,AD$17,AD$18,$G$20,$H$20))</f>
        <v>665.176470591</v>
      </c>
      <c r="AE20" s="67"/>
      <c r="AF20" s="67"/>
      <c r="AG20" s="69">
        <f>IF(_epmOfflineCondition_,782,_xll.EVGTS($B$1,1,$B$3,$B$5,$B$7,$B$9,AG$16,AG$17,AG$18,$G$20,$H$20))</f>
        <v>782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IF(_epmOfflineCondition_,"'BCC_Group'!$A$36:$F$44",_xll.EVRNG(A36:F44))</f>
        <v>'BCC_Group'!$A$36:$F$44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IF(_epmOfflineCondition_,"'BCC_Group'!$A$125:$B$146",_xll.EVRNG($A$125:$B$146))</f>
        <v>'BCC_Group'!$A$125:$B$146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IF(_epmOfflineCondition_,"Banquet CS Group Department",IF(_xll.EVDES(B6,$B$1)="#NODATA","",_xll.EVDES(B6,$B$1)&amp;" Department"))</f>
        <v>Banquet CS Group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c r="P35" s="564"/>
      <c r="Q35" s="564"/>
      <c r="R35" s="564"/>
      <c r="S35" s="564">
        <v>560</v>
      </c>
      <c r="T35" s="564"/>
      <c r="U35" s="564"/>
      <c r="V35" s="564"/>
      <c r="W35" s="564"/>
      <c r="X35" s="564"/>
      <c r="Y35" s="564">
        <v>5305</v>
      </c>
      <c r="Z35" s="564">
        <v>2051</v>
      </c>
      <c r="AA35" s="250">
        <f t="shared" ref="AA35:AA56" si="1">IF($I35="B1","",SUM(O35:Z35))</f>
        <v>7916</v>
      </c>
      <c r="AB35" s="565">
        <f t="shared" ref="AB35:AB56" si="2">IF(AA35=0,"",IFERROR(AA35/AA$19,""))</f>
        <v>0.10522800819704384</v>
      </c>
      <c r="AC35" s="437"/>
      <c r="AD35" s="564"/>
      <c r="AE35" s="565" t="str">
        <f t="shared" ref="AE35:AE56" si="3">IF(AD35=0,"",IFERROR(AD35/AD$19,""))</f>
        <v/>
      </c>
      <c r="AF35" s="566">
        <f t="shared" ref="AF35:AF56" si="4">IF(AND($AA35="",AD35=""),"",$AA35-AD35)</f>
        <v>7916</v>
      </c>
      <c r="AG35" s="564">
        <v>10377.89</v>
      </c>
      <c r="AH35" s="565">
        <f t="shared" ref="AH35:AH56" si="5">IF(AG35=0,"",IFERROR(AG35/AG$19,""))</f>
        <v>0.14021829861436694</v>
      </c>
      <c r="AI35" s="567">
        <f t="shared" ref="AI35:AI56" si="6">IF(AND($AA35="",AG35=""),"",$AA35-AG35)</f>
        <v>-2461.8899999999994</v>
      </c>
      <c r="AJ35" s="440">
        <f t="shared" ref="AJ35:AJ56" si="7">IFERROR(AA35/AA$20,0)</f>
        <v>11.939668174962293</v>
      </c>
      <c r="AK35" s="441">
        <f t="shared" ref="AK35:AK56" si="8">IFERROR(AD35/AD$20,0)</f>
        <v>0</v>
      </c>
      <c r="AL35" s="442">
        <f t="shared" ref="AL35:AL56" si="9">IFERROR(AG35/AG$20,0)</f>
        <v>13.270959079283887</v>
      </c>
      <c r="AM35" s="443">
        <f t="shared" ref="AM35:AM56" si="10">+IFERROR(ROUND(($AB35-AE35)*100,2)&amp;" pts.",0)</f>
        <v>0</v>
      </c>
      <c r="AN35" s="444" t="str">
        <f t="shared" ref="AN35:AN56" si="11">+IFERROR(ROUND(($AB35-AH35)*100,2)&amp;" pts.",0)</f>
        <v>-3.5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c r="P36" s="564"/>
      <c r="Q36" s="564"/>
      <c r="R36" s="564"/>
      <c r="S36" s="564">
        <v>960</v>
      </c>
      <c r="T36" s="564">
        <v>2800</v>
      </c>
      <c r="U36" s="564">
        <v>25</v>
      </c>
      <c r="V36" s="564"/>
      <c r="W36" s="564">
        <v>1610</v>
      </c>
      <c r="X36" s="564">
        <v>18</v>
      </c>
      <c r="Y36" s="564">
        <v>2672</v>
      </c>
      <c r="Z36" s="564"/>
      <c r="AA36" s="250">
        <f t="shared" si="1"/>
        <v>8085</v>
      </c>
      <c r="AB36" s="565">
        <f t="shared" si="2"/>
        <v>0.10747453843773364</v>
      </c>
      <c r="AC36" s="437"/>
      <c r="AD36" s="564"/>
      <c r="AE36" s="565" t="str">
        <f t="shared" si="3"/>
        <v/>
      </c>
      <c r="AF36" s="566">
        <f t="shared" si="4"/>
        <v>8085</v>
      </c>
      <c r="AG36" s="564">
        <v>15432</v>
      </c>
      <c r="AH36" s="565">
        <f t="shared" si="5"/>
        <v>0.20850565810746796</v>
      </c>
      <c r="AI36" s="567">
        <f t="shared" si="6"/>
        <v>-7347</v>
      </c>
      <c r="AJ36" s="440">
        <f t="shared" si="7"/>
        <v>12.194570135746606</v>
      </c>
      <c r="AK36" s="441">
        <f t="shared" si="8"/>
        <v>0</v>
      </c>
      <c r="AL36" s="442">
        <f t="shared" si="9"/>
        <v>19.734015345268542</v>
      </c>
      <c r="AM36" s="443">
        <f t="shared" si="10"/>
        <v>0</v>
      </c>
      <c r="AN36" s="444" t="str">
        <f t="shared" si="11"/>
        <v>-10.1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c r="P37" s="564"/>
      <c r="Q37" s="564"/>
      <c r="R37" s="564">
        <v>12980</v>
      </c>
      <c r="S37" s="564"/>
      <c r="T37" s="564">
        <v>560</v>
      </c>
      <c r="U37" s="564"/>
      <c r="V37" s="564"/>
      <c r="W37" s="564">
        <v>4110</v>
      </c>
      <c r="X37" s="564">
        <v>5753.7</v>
      </c>
      <c r="Y37" s="564"/>
      <c r="Z37" s="564">
        <v>1582</v>
      </c>
      <c r="AA37" s="250">
        <f t="shared" si="1"/>
        <v>24985.7</v>
      </c>
      <c r="AB37" s="565">
        <f t="shared" si="2"/>
        <v>0.33213686766155615</v>
      </c>
      <c r="AC37" s="437"/>
      <c r="AD37" s="564">
        <v>29432.709647186301</v>
      </c>
      <c r="AE37" s="565">
        <f t="shared" si="3"/>
        <v>0.34202738102093866</v>
      </c>
      <c r="AF37" s="566">
        <f t="shared" si="4"/>
        <v>-4447.0096471862998</v>
      </c>
      <c r="AG37" s="564">
        <v>778.97</v>
      </c>
      <c r="AH37" s="565">
        <f t="shared" si="5"/>
        <v>1.0524860840848518E-2</v>
      </c>
      <c r="AI37" s="567">
        <f t="shared" si="6"/>
        <v>24206.73</v>
      </c>
      <c r="AJ37" s="440">
        <f t="shared" si="7"/>
        <v>37.685822021116138</v>
      </c>
      <c r="AK37" s="441">
        <f t="shared" si="8"/>
        <v>44.247971701458034</v>
      </c>
      <c r="AL37" s="442">
        <f t="shared" si="9"/>
        <v>0.9961253196930947</v>
      </c>
      <c r="AM37" s="443" t="str">
        <f t="shared" si="10"/>
        <v>-0.99 pts.</v>
      </c>
      <c r="AN37" s="444" t="str">
        <f t="shared" si="11"/>
        <v>32.16 pts.</v>
      </c>
      <c r="AO37" s="11"/>
    </row>
    <row r="38" spans="1:41" x14ac:dyDescent="0.3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c r="P38" s="564"/>
      <c r="Q38" s="564"/>
      <c r="R38" s="564"/>
      <c r="S38" s="564"/>
      <c r="T38" s="564"/>
      <c r="U38" s="564"/>
      <c r="V38" s="564"/>
      <c r="W38" s="564"/>
      <c r="X38" s="564"/>
      <c r="Y38" s="564"/>
      <c r="Z38" s="564"/>
      <c r="AA38" s="250">
        <f t="shared" si="1"/>
        <v>0</v>
      </c>
      <c r="AB38" s="565" t="str">
        <f t="shared" si="2"/>
        <v/>
      </c>
      <c r="AC38" s="437"/>
      <c r="AD38" s="564"/>
      <c r="AE38" s="565" t="str">
        <f t="shared" si="3"/>
        <v/>
      </c>
      <c r="AF38" s="566">
        <f t="shared" si="4"/>
        <v>0</v>
      </c>
      <c r="AG38" s="564">
        <v>1702</v>
      </c>
      <c r="AH38" s="565">
        <f t="shared" si="5"/>
        <v>2.2996152805787356E-2</v>
      </c>
      <c r="AI38" s="567">
        <f t="shared" si="6"/>
        <v>-1702</v>
      </c>
      <c r="AJ38" s="440">
        <f t="shared" si="7"/>
        <v>0</v>
      </c>
      <c r="AK38" s="441">
        <f t="shared" si="8"/>
        <v>0</v>
      </c>
      <c r="AL38" s="442">
        <f t="shared" si="9"/>
        <v>2.1764705882352939</v>
      </c>
      <c r="AM38" s="443">
        <f t="shared" si="10"/>
        <v>0</v>
      </c>
      <c r="AN38" s="444">
        <f t="shared" si="11"/>
        <v>0</v>
      </c>
      <c r="AO38" s="11"/>
    </row>
    <row r="39" spans="1:41" x14ac:dyDescent="0.3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v>3765</v>
      </c>
      <c r="AH39" s="446">
        <f t="shared" si="5"/>
        <v>5.0869867986950291E-2</v>
      </c>
      <c r="AI39" s="448">
        <f t="shared" si="6"/>
        <v>-3765</v>
      </c>
      <c r="AJ39" s="449">
        <f t="shared" si="7"/>
        <v>0</v>
      </c>
      <c r="AK39" s="450">
        <f t="shared" si="8"/>
        <v>0</v>
      </c>
      <c r="AL39" s="451">
        <f t="shared" si="9"/>
        <v>4.8145780051150897</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v>12980</v>
      </c>
      <c r="S40" s="225">
        <v>1520</v>
      </c>
      <c r="T40" s="225">
        <v>3360</v>
      </c>
      <c r="U40" s="225">
        <v>25</v>
      </c>
      <c r="V40" s="225"/>
      <c r="W40" s="225">
        <v>5720</v>
      </c>
      <c r="X40" s="225">
        <v>5771.7</v>
      </c>
      <c r="Y40" s="225">
        <v>7977</v>
      </c>
      <c r="Z40" s="225">
        <v>3633</v>
      </c>
      <c r="AA40" s="225">
        <f t="shared" si="1"/>
        <v>40986.699999999997</v>
      </c>
      <c r="AB40" s="226">
        <f t="shared" si="2"/>
        <v>0.54483941429633354</v>
      </c>
      <c r="AC40" s="227"/>
      <c r="AD40" s="225">
        <v>29432.709647186301</v>
      </c>
      <c r="AE40" s="226">
        <f t="shared" si="3"/>
        <v>0.34202738102093866</v>
      </c>
      <c r="AF40" s="228">
        <f t="shared" si="4"/>
        <v>11553.990352813697</v>
      </c>
      <c r="AG40" s="225">
        <v>32055.86</v>
      </c>
      <c r="AH40" s="226">
        <f t="shared" si="5"/>
        <v>0.43311483835542108</v>
      </c>
      <c r="AI40" s="455">
        <f t="shared" si="6"/>
        <v>8930.8399999999965</v>
      </c>
      <c r="AJ40" s="229">
        <f t="shared" si="7"/>
        <v>61.820060331825033</v>
      </c>
      <c r="AK40" s="230">
        <f t="shared" si="8"/>
        <v>44.247971701458034</v>
      </c>
      <c r="AL40" s="232">
        <f t="shared" si="9"/>
        <v>40.992148337595907</v>
      </c>
      <c r="AM40" s="427" t="str">
        <f t="shared" si="10"/>
        <v>20.28 pts.</v>
      </c>
      <c r="AN40" s="456" t="str">
        <f t="shared" si="11"/>
        <v>11.17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10"/>
      <c r="Q41" s="210"/>
      <c r="R41" s="210"/>
      <c r="S41" s="210"/>
      <c r="T41" s="210"/>
      <c r="U41" s="210"/>
      <c r="V41" s="210"/>
      <c r="W41" s="210"/>
      <c r="X41" s="210"/>
      <c r="Y41" s="210"/>
      <c r="Z41" s="210"/>
      <c r="AA41" s="252" t="str">
        <f t="shared" si="1"/>
        <v/>
      </c>
      <c r="AB41" s="211" t="str">
        <f t="shared" si="2"/>
        <v/>
      </c>
      <c r="AC41" s="459"/>
      <c r="AD41" s="210"/>
      <c r="AE41" s="211" t="str">
        <f t="shared" si="3"/>
        <v/>
      </c>
      <c r="AF41" s="253" t="str">
        <f t="shared" si="4"/>
        <v/>
      </c>
      <c r="AG41" s="210"/>
      <c r="AH41" s="211" t="str">
        <f t="shared" si="5"/>
        <v/>
      </c>
      <c r="AI41" s="569"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c r="Q42" s="564"/>
      <c r="R42" s="564"/>
      <c r="S42" s="564"/>
      <c r="T42" s="564"/>
      <c r="U42" s="564"/>
      <c r="V42" s="564"/>
      <c r="W42" s="564"/>
      <c r="X42" s="564"/>
      <c r="Y42" s="564"/>
      <c r="Z42" s="564"/>
      <c r="AA42" s="250">
        <f t="shared" si="1"/>
        <v>0</v>
      </c>
      <c r="AB42" s="565" t="str">
        <f t="shared" si="2"/>
        <v/>
      </c>
      <c r="AC42" s="437"/>
      <c r="AD42" s="564"/>
      <c r="AE42" s="565" t="str">
        <f t="shared" si="3"/>
        <v/>
      </c>
      <c r="AF42" s="566">
        <f t="shared" si="4"/>
        <v>0</v>
      </c>
      <c r="AG42" s="564">
        <v>258.99</v>
      </c>
      <c r="AH42" s="565">
        <f t="shared" si="5"/>
        <v>3.4992794448712498E-3</v>
      </c>
      <c r="AI42" s="567">
        <f t="shared" si="6"/>
        <v>-258.99</v>
      </c>
      <c r="AJ42" s="440">
        <f t="shared" si="7"/>
        <v>0</v>
      </c>
      <c r="AK42" s="441">
        <f t="shared" si="8"/>
        <v>0</v>
      </c>
      <c r="AL42" s="442">
        <f t="shared" si="9"/>
        <v>0.33118925831202045</v>
      </c>
      <c r="AM42" s="443">
        <f t="shared" si="10"/>
        <v>0</v>
      </c>
      <c r="AN42" s="444">
        <f t="shared" si="11"/>
        <v>0</v>
      </c>
      <c r="AO42" s="11"/>
    </row>
    <row r="43" spans="1:41" ht="15" thickBot="1" x14ac:dyDescent="0.4">
      <c r="A43" s="11" t="s">
        <v>108</v>
      </c>
      <c r="B43" s="11"/>
      <c r="C43" s="574"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c r="P43" s="564"/>
      <c r="Q43" s="564"/>
      <c r="R43" s="564"/>
      <c r="S43" s="564"/>
      <c r="T43" s="564">
        <v>90</v>
      </c>
      <c r="U43" s="564">
        <v>22</v>
      </c>
      <c r="V43" s="564"/>
      <c r="W43" s="564"/>
      <c r="X43" s="564"/>
      <c r="Y43" s="564">
        <v>660</v>
      </c>
      <c r="Z43" s="564"/>
      <c r="AA43" s="250">
        <f t="shared" si="1"/>
        <v>772</v>
      </c>
      <c r="AB43" s="565">
        <f t="shared" si="2"/>
        <v>1.0262256484097758E-2</v>
      </c>
      <c r="AC43" s="437"/>
      <c r="AD43" s="564"/>
      <c r="AE43" s="565" t="str">
        <f t="shared" si="3"/>
        <v/>
      </c>
      <c r="AF43" s="566">
        <f t="shared" si="4"/>
        <v>772</v>
      </c>
      <c r="AG43" s="564">
        <v>109</v>
      </c>
      <c r="AH43" s="565">
        <f t="shared" si="5"/>
        <v>1.4727265897948422E-3</v>
      </c>
      <c r="AI43" s="567">
        <f t="shared" si="6"/>
        <v>663</v>
      </c>
      <c r="AJ43" s="440">
        <f t="shared" si="7"/>
        <v>1.1644042232277527</v>
      </c>
      <c r="AK43" s="441">
        <f t="shared" si="8"/>
        <v>0</v>
      </c>
      <c r="AL43" s="442">
        <f t="shared" si="9"/>
        <v>0.13938618925831203</v>
      </c>
      <c r="AM43" s="443">
        <f t="shared" si="10"/>
        <v>0</v>
      </c>
      <c r="AN43" s="444" t="str">
        <f t="shared" si="11"/>
        <v>0.88 pts.</v>
      </c>
      <c r="AO43" s="11"/>
    </row>
    <row r="44" spans="1:41" ht="15.5" thickTop="1" thickBot="1" x14ac:dyDescent="0.4">
      <c r="A44" s="11" t="s">
        <v>108</v>
      </c>
      <c r="B44" s="11"/>
      <c r="C44" s="574"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c r="P44" s="564"/>
      <c r="Q44" s="564"/>
      <c r="R44" s="564">
        <v>828</v>
      </c>
      <c r="S44" s="564"/>
      <c r="T44" s="564">
        <v>1365</v>
      </c>
      <c r="U44" s="564">
        <v>142</v>
      </c>
      <c r="V44" s="564"/>
      <c r="W44" s="564">
        <v>690</v>
      </c>
      <c r="X44" s="564"/>
      <c r="Y44" s="564"/>
      <c r="Z44" s="564"/>
      <c r="AA44" s="250">
        <f t="shared" si="1"/>
        <v>3025</v>
      </c>
      <c r="AB44" s="565">
        <f t="shared" si="2"/>
        <v>4.0211562000512582E-2</v>
      </c>
      <c r="AC44" s="437"/>
      <c r="AD44" s="564">
        <v>27168.655058941298</v>
      </c>
      <c r="AE44" s="565">
        <f t="shared" si="3"/>
        <v>0.31571758248086762</v>
      </c>
      <c r="AF44" s="566">
        <f t="shared" si="4"/>
        <v>-24143.655058941298</v>
      </c>
      <c r="AG44" s="564">
        <v>1797</v>
      </c>
      <c r="AH44" s="565">
        <f t="shared" si="5"/>
        <v>2.4279721851938822E-2</v>
      </c>
      <c r="AI44" s="567">
        <f t="shared" si="6"/>
        <v>1228</v>
      </c>
      <c r="AJ44" s="440">
        <f t="shared" si="7"/>
        <v>4.5625942684766212</v>
      </c>
      <c r="AK44" s="441">
        <f t="shared" si="8"/>
        <v>40.844281570576797</v>
      </c>
      <c r="AL44" s="442">
        <f t="shared" si="9"/>
        <v>2.2979539641943734</v>
      </c>
      <c r="AM44" s="443" t="str">
        <f t="shared" si="10"/>
        <v>-27.55 pts.</v>
      </c>
      <c r="AN44" s="444" t="str">
        <f t="shared" si="11"/>
        <v>1.59 pts.</v>
      </c>
      <c r="AO44" s="11"/>
    </row>
    <row r="45" spans="1:41" ht="15" thickTop="1" x14ac:dyDescent="0.3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45"/>
      <c r="P45" s="251"/>
      <c r="Q45" s="251"/>
      <c r="R45" s="251"/>
      <c r="S45" s="251"/>
      <c r="T45" s="251"/>
      <c r="U45" s="251"/>
      <c r="V45" s="251"/>
      <c r="W45" s="251"/>
      <c r="X45" s="251"/>
      <c r="Y45" s="251"/>
      <c r="Z45" s="251"/>
      <c r="AA45" s="251">
        <f t="shared" si="1"/>
        <v>0</v>
      </c>
      <c r="AB45" s="446" t="str">
        <f t="shared" si="2"/>
        <v/>
      </c>
      <c r="AC45" s="437"/>
      <c r="AD45" s="251"/>
      <c r="AE45" s="446" t="str">
        <f t="shared" si="3"/>
        <v/>
      </c>
      <c r="AF45" s="447">
        <f t="shared" si="4"/>
        <v>0</v>
      </c>
      <c r="AG45" s="251">
        <v>2922</v>
      </c>
      <c r="AH45" s="446">
        <f t="shared" si="5"/>
        <v>3.9479881608995682E-2</v>
      </c>
      <c r="AI45" s="448">
        <f t="shared" si="6"/>
        <v>-2922</v>
      </c>
      <c r="AJ45" s="449">
        <f t="shared" si="7"/>
        <v>0</v>
      </c>
      <c r="AK45" s="450">
        <f t="shared" si="8"/>
        <v>0</v>
      </c>
      <c r="AL45" s="451">
        <f t="shared" si="9"/>
        <v>3.7365728900255752</v>
      </c>
      <c r="AM45" s="452">
        <f t="shared" si="10"/>
        <v>0</v>
      </c>
      <c r="AN45" s="453">
        <f t="shared" si="11"/>
        <v>0</v>
      </c>
      <c r="AO45" s="11"/>
    </row>
    <row r="46" spans="1:41" x14ac:dyDescent="0.3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54"/>
      <c r="P46" s="225"/>
      <c r="Q46" s="225"/>
      <c r="R46" s="225">
        <v>828</v>
      </c>
      <c r="S46" s="225"/>
      <c r="T46" s="225">
        <v>1455</v>
      </c>
      <c r="U46" s="225">
        <v>164</v>
      </c>
      <c r="V46" s="225"/>
      <c r="W46" s="225">
        <v>690</v>
      </c>
      <c r="X46" s="225"/>
      <c r="Y46" s="225">
        <v>660</v>
      </c>
      <c r="Z46" s="225"/>
      <c r="AA46" s="225">
        <f t="shared" si="1"/>
        <v>3797</v>
      </c>
      <c r="AB46" s="226">
        <f t="shared" si="2"/>
        <v>5.0473818484610342E-2</v>
      </c>
      <c r="AC46" s="227"/>
      <c r="AD46" s="225">
        <v>27168.655058941298</v>
      </c>
      <c r="AE46" s="226">
        <f t="shared" si="3"/>
        <v>0.31571758248086762</v>
      </c>
      <c r="AF46" s="228">
        <f t="shared" si="4"/>
        <v>-23371.655058941298</v>
      </c>
      <c r="AG46" s="225">
        <v>5086.99</v>
      </c>
      <c r="AH46" s="226">
        <f t="shared" si="5"/>
        <v>6.8731609495600587E-2</v>
      </c>
      <c r="AI46" s="455">
        <f t="shared" si="6"/>
        <v>-1289.9899999999998</v>
      </c>
      <c r="AJ46" s="229">
        <f t="shared" si="7"/>
        <v>5.7269984917043741</v>
      </c>
      <c r="AK46" s="230">
        <f t="shared" si="8"/>
        <v>40.844281570576797</v>
      </c>
      <c r="AL46" s="232">
        <f t="shared" si="9"/>
        <v>6.5051023017902807</v>
      </c>
      <c r="AM46" s="427" t="str">
        <f t="shared" si="10"/>
        <v>-26.52 pts.</v>
      </c>
      <c r="AN46" s="456" t="str">
        <f t="shared" si="11"/>
        <v>-1.83 pts.</v>
      </c>
      <c r="AO46" s="11"/>
    </row>
    <row r="47" spans="1:41" x14ac:dyDescent="0.35">
      <c r="A47" s="61"/>
      <c r="B47" s="11"/>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0"/>
      <c r="P47" s="216"/>
      <c r="Q47" s="216"/>
      <c r="R47" s="216"/>
      <c r="S47" s="216"/>
      <c r="T47" s="216"/>
      <c r="U47" s="216"/>
      <c r="V47" s="216"/>
      <c r="W47" s="216"/>
      <c r="X47" s="216"/>
      <c r="Y47" s="216"/>
      <c r="Z47" s="216"/>
      <c r="AA47" s="216">
        <f t="shared" si="1"/>
        <v>0</v>
      </c>
      <c r="AB47" s="218" t="str">
        <f t="shared" si="2"/>
        <v/>
      </c>
      <c r="AC47" s="459"/>
      <c r="AD47" s="216"/>
      <c r="AE47" s="218" t="str">
        <f t="shared" si="3"/>
        <v/>
      </c>
      <c r="AF47" s="233">
        <f t="shared" si="4"/>
        <v>0</v>
      </c>
      <c r="AG47" s="216"/>
      <c r="AH47" s="218" t="str">
        <f t="shared" si="5"/>
        <v/>
      </c>
      <c r="AI47" s="531">
        <f t="shared" si="6"/>
        <v>0</v>
      </c>
      <c r="AJ47" s="532">
        <f t="shared" si="7"/>
        <v>0</v>
      </c>
      <c r="AK47" s="533">
        <f t="shared" si="8"/>
        <v>0</v>
      </c>
      <c r="AL47" s="534">
        <f t="shared" si="9"/>
        <v>0</v>
      </c>
      <c r="AM47" s="535">
        <f t="shared" si="10"/>
        <v>0</v>
      </c>
      <c r="AN47" s="536">
        <f t="shared" si="11"/>
        <v>0</v>
      </c>
      <c r="AO47" s="11"/>
    </row>
    <row r="48" spans="1:41" x14ac:dyDescent="0.3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54"/>
      <c r="P48" s="225"/>
      <c r="Q48" s="225"/>
      <c r="R48" s="225">
        <v>13808</v>
      </c>
      <c r="S48" s="225">
        <v>1520</v>
      </c>
      <c r="T48" s="225">
        <v>4815</v>
      </c>
      <c r="U48" s="225">
        <v>189</v>
      </c>
      <c r="V48" s="225"/>
      <c r="W48" s="225">
        <v>6410</v>
      </c>
      <c r="X48" s="225">
        <v>5771.7</v>
      </c>
      <c r="Y48" s="225">
        <v>8637</v>
      </c>
      <c r="Z48" s="225">
        <v>3633</v>
      </c>
      <c r="AA48" s="225">
        <f t="shared" si="1"/>
        <v>44783.7</v>
      </c>
      <c r="AB48" s="226">
        <f t="shared" si="2"/>
        <v>0.59531323278094395</v>
      </c>
      <c r="AC48" s="227"/>
      <c r="AD48" s="225">
        <v>56601.364706127599</v>
      </c>
      <c r="AE48" s="226">
        <f t="shared" si="3"/>
        <v>0.65774496350180622</v>
      </c>
      <c r="AF48" s="228">
        <f t="shared" si="4"/>
        <v>-11817.664706127602</v>
      </c>
      <c r="AG48" s="225">
        <v>37142.85</v>
      </c>
      <c r="AH48" s="226">
        <f t="shared" si="5"/>
        <v>0.50184644785102162</v>
      </c>
      <c r="AI48" s="455">
        <f t="shared" si="6"/>
        <v>7640.8499999999985</v>
      </c>
      <c r="AJ48" s="229">
        <f t="shared" si="7"/>
        <v>67.547058823529412</v>
      </c>
      <c r="AK48" s="230">
        <f t="shared" si="8"/>
        <v>85.092253272034824</v>
      </c>
      <c r="AL48" s="232">
        <f t="shared" si="9"/>
        <v>47.497250639386188</v>
      </c>
      <c r="AM48" s="427" t="str">
        <f t="shared" si="10"/>
        <v>-6.24 pts.</v>
      </c>
      <c r="AN48" s="456" t="str">
        <f t="shared" si="11"/>
        <v>9.35 pts.</v>
      </c>
      <c r="AO48" s="11"/>
    </row>
    <row r="49" spans="1:41" x14ac:dyDescent="0.3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10"/>
      <c r="Q49" s="210"/>
      <c r="R49" s="210"/>
      <c r="S49" s="210"/>
      <c r="T49" s="210"/>
      <c r="U49" s="210"/>
      <c r="V49" s="210"/>
      <c r="W49" s="210"/>
      <c r="X49" s="210"/>
      <c r="Y49" s="210"/>
      <c r="Z49" s="210"/>
      <c r="AA49" s="252" t="str">
        <f t="shared" si="1"/>
        <v/>
      </c>
      <c r="AB49" s="211" t="str">
        <f t="shared" si="2"/>
        <v/>
      </c>
      <c r="AC49" s="459"/>
      <c r="AD49" s="210"/>
      <c r="AE49" s="211" t="str">
        <f t="shared" si="3"/>
        <v/>
      </c>
      <c r="AF49" s="253" t="str">
        <f t="shared" si="4"/>
        <v/>
      </c>
      <c r="AG49" s="210"/>
      <c r="AH49" s="211" t="str">
        <f t="shared" si="5"/>
        <v/>
      </c>
      <c r="AI49" s="569" t="str">
        <f t="shared" si="6"/>
        <v/>
      </c>
      <c r="AJ49" s="234">
        <f t="shared" si="7"/>
        <v>0</v>
      </c>
      <c r="AK49" s="235">
        <f t="shared" si="8"/>
        <v>0</v>
      </c>
      <c r="AL49" s="237">
        <f t="shared" si="9"/>
        <v>0</v>
      </c>
      <c r="AM49" s="429">
        <f t="shared" si="10"/>
        <v>0</v>
      </c>
      <c r="AN49" s="462">
        <f t="shared" si="11"/>
        <v>0</v>
      </c>
      <c r="AO49" s="11"/>
    </row>
    <row r="50" spans="1:41" x14ac:dyDescent="0.35">
      <c r="A50" s="65" t="s">
        <v>2</v>
      </c>
      <c r="B50" s="66" t="str">
        <f>IF(_epmOfflineCondition_,"'BCC_Group'!$B$2:$B$10",_xll.EVRNG($B$2:$B$10))</f>
        <v>'BCC_Group'!$B$2:$B$10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c r="P50" s="564"/>
      <c r="Q50" s="564"/>
      <c r="R50" s="564"/>
      <c r="S50" s="564"/>
      <c r="T50" s="564"/>
      <c r="U50" s="564"/>
      <c r="V50" s="564"/>
      <c r="W50" s="564">
        <v>75</v>
      </c>
      <c r="X50" s="564"/>
      <c r="Y50" s="564"/>
      <c r="Z50" s="564"/>
      <c r="AA50" s="250">
        <f t="shared" si="1"/>
        <v>75</v>
      </c>
      <c r="AB50" s="565">
        <f t="shared" si="2"/>
        <v>9.9698087604576649E-4</v>
      </c>
      <c r="AC50" s="437"/>
      <c r="AD50" s="564">
        <v>5000</v>
      </c>
      <c r="AE50" s="565">
        <f t="shared" si="3"/>
        <v>5.8103277802292949E-2</v>
      </c>
      <c r="AF50" s="566">
        <f t="shared" si="4"/>
        <v>-4925</v>
      </c>
      <c r="AG50" s="564">
        <v>6613.73</v>
      </c>
      <c r="AH50" s="565">
        <f t="shared" si="5"/>
        <v>8.9359780080035242E-2</v>
      </c>
      <c r="AI50" s="567">
        <f t="shared" si="6"/>
        <v>-6538.73</v>
      </c>
      <c r="AJ50" s="440">
        <f t="shared" si="7"/>
        <v>0.11312217194570136</v>
      </c>
      <c r="AK50" s="441">
        <f t="shared" si="8"/>
        <v>7.5168022638527336</v>
      </c>
      <c r="AL50" s="442">
        <f t="shared" si="9"/>
        <v>8.457455242966752</v>
      </c>
      <c r="AM50" s="443" t="str">
        <f t="shared" si="10"/>
        <v>-5.71 pts.</v>
      </c>
      <c r="AN50" s="444" t="str">
        <f t="shared" si="11"/>
        <v>-8.84 pts.</v>
      </c>
      <c r="AO50" s="11"/>
    </row>
    <row r="51" spans="1:41" x14ac:dyDescent="0.35">
      <c r="A51" s="65" t="s">
        <v>3</v>
      </c>
      <c r="B51" s="66" t="str">
        <f>IF(_epmOfflineCondition_,"'BCC_Group'!$O$16:$AN$18",_xll.EVRNG($O$16:$AN$18))</f>
        <v>'BCC_Group'!$O$16:$AN$18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c r="P51" s="564">
        <v>500</v>
      </c>
      <c r="Q51" s="564">
        <v>950</v>
      </c>
      <c r="R51" s="564">
        <v>800</v>
      </c>
      <c r="S51" s="564">
        <v>500</v>
      </c>
      <c r="T51" s="564">
        <v>1000</v>
      </c>
      <c r="U51" s="564">
        <v>2000</v>
      </c>
      <c r="V51" s="564"/>
      <c r="W51" s="564">
        <v>1900</v>
      </c>
      <c r="X51" s="564">
        <v>1550</v>
      </c>
      <c r="Y51" s="564">
        <v>2500</v>
      </c>
      <c r="Z51" s="564">
        <v>6950</v>
      </c>
      <c r="AA51" s="250">
        <f t="shared" si="1"/>
        <v>18650</v>
      </c>
      <c r="AB51" s="565">
        <f t="shared" si="2"/>
        <v>0.24791591117671394</v>
      </c>
      <c r="AC51" s="437"/>
      <c r="AD51" s="564">
        <v>12000</v>
      </c>
      <c r="AE51" s="565">
        <f t="shared" si="3"/>
        <v>0.13944786672550308</v>
      </c>
      <c r="AF51" s="566">
        <f t="shared" si="4"/>
        <v>6650</v>
      </c>
      <c r="AG51" s="564">
        <v>21575</v>
      </c>
      <c r="AH51" s="565">
        <f t="shared" si="5"/>
        <v>0.2915052860075571</v>
      </c>
      <c r="AI51" s="567">
        <f t="shared" si="6"/>
        <v>-2925</v>
      </c>
      <c r="AJ51" s="440">
        <f t="shared" si="7"/>
        <v>28.12971342383107</v>
      </c>
      <c r="AK51" s="441">
        <f t="shared" si="8"/>
        <v>18.040325433246561</v>
      </c>
      <c r="AL51" s="442">
        <f t="shared" si="9"/>
        <v>27.589514066496164</v>
      </c>
      <c r="AM51" s="443" t="str">
        <f t="shared" si="10"/>
        <v>10.85 pts.</v>
      </c>
      <c r="AN51" s="444" t="str">
        <f t="shared" si="11"/>
        <v>-4.36 pts.</v>
      </c>
      <c r="AO51" s="11"/>
    </row>
    <row r="52" spans="1:41" x14ac:dyDescent="0.35">
      <c r="A52" s="65" t="s">
        <v>4</v>
      </c>
      <c r="B52" s="66" t="str">
        <f>IF(_epmOfflineCondition_,"",_xll.EVRNG(#REF!))</f>
        <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c r="P52" s="564"/>
      <c r="Q52" s="564"/>
      <c r="R52" s="564">
        <v>3037.1</v>
      </c>
      <c r="S52" s="564">
        <v>334.4</v>
      </c>
      <c r="T52" s="564">
        <v>1059.3</v>
      </c>
      <c r="U52" s="564">
        <v>35.020000000000003</v>
      </c>
      <c r="V52" s="564"/>
      <c r="W52" s="564">
        <v>1410.2</v>
      </c>
      <c r="X52" s="564">
        <v>1243</v>
      </c>
      <c r="Y52" s="564">
        <v>1900.14</v>
      </c>
      <c r="Z52" s="564">
        <v>799.26</v>
      </c>
      <c r="AA52" s="250">
        <f t="shared" si="1"/>
        <v>9818.42</v>
      </c>
      <c r="AB52" s="565">
        <f t="shared" si="2"/>
        <v>0.13051702630647033</v>
      </c>
      <c r="AC52" s="437"/>
      <c r="AD52" s="564">
        <v>12452.300235348101</v>
      </c>
      <c r="AE52" s="565">
        <f t="shared" si="3"/>
        <v>0.14470389197039771</v>
      </c>
      <c r="AF52" s="566">
        <f t="shared" si="4"/>
        <v>-2633.8802353481005</v>
      </c>
      <c r="AG52" s="564">
        <v>7960.27</v>
      </c>
      <c r="AH52" s="565">
        <f t="shared" si="5"/>
        <v>0.10755322285271735</v>
      </c>
      <c r="AI52" s="567">
        <f t="shared" si="6"/>
        <v>1858.1499999999996</v>
      </c>
      <c r="AJ52" s="440">
        <f t="shared" si="7"/>
        <v>14.809079939668175</v>
      </c>
      <c r="AK52" s="441">
        <f t="shared" si="8"/>
        <v>18.720295719847705</v>
      </c>
      <c r="AL52" s="442">
        <f t="shared" si="9"/>
        <v>10.179373401534528</v>
      </c>
      <c r="AM52" s="443" t="str">
        <f t="shared" si="10"/>
        <v>-1.42 pts.</v>
      </c>
      <c r="AN52" s="444" t="str">
        <f t="shared" si="11"/>
        <v>2.3 pts.</v>
      </c>
      <c r="AO52" s="11"/>
    </row>
    <row r="53" spans="1:41" x14ac:dyDescent="0.3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c r="P53" s="564"/>
      <c r="Q53" s="564"/>
      <c r="R53" s="564">
        <v>300</v>
      </c>
      <c r="S53" s="564"/>
      <c r="T53" s="564">
        <v>300</v>
      </c>
      <c r="U53" s="564">
        <v>600</v>
      </c>
      <c r="V53" s="564"/>
      <c r="W53" s="564">
        <v>300</v>
      </c>
      <c r="X53" s="564"/>
      <c r="Y53" s="564">
        <v>300</v>
      </c>
      <c r="Z53" s="564">
        <v>100</v>
      </c>
      <c r="AA53" s="250">
        <f t="shared" si="1"/>
        <v>1900</v>
      </c>
      <c r="AB53" s="565">
        <f t="shared" si="2"/>
        <v>2.5256848859826087E-2</v>
      </c>
      <c r="AC53" s="437"/>
      <c r="AD53" s="564"/>
      <c r="AE53" s="565" t="str">
        <f t="shared" si="3"/>
        <v/>
      </c>
      <c r="AF53" s="566">
        <f t="shared" si="4"/>
        <v>1900</v>
      </c>
      <c r="AG53" s="564">
        <v>720.53</v>
      </c>
      <c r="AH53" s="565">
        <f t="shared" si="5"/>
        <v>9.7352632086686024E-3</v>
      </c>
      <c r="AI53" s="567">
        <f t="shared" si="6"/>
        <v>1179.47</v>
      </c>
      <c r="AJ53" s="440">
        <f t="shared" si="7"/>
        <v>2.8657616892911011</v>
      </c>
      <c r="AK53" s="441">
        <f t="shared" si="8"/>
        <v>0</v>
      </c>
      <c r="AL53" s="442">
        <f t="shared" si="9"/>
        <v>0.9213938618925831</v>
      </c>
      <c r="AM53" s="443">
        <f t="shared" si="10"/>
        <v>0</v>
      </c>
      <c r="AN53" s="444" t="str">
        <f t="shared" si="11"/>
        <v>1.55 pts.</v>
      </c>
      <c r="AO53" s="11"/>
    </row>
    <row r="54" spans="1:41" x14ac:dyDescent="0.3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45"/>
      <c r="P54" s="251"/>
      <c r="Q54" s="251"/>
      <c r="R54" s="251"/>
      <c r="S54" s="251"/>
      <c r="T54" s="251"/>
      <c r="U54" s="251"/>
      <c r="V54" s="251"/>
      <c r="W54" s="251"/>
      <c r="X54" s="251"/>
      <c r="Y54" s="251"/>
      <c r="Z54" s="251"/>
      <c r="AA54" s="251">
        <f t="shared" si="1"/>
        <v>0</v>
      </c>
      <c r="AB54" s="446" t="str">
        <f t="shared" si="2"/>
        <v/>
      </c>
      <c r="AC54" s="437"/>
      <c r="AD54" s="251"/>
      <c r="AE54" s="446" t="str">
        <f t="shared" si="3"/>
        <v/>
      </c>
      <c r="AF54" s="447">
        <f t="shared" si="4"/>
        <v>0</v>
      </c>
      <c r="AG54" s="251"/>
      <c r="AH54" s="446" t="str">
        <f t="shared" si="5"/>
        <v/>
      </c>
      <c r="AI54" s="448">
        <f t="shared" si="6"/>
        <v>0</v>
      </c>
      <c r="AJ54" s="449">
        <f t="shared" si="7"/>
        <v>0</v>
      </c>
      <c r="AK54" s="450">
        <f t="shared" si="8"/>
        <v>0</v>
      </c>
      <c r="AL54" s="451">
        <f t="shared" si="9"/>
        <v>0</v>
      </c>
      <c r="AM54" s="452">
        <f t="shared" si="10"/>
        <v>0</v>
      </c>
      <c r="AN54" s="453">
        <f t="shared" si="11"/>
        <v>0</v>
      </c>
      <c r="AO54" s="11"/>
    </row>
    <row r="55" spans="1:41" ht="15" thickBot="1" x14ac:dyDescent="0.4">
      <c r="A55" s="65" t="s">
        <v>7</v>
      </c>
      <c r="B55" s="66" t="str">
        <f>IF(_epmOfflineCondition_,"'BCC_Group'!$A$69:$F$77",_xll.EVRNG(A69:F77))</f>
        <v>'BCC_Group'!$A$69:$F$77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63"/>
      <c r="P55" s="238">
        <v>500</v>
      </c>
      <c r="Q55" s="238">
        <v>950</v>
      </c>
      <c r="R55" s="238">
        <v>4137.1000000000004</v>
      </c>
      <c r="S55" s="238">
        <v>834.4</v>
      </c>
      <c r="T55" s="238">
        <v>2359.3000000000002</v>
      </c>
      <c r="U55" s="238">
        <v>2635.02</v>
      </c>
      <c r="V55" s="238"/>
      <c r="W55" s="238">
        <v>3685.2</v>
      </c>
      <c r="X55" s="238">
        <v>2793</v>
      </c>
      <c r="Y55" s="238">
        <v>4700.1400000000003</v>
      </c>
      <c r="Z55" s="238">
        <v>7849.26</v>
      </c>
      <c r="AA55" s="238">
        <f t="shared" si="1"/>
        <v>30443.42</v>
      </c>
      <c r="AB55" s="239">
        <f t="shared" si="2"/>
        <v>0.40468676721905611</v>
      </c>
      <c r="AC55" s="240"/>
      <c r="AD55" s="238">
        <v>29452.300235348099</v>
      </c>
      <c r="AE55" s="239">
        <f t="shared" si="3"/>
        <v>0.34225503649819372</v>
      </c>
      <c r="AF55" s="241">
        <f t="shared" si="4"/>
        <v>991.11976465189946</v>
      </c>
      <c r="AG55" s="238">
        <v>36869.53</v>
      </c>
      <c r="AH55" s="239">
        <f t="shared" si="5"/>
        <v>0.49815355214897827</v>
      </c>
      <c r="AI55" s="464">
        <f t="shared" si="6"/>
        <v>-6426.1100000000006</v>
      </c>
      <c r="AJ55" s="242">
        <f t="shared" si="7"/>
        <v>45.917677224736046</v>
      </c>
      <c r="AK55" s="243">
        <f t="shared" si="8"/>
        <v>44.277423416946995</v>
      </c>
      <c r="AL55" s="245">
        <f t="shared" si="9"/>
        <v>47.147736572890025</v>
      </c>
      <c r="AM55" s="431" t="str">
        <f t="shared" si="10"/>
        <v>6.24 pts.</v>
      </c>
      <c r="AN55" s="465" t="str">
        <f t="shared" si="11"/>
        <v>-9.35 pts.</v>
      </c>
      <c r="AO55" s="11"/>
    </row>
    <row r="56" spans="1:41" ht="15.5" thickTop="1" thickBot="1" x14ac:dyDescent="0.4">
      <c r="A56" s="65" t="s">
        <v>47</v>
      </c>
      <c r="B56" s="66" t="str">
        <f>IF(_epmOfflineCondition_,"'BCC_Group'!$A$125:$B$146",_xll.EVRNG($A$125:$B$146))</f>
        <v>'BCC_Group'!$A$125:$B$146</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575"/>
      <c r="P56" s="576">
        <v>500</v>
      </c>
      <c r="Q56" s="576">
        <v>950</v>
      </c>
      <c r="R56" s="576">
        <v>17945.099999999999</v>
      </c>
      <c r="S56" s="576">
        <v>2354.4</v>
      </c>
      <c r="T56" s="576">
        <v>7174.3</v>
      </c>
      <c r="U56" s="576">
        <v>2824.02</v>
      </c>
      <c r="V56" s="576"/>
      <c r="W56" s="576">
        <v>10095.200000000001</v>
      </c>
      <c r="X56" s="576">
        <v>8564.7000000000007</v>
      </c>
      <c r="Y56" s="576">
        <v>13337.14</v>
      </c>
      <c r="Z56" s="576">
        <v>11482.26</v>
      </c>
      <c r="AA56" s="576">
        <f t="shared" si="1"/>
        <v>75227.12</v>
      </c>
      <c r="AB56" s="577">
        <f t="shared" si="2"/>
        <v>1</v>
      </c>
      <c r="AC56" s="578"/>
      <c r="AD56" s="576">
        <v>86053.664941475698</v>
      </c>
      <c r="AE56" s="577">
        <f t="shared" si="3"/>
        <v>1</v>
      </c>
      <c r="AF56" s="579">
        <f t="shared" si="4"/>
        <v>-10826.544941475702</v>
      </c>
      <c r="AG56" s="576">
        <v>74012.38</v>
      </c>
      <c r="AH56" s="577">
        <f t="shared" si="5"/>
        <v>1</v>
      </c>
      <c r="AI56" s="580">
        <f t="shared" si="6"/>
        <v>1214.7399999999907</v>
      </c>
      <c r="AJ56" s="581">
        <f t="shared" si="7"/>
        <v>113.46473604826545</v>
      </c>
      <c r="AK56" s="582">
        <f t="shared" si="8"/>
        <v>129.36967668898183</v>
      </c>
      <c r="AL56" s="583">
        <f t="shared" si="9"/>
        <v>94.64498721227622</v>
      </c>
      <c r="AM56" s="584" t="str">
        <f t="shared" si="10"/>
        <v>0 pts.</v>
      </c>
      <c r="AN56" s="585" t="str">
        <f t="shared" si="11"/>
        <v>0 pts.</v>
      </c>
      <c r="AO56" s="11"/>
    </row>
    <row r="57" spans="1:41" ht="15" thickTop="1" x14ac:dyDescent="0.35">
      <c r="A57" s="65" t="s">
        <v>8</v>
      </c>
      <c r="B57" s="66"/>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203"/>
      <c r="AE57" s="204"/>
      <c r="AF57" s="118"/>
      <c r="AG57" s="204"/>
      <c r="AH57" s="204"/>
      <c r="AI57" s="118"/>
      <c r="AJ57" s="11"/>
      <c r="AK57" s="11"/>
      <c r="AL57" s="11"/>
      <c r="AM57" s="11"/>
      <c r="AN57" s="11"/>
      <c r="AO57" s="11"/>
    </row>
    <row r="58" spans="1:41" x14ac:dyDescent="0.35">
      <c r="A58" s="11"/>
      <c r="B58" s="11"/>
      <c r="C58" s="11"/>
      <c r="D58" s="11"/>
      <c r="E58" s="11"/>
      <c r="F58" s="11"/>
      <c r="G58" s="76"/>
      <c r="H58" s="11"/>
      <c r="I58" s="59"/>
      <c r="J58" s="59"/>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62" t="s">
        <v>9</v>
      </c>
      <c r="B59" s="63" t="s">
        <v>10</v>
      </c>
      <c r="C59" s="11"/>
      <c r="D59" s="11"/>
      <c r="E59" s="11"/>
      <c r="F59" s="11"/>
      <c r="G59" s="11"/>
      <c r="H59" s="11"/>
      <c r="I59" s="59"/>
      <c r="J59" s="59"/>
      <c r="K59" s="11"/>
      <c r="L59" s="11"/>
      <c r="M59" s="11"/>
      <c r="N59" s="11"/>
      <c r="O59" s="137"/>
      <c r="P59" s="137"/>
      <c r="Q59" s="137"/>
      <c r="R59" s="137"/>
      <c r="S59" s="137"/>
      <c r="T59" s="137"/>
      <c r="U59" s="137"/>
      <c r="V59" s="137"/>
      <c r="W59" s="137"/>
      <c r="X59" s="137"/>
      <c r="Y59" s="137"/>
      <c r="Z59" s="137"/>
      <c r="AA59" s="137"/>
      <c r="AB59" s="11"/>
      <c r="AC59" s="11"/>
      <c r="AD59" s="137"/>
      <c r="AE59" s="11"/>
      <c r="AF59" s="11"/>
      <c r="AG59" s="137"/>
      <c r="AH59" s="11"/>
      <c r="AI59" s="11"/>
      <c r="AJ59" s="11"/>
      <c r="AK59" s="11"/>
      <c r="AL59" s="11"/>
      <c r="AM59" s="11"/>
      <c r="AN59" s="11"/>
      <c r="AO59" s="11"/>
    </row>
    <row r="60" spans="1:41" x14ac:dyDescent="0.35">
      <c r="A60" s="65" t="s">
        <v>11</v>
      </c>
      <c r="B60" s="66" t="s">
        <v>21</v>
      </c>
      <c r="C60" s="11"/>
      <c r="D60" s="11"/>
      <c r="E60" s="11"/>
      <c r="F60" s="11"/>
      <c r="G60" s="11"/>
      <c r="H60" s="11"/>
      <c r="I60" s="59"/>
      <c r="J60" s="59"/>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65" t="s">
        <v>12</v>
      </c>
      <c r="B61" s="66" t="s">
        <v>22</v>
      </c>
      <c r="C61" s="11"/>
      <c r="D61" s="11"/>
      <c r="E61" s="11"/>
      <c r="F61" s="11"/>
      <c r="G61" s="11"/>
      <c r="H61" s="11"/>
      <c r="I61" s="59"/>
      <c r="J61" s="59"/>
      <c r="K61" s="11"/>
      <c r="L61" s="11"/>
      <c r="M61" s="11"/>
      <c r="N61" s="11"/>
      <c r="O61" s="137"/>
      <c r="P61" s="137"/>
      <c r="Q61" s="137"/>
      <c r="R61" s="137"/>
      <c r="S61" s="137"/>
      <c r="T61" s="137"/>
      <c r="U61" s="137"/>
      <c r="V61" s="137"/>
      <c r="W61" s="137"/>
      <c r="X61" s="137"/>
      <c r="Y61" s="137"/>
      <c r="Z61" s="137"/>
      <c r="AA61" s="137"/>
      <c r="AB61" s="11"/>
      <c r="AC61" s="11"/>
      <c r="AD61" s="137"/>
      <c r="AE61" s="11"/>
      <c r="AF61" s="11"/>
      <c r="AG61" s="137"/>
      <c r="AH61" s="11"/>
      <c r="AI61" s="11"/>
      <c r="AJ61" s="11"/>
      <c r="AK61" s="11"/>
      <c r="AL61" s="11"/>
      <c r="AM61" s="11"/>
      <c r="AN61" s="11"/>
      <c r="AO61" s="11"/>
    </row>
    <row r="62" spans="1:41" x14ac:dyDescent="0.35">
      <c r="A62" s="65" t="s">
        <v>13</v>
      </c>
      <c r="B62" s="66" t="str">
        <f>"DEP(COS_FB) AND "&amp;$E$6&amp;"=Y,COS_FB,COSOTH,DEP(COS_OTHR) AND "&amp;$E$6&amp;"=Y,COS_OTHR,500001"</f>
        <v>DEP(COS_FB) AND D2148=Y,COS_FB,COSOTH,DEP(COS_OTHR) AND D2148=Y,COS_OTHR,500001</v>
      </c>
      <c r="C62" s="11"/>
      <c r="D62" s="11"/>
      <c r="E62" s="11"/>
      <c r="F62" s="11"/>
      <c r="G62" s="11"/>
      <c r="H62" s="11"/>
      <c r="I62" s="59"/>
      <c r="J62" s="59"/>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14</v>
      </c>
      <c r="B63" s="66"/>
      <c r="C63" s="11"/>
      <c r="D63" s="11"/>
      <c r="E63" s="11"/>
      <c r="F63" s="11"/>
      <c r="G63" s="11"/>
      <c r="H63" s="11"/>
      <c r="I63" s="59"/>
      <c r="J63" s="59"/>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15</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16</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17</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97" t="s">
        <v>92</v>
      </c>
      <c r="B68" s="98" t="s">
        <v>93</v>
      </c>
      <c r="C68" s="98" t="s">
        <v>94</v>
      </c>
      <c r="D68" s="98" t="s">
        <v>95</v>
      </c>
      <c r="E68" s="98" t="s">
        <v>96</v>
      </c>
      <c r="F68" s="99" t="s">
        <v>97</v>
      </c>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t="s">
        <v>209</v>
      </c>
      <c r="B70" s="11" t="s">
        <v>21</v>
      </c>
      <c r="C70" s="395"/>
      <c r="D70" s="11" t="s">
        <v>590</v>
      </c>
      <c r="E70" s="11"/>
      <c r="F70" s="11" t="s">
        <v>99</v>
      </c>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t="s">
        <v>105</v>
      </c>
      <c r="B71" s="11"/>
      <c r="C71" s="104" t="s">
        <v>101</v>
      </c>
      <c r="D71" s="11" t="s">
        <v>106</v>
      </c>
      <c r="E71" s="11"/>
      <c r="F71" s="11" t="s">
        <v>98</v>
      </c>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t="s">
        <v>104</v>
      </c>
      <c r="B72" s="11"/>
      <c r="C72" s="104" t="s">
        <v>101</v>
      </c>
      <c r="D72" s="11" t="s">
        <v>106</v>
      </c>
      <c r="E72" s="11"/>
      <c r="F72" s="11" t="s">
        <v>98</v>
      </c>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t="s">
        <v>100</v>
      </c>
      <c r="B73" s="11"/>
      <c r="C73" s="53" t="s">
        <v>101</v>
      </c>
      <c r="D73" s="11" t="s">
        <v>106</v>
      </c>
      <c r="E73" s="11"/>
      <c r="F73" s="11" t="s">
        <v>98</v>
      </c>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hidden="1" x14ac:dyDescent="0.35">
      <c r="A74" s="11" t="s">
        <v>102</v>
      </c>
      <c r="B74" s="11"/>
      <c r="C74" s="106" t="s">
        <v>101</v>
      </c>
      <c r="D74" s="11" t="s">
        <v>106</v>
      </c>
      <c r="E74" s="11"/>
      <c r="F74" s="11" t="s">
        <v>98</v>
      </c>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hidden="1" x14ac:dyDescent="0.35">
      <c r="A75" s="11" t="s">
        <v>102</v>
      </c>
      <c r="B75" s="11"/>
      <c r="C75" s="196" t="s">
        <v>101</v>
      </c>
      <c r="D75" s="11" t="s">
        <v>107</v>
      </c>
      <c r="E75" s="11"/>
      <c r="F75" s="11" t="s">
        <v>99</v>
      </c>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t="s">
        <v>108</v>
      </c>
      <c r="B76" s="11"/>
      <c r="C76" s="106" t="s">
        <v>101</v>
      </c>
      <c r="D76" s="11" t="s">
        <v>106</v>
      </c>
      <c r="E76" s="11"/>
      <c r="F76" s="11" t="s">
        <v>98</v>
      </c>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hidden="1" x14ac:dyDescent="0.35">
      <c r="A77" s="11" t="s">
        <v>108</v>
      </c>
      <c r="B77" s="11"/>
      <c r="C77" s="196" t="s">
        <v>101</v>
      </c>
      <c r="D77" s="11" t="s">
        <v>107</v>
      </c>
      <c r="E77" s="11"/>
      <c r="F77" s="11" t="s">
        <v>99</v>
      </c>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hidden="1"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208"/>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hidden="1"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hidden="1" x14ac:dyDescent="0.35">
      <c r="A82" s="62" t="s">
        <v>0</v>
      </c>
      <c r="B82" s="63" t="s">
        <v>1</v>
      </c>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2</v>
      </c>
      <c r="B83" s="66" t="str">
        <f>IF(_epmOfflineCondition_,"'BCC_Group'!$B$2:$B$10",_xll.EVRNG($B$2:$B$10))</f>
        <v>'BCC_Group'!$B$2:$B$10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3</v>
      </c>
      <c r="B84" s="66" t="str">
        <f>IF(_epmOfflineCondition_,"'BCC_Group'!$O$16:$AN$18",_xll.EVRNG($O$16:$AN$18))</f>
        <v>'BCC_Group'!$O$16:$AN$18</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4</v>
      </c>
      <c r="B85" s="66" t="str">
        <f>IF(_epmOfflineCondition_,"",_xll.EVRNG(#REF!,#REF!,#REF!))</f>
        <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5</v>
      </c>
      <c r="B86" s="66"/>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6</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7</v>
      </c>
      <c r="B88" s="66" t="str">
        <f>IF(_epmOfflineCondition_,"'BCC_Group'!$A$102:$F$108",_xll.EVRNG(A102:F108))</f>
        <v>'BCC_Group'!$A$102:$F$108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47</v>
      </c>
      <c r="B89" s="66" t="str">
        <f>IF(_epmOfflineCondition_,"'BCC_Group'!$A$125:$B$146",_xll.EVRNG($A$125:$B$146))</f>
        <v>'BCC_Group'!$A$125:$B$146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76"/>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c r="B111" s="11" t="s">
        <v>736</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IF(_epmOfflineCondition_,"'BCC_Group'!$B$2:$B$10",_xll.EVRNG($B$2:$B$10))</f>
        <v>'BCC_Group'!$B$2:$B$10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IF(_epmOfflineCondition_,"'BCC_Group'!$O$16:$AN$18",_xll.EVRNG($O$16:$AN$18))</f>
        <v>'BCC_Group'!$O$16:$AN$18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IF(_epmOfflineCondition_,"",_xll.EVRNG(#REF!))</f>
        <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IF(_epmOfflineCondition_,"'BCC_Group'!$A$125:$B$146",_xll.EVRNG($A$125:$B$146))</f>
        <v>'BCC_Group'!$A$125:$B$146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267"/>
      <c r="J127" s="11"/>
      <c r="K127" s="267"/>
      <c r="L127" s="267"/>
      <c r="M127" s="267"/>
      <c r="N127" s="11"/>
      <c r="O127" s="267"/>
      <c r="P127" s="267"/>
      <c r="Q127" s="267"/>
      <c r="R127" s="267"/>
      <c r="S127" s="267"/>
      <c r="T127" s="267"/>
      <c r="U127" s="267"/>
      <c r="V127" s="267"/>
      <c r="W127" s="267"/>
      <c r="X127" s="267"/>
      <c r="Y127" s="267"/>
      <c r="Z127" s="267"/>
      <c r="AA127" s="267"/>
      <c r="AB127" s="11"/>
      <c r="AC127" s="11"/>
      <c r="AD127" s="267"/>
      <c r="AE127" s="11"/>
      <c r="AF127" s="267"/>
      <c r="AG127" s="11"/>
      <c r="AH127" s="267"/>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267"/>
      <c r="J131" s="11"/>
      <c r="K131" s="267"/>
      <c r="L131" s="267"/>
      <c r="M131" s="267"/>
      <c r="N131" s="11"/>
      <c r="O131" s="267"/>
      <c r="P131" s="267"/>
      <c r="Q131" s="267"/>
      <c r="R131" s="267"/>
      <c r="S131" s="267"/>
      <c r="T131" s="267"/>
      <c r="U131" s="267"/>
      <c r="V131" s="267"/>
      <c r="W131" s="267"/>
      <c r="X131" s="267"/>
      <c r="Y131" s="267"/>
      <c r="Z131" s="267"/>
      <c r="AA131" s="267"/>
      <c r="AB131" s="11"/>
      <c r="AC131" s="11"/>
      <c r="AD131" s="267"/>
      <c r="AE131" s="11"/>
      <c r="AF131" s="267"/>
      <c r="AG131" s="11"/>
      <c r="AH131" s="267"/>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267"/>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267"/>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sheetData>
  <sheetProtection algorithmName="SHA-512" hashValue="SUGyUM9XbAEn2R1UB6Ln6h6+Pl62/hmqvHI+CyPCKQCCyqfOOnYgkzewZXAVRyKycaMKCyso2X7/fGGA9ZwMCg==" saltValue="li827WRMYELZ+MOOjY0cIg==" spinCount="100000" sheet="1" scenarios="1"/>
  <mergeCells count="2">
    <mergeCell ref="AD31:AE31"/>
    <mergeCell ref="AG31:AH31"/>
  </mergeCells>
  <dataValidations count="2">
    <dataValidation type="list" allowBlank="1" sqref="B95 B29 B62" xr:uid="{00000000-0002-0000-1900-000000000000}">
      <formula1>"SELF,ALL,BAS,DEP,BASMEMBERS,MEMBERS,NOEXPAND,GDEP"</formula1>
    </dataValidation>
    <dataValidation type="list" allowBlank="1" sqref="B94 B28 B61" xr:uid="{00000000-0002-0000-1900-000001000000}">
      <formula1>"ACCOUNT,BUSINESSUNIT,CATEGORY,DATASRC,DEPARTMENT,INTCO,MEASURES,RPTCURRENCY,TIME"</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6177" r:id="rId7" name="FPMExcelClientSheetOptionstb1">
          <controlPr defaultSize="0" autoLine="0" autoPict="0" r:id="rId8">
            <anchor moveWithCells="1" sizeWithCells="1">
              <from>
                <xdr:col>0</xdr:col>
                <xdr:colOff>0</xdr:colOff>
                <xdr:row>24</xdr:row>
                <xdr:rowOff>0</xdr:rowOff>
              </from>
              <to>
                <xdr:col>0</xdr:col>
                <xdr:colOff>0</xdr:colOff>
                <xdr:row>24</xdr:row>
                <xdr:rowOff>0</xdr:rowOff>
              </to>
            </anchor>
          </controlPr>
        </control>
      </mc:Choice>
      <mc:Fallback>
        <control shapeId="306177" r:id="rId7" name="FPMExcelClientSheetOptionstb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6">
    <tabColor theme="6" tint="0.39997558519241921"/>
    <pageSetUpPr fitToPage="1"/>
  </sheetPr>
  <dimension ref="A1:AI207"/>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47.81640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805</v>
      </c>
      <c r="C6" s="11" t="str">
        <f>IF(_epmOfflineCondition_,"Banquet CS Group",_xll.EVDES(B6,$B$1))</f>
        <v>Banquet CS Group</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IF(_epmOfflineCondition_,"'BCC_KPI_Group'!$B$2:$B$10",_xll.EVRNG($B$2:$B$10))</f>
        <v>'BCC_KPI_Group'!$B$2:$B$10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IF(_epmOfflineCondition_,"'BCC_KPI_Group'!$O$16:$AI$18",_xll.EVRNG(O16:AI18))</f>
        <v>'BCC_KPI_Group'!$O$16:$AI$18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IF(_epmOfflineCondition_,"'BCC_KPI_Group'!$H$35:$H$112",_xll.EVRNG(H35:H112))</f>
        <v>'BCC_KPI_Group'!$H$35:$H$112</v>
      </c>
      <c r="C19" s="11"/>
      <c r="D19" s="11"/>
      <c r="E19" s="11"/>
      <c r="F19" s="11"/>
      <c r="G19" s="67" t="str">
        <f>$B$6</f>
        <v>D2248</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IF(_epmOfflineCondition_,13808,_xll.EVGTS($B$1,1,$B$3,$B$5,$B$7,$B$9,R$16,R$17,R$18,$G$19,$H$19))</f>
        <v>13808</v>
      </c>
      <c r="S19" s="69">
        <f>IF(_epmOfflineCondition_,1520,_xll.EVGTS($B$1,1,$B$3,$B$5,$B$7,$B$9,S$16,S$17,S$18,$G$19,$H$19))</f>
        <v>1520</v>
      </c>
      <c r="T19" s="69">
        <f>IF(_epmOfflineCondition_,4815,_xll.EVGTS($B$1,1,$B$3,$B$5,$B$7,$B$9,T$16,T$17,T$18,$G$19,$H$19))</f>
        <v>4815</v>
      </c>
      <c r="U19" s="69">
        <f>IF(_epmOfflineCondition_,189,_xll.EVGTS($B$1,1,$B$3,$B$5,$B$7,$B$9,U$16,U$17,U$18,$G$19,$H$19))</f>
        <v>189</v>
      </c>
      <c r="V19" s="69">
        <f>IF(_epmOfflineCondition_,0,_xll.EVGTS($B$1,1,$B$3,$B$5,$B$7,$B$9,V$16,V$17,V$18,$G$19,$H$19))</f>
        <v>0</v>
      </c>
      <c r="W19" s="69">
        <f>IF(_epmOfflineCondition_,6410,_xll.EVGTS($B$1,1,$B$3,$B$5,$B$7,$B$9,W$16,W$17,W$18,$G$19,$H$19))</f>
        <v>6410</v>
      </c>
      <c r="X19" s="69">
        <f>IF(_epmOfflineCondition_,5771.7,_xll.EVGTS($B$1,1,$B$3,$B$5,$B$7,$B$9,X$16,X$17,X$18,$G$19,$H$19))</f>
        <v>5771.7</v>
      </c>
      <c r="Y19" s="69">
        <f>IF(_epmOfflineCondition_,8637,_xll.EVGTS($B$1,1,$B$3,$B$5,$B$7,$B$9,Y$16,Y$17,Y$18,$G$19,$H$19))</f>
        <v>8637</v>
      </c>
      <c r="Z19" s="69">
        <f>IF(_epmOfflineCondition_,3633,_xll.EVGTS($B$1,1,$B$3,$B$5,$B$7,$B$9,Z$16,Z$17,Z$18,$G$19,$H$19))</f>
        <v>3633</v>
      </c>
      <c r="AA19" s="69">
        <f>SUM(O19:Z19)</f>
        <v>44783.7</v>
      </c>
      <c r="AB19" s="67"/>
      <c r="AC19" s="67"/>
      <c r="AD19" s="69">
        <f>IF(_epmOfflineCondition_,56601.3647061276,_xll.EVGTS($B$1,1,$B$3,$B$5,$B$7,$B$9,AD$16,AD$17,AD$18,$G$19,$H$19))</f>
        <v>56601.364706127599</v>
      </c>
      <c r="AE19" s="67"/>
      <c r="AF19" s="67"/>
      <c r="AG19" s="69">
        <f>IF(_epmOfflineCondition_,37142.85,_xll.EVGTS($B$1,1,$B$3,$B$5,$B$7,$B$9,AG$16,AG$17,AG$18,$G$19,$H$19))</f>
        <v>37142.85</v>
      </c>
      <c r="AH19" s="67"/>
      <c r="AI19" s="67"/>
    </row>
    <row r="20" spans="1:35" hidden="1" outlineLevel="1" x14ac:dyDescent="0.35">
      <c r="A20" s="65" t="s">
        <v>5</v>
      </c>
      <c r="B20" s="66"/>
      <c r="C20" s="11"/>
      <c r="D20" s="11"/>
      <c r="E20" s="11"/>
      <c r="F20" s="11"/>
      <c r="G20" s="67" t="str">
        <f>$B$6</f>
        <v>D2248</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IF(_epmOfflineCondition_,71,_xll.EVGTS($B$1,1,$B$3,$B$5,$B$7,$B$9,R$16,R$17,R$18,$G$20,$H$20))</f>
        <v>71</v>
      </c>
      <c r="S20" s="69">
        <f>IF(_epmOfflineCondition_,32,_xll.EVGTS($B$1,1,$B$3,$B$5,$B$7,$B$9,S$16,S$17,S$18,$G$20,$H$20))</f>
        <v>32</v>
      </c>
      <c r="T20" s="69">
        <f>IF(_epmOfflineCondition_,147,_xll.EVGTS($B$1,1,$B$3,$B$5,$B$7,$B$9,T$16,T$17,T$18,$G$20,$H$20))</f>
        <v>147</v>
      </c>
      <c r="U20" s="69">
        <f>IF(_epmOfflineCondition_,0,_xll.EVGTS($B$1,1,$B$3,$B$5,$B$7,$B$9,U$16,U$17,U$18,$G$20,$H$20))</f>
        <v>0</v>
      </c>
      <c r="V20" s="69">
        <f>IF(_epmOfflineCondition_,0,_xll.EVGTS($B$1,1,$B$3,$B$5,$B$7,$B$9,V$16,V$17,V$18,$G$20,$H$20))</f>
        <v>0</v>
      </c>
      <c r="W20" s="69">
        <f>IF(_epmOfflineCondition_,124,_xll.EVGTS($B$1,1,$B$3,$B$5,$B$7,$B$9,W$16,W$17,W$18,$G$20,$H$20))</f>
        <v>124</v>
      </c>
      <c r="X20" s="69">
        <f>IF(_epmOfflineCondition_,0,_xll.EVGTS($B$1,1,$B$3,$B$5,$B$7,$B$9,X$16,X$17,X$18,$G$20,$H$20))</f>
        <v>0</v>
      </c>
      <c r="Y20" s="69">
        <f>IF(_epmOfflineCondition_,127,_xll.EVGTS($B$1,1,$B$3,$B$5,$B$7,$B$9,Y$16,Y$17,Y$18,$G$20,$H$20))</f>
        <v>127</v>
      </c>
      <c r="Z20" s="69">
        <f>IF(_epmOfflineCondition_,162,_xll.EVGTS($B$1,1,$B$3,$B$5,$B$7,$B$9,Z$16,Z$17,Z$18,$G$20,$H$20))</f>
        <v>162</v>
      </c>
      <c r="AA20" s="69">
        <f>SUM(O20:Z20)</f>
        <v>663</v>
      </c>
      <c r="AB20" s="67"/>
      <c r="AC20" s="67"/>
      <c r="AD20" s="69">
        <f>SUM(R20:AC20)</f>
        <v>1326</v>
      </c>
      <c r="AE20" s="67"/>
      <c r="AF20" s="67"/>
      <c r="AG20" s="69">
        <f>SUM(U20:AF20)</f>
        <v>2402</v>
      </c>
      <c r="AH20" s="67"/>
      <c r="AI20" s="67"/>
    </row>
    <row r="21" spans="1:35" hidden="1" outlineLevel="1" x14ac:dyDescent="0.35">
      <c r="A21" s="65" t="s">
        <v>6</v>
      </c>
      <c r="B21" s="66"/>
      <c r="C21" s="11"/>
      <c r="D21" s="11"/>
      <c r="E21" s="11"/>
      <c r="F21" s="11"/>
      <c r="G21" s="67" t="s">
        <v>254</v>
      </c>
      <c r="H21" s="67">
        <v>901000</v>
      </c>
      <c r="I21" s="68"/>
      <c r="J21" s="68"/>
      <c r="K21" s="67"/>
      <c r="L21" s="67"/>
      <c r="M21" s="67"/>
      <c r="N21" s="67" t="str">
        <f>IF(_epmOfflineCondition_,"Total Group Rooms Occupied",_xll.EVDES(H21))</f>
        <v>Total Group Rooms Occupied</v>
      </c>
      <c r="O21" s="69">
        <f>IF(_epmOfflineCondition_,58,_xll.EVGTS($B$1,1,$B$3,$B$5,$B$7,$B$9,O$16,O$17,O$18,$G$21,$H$21))</f>
        <v>58</v>
      </c>
      <c r="P21" s="69">
        <f>IF(_epmOfflineCondition_,82,_xll.EVGTS($B$1,1,$B$3,$B$5,$B$7,$B$9,P$16,P$17,P$18,$G$21,$H$21))</f>
        <v>82</v>
      </c>
      <c r="Q21" s="69">
        <f>IF(_epmOfflineCondition_,28,_xll.EVGTS($B$1,1,$B$3,$B$5,$B$7,$B$9,Q$16,Q$17,Q$18,$G$21,$H$21))</f>
        <v>28</v>
      </c>
      <c r="R21" s="69">
        <f>IF(_epmOfflineCondition_,324,_xll.EVGTS($B$1,1,$B$3,$B$5,$B$7,$B$9,R$16,R$17,R$18,$G$21,$H$21))</f>
        <v>324</v>
      </c>
      <c r="S21" s="69">
        <f>IF(_epmOfflineCondition_,62,_xll.EVGTS($B$1,1,$B$3,$B$5,$B$7,$B$9,S$16,S$17,S$18,$G$21,$H$21))</f>
        <v>62</v>
      </c>
      <c r="T21" s="69">
        <f>IF(_epmOfflineCondition_,82,_xll.EVGTS($B$1,1,$B$3,$B$5,$B$7,$B$9,T$16,T$17,T$18,$G$21,$H$21))</f>
        <v>82</v>
      </c>
      <c r="U21" s="69">
        <f>IF(_epmOfflineCondition_,57,_xll.EVGTS($B$1,1,$B$3,$B$5,$B$7,$B$9,U$16,U$17,U$18,$G$21,$H$21))</f>
        <v>57</v>
      </c>
      <c r="V21" s="69">
        <f>IF(_epmOfflineCondition_,28,_xll.EVGTS($B$1,1,$B$3,$B$5,$B$7,$B$9,V$16,V$17,V$18,$G$21,$H$21))</f>
        <v>28</v>
      </c>
      <c r="W21" s="69">
        <f>IF(_epmOfflineCondition_,67,_xll.EVGTS($B$1,1,$B$3,$B$5,$B$7,$B$9,W$16,W$17,W$18,$G$21,$H$21))</f>
        <v>67</v>
      </c>
      <c r="X21" s="69">
        <f>IF(_epmOfflineCondition_,92,_xll.EVGTS($B$1,1,$B$3,$B$5,$B$7,$B$9,X$16,X$17,X$18,$G$21,$H$21))</f>
        <v>92</v>
      </c>
      <c r="Y21" s="69">
        <f>IF(_epmOfflineCondition_,320,_xll.EVGTS($B$1,1,$B$3,$B$5,$B$7,$B$9,Y$16,Y$17,Y$18,$G$21,$H$21))</f>
        <v>320</v>
      </c>
      <c r="Z21" s="69">
        <f>IF(_epmOfflineCondition_,240,_xll.EVGTS($B$1,1,$B$3,$B$5,$B$7,$B$9,Z$16,Z$17,Z$18,$G$21,$H$21))</f>
        <v>240</v>
      </c>
      <c r="AA21" s="69">
        <f>IF(_epmOfflineCondition_,1440,_xll.EVGTS($B$1,1,$B$3,$B$5,$B$7,$B$9,AA$16,AA$17,AA$18,$G$21,$H$21))</f>
        <v>1440</v>
      </c>
      <c r="AB21" s="67"/>
      <c r="AC21" s="67"/>
      <c r="AD21" s="69">
        <f>IF(_epmOfflineCondition_,1366,_xll.EVGTS($B$1,1,$B$3,$B$5,$B$7,$B$9,AD$16,AD$17,AD$18,$G$21,$H$21))</f>
        <v>1366</v>
      </c>
      <c r="AE21" s="67"/>
      <c r="AF21" s="67"/>
      <c r="AG21" s="69">
        <f>IF(_epmOfflineCondition_,1660,_xll.EVGTS($B$1,1,$B$3,$B$5,$B$7,$B$9,AG$16,AG$17,AG$18,$G$21,$H$21))</f>
        <v>1660</v>
      </c>
      <c r="AH21" s="67"/>
      <c r="AI21" s="67"/>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IF(_epmOfflineCondition_,"'BCC_KPI_Group'!$A$37:$B$58",_xll.EVRNG($A$37:$B$58))</f>
        <v>'BCC_KPI_Group'!$A$37:$B$58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IF(_epmOfflineCondition_,"Banquet CS Group Department",IF($N$1="",IF(_xll.EVDES(B6,$B$1)="#NODATA","",_xll.EVDES(B6,$B$1)&amp;" Department"),$N$1))</f>
        <v>Banquet CS Group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v>560</v>
      </c>
      <c r="T35" s="143"/>
      <c r="U35" s="143"/>
      <c r="V35" s="143"/>
      <c r="W35" s="143"/>
      <c r="X35" s="143"/>
      <c r="Y35" s="143">
        <v>5305</v>
      </c>
      <c r="Z35" s="143">
        <v>2051</v>
      </c>
      <c r="AA35" s="143">
        <f t="shared" ref="AA35:AA41" si="0">SUM(O35:Z35)</f>
        <v>7916</v>
      </c>
      <c r="AB35" s="144">
        <f>IF(AA35=0,"",IFERROR(AA35/AA$19,""))</f>
        <v>0.176760741073203</v>
      </c>
      <c r="AC35" s="140"/>
      <c r="AD35" s="143"/>
      <c r="AE35" s="144" t="str">
        <f>IF(AD35=0,"",IFERROR(AD35/AD$19,""))</f>
        <v/>
      </c>
      <c r="AF35" s="145">
        <f t="shared" ref="AF35:AF42" si="1">IF(AND($AA35="",AD35=""),"",$AA35-AD35)</f>
        <v>7916</v>
      </c>
      <c r="AG35" s="143">
        <v>10377.89</v>
      </c>
      <c r="AH35" s="144">
        <f>IF(AG35=0,"",IFERROR(AG35/AG$19,""))</f>
        <v>0.2794047845009201</v>
      </c>
      <c r="AI35" s="145">
        <f t="shared" ref="AI35:AI42" si="2">IF(AND($AA35="",AG35=""),"",$AA35-AG35)</f>
        <v>-2461.8899999999994</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v>258.99</v>
      </c>
      <c r="AH36" s="144">
        <f>IF(AG36=0,"",IFERROR(AG36/AG$19,""))</f>
        <v>6.972809033232507E-3</v>
      </c>
      <c r="AI36" s="145">
        <f t="shared" si="2"/>
        <v>-258.99</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v>560</v>
      </c>
      <c r="T39" s="166"/>
      <c r="U39" s="166"/>
      <c r="V39" s="166"/>
      <c r="W39" s="166"/>
      <c r="X39" s="166"/>
      <c r="Y39" s="166">
        <v>5305</v>
      </c>
      <c r="Z39" s="166">
        <v>2051</v>
      </c>
      <c r="AA39" s="166">
        <f t="shared" si="0"/>
        <v>7916</v>
      </c>
      <c r="AB39" s="167">
        <f>IF(AA39=0,"",IFERROR(AA39/AA$19,""))</f>
        <v>0.176760741073203</v>
      </c>
      <c r="AC39" s="140"/>
      <c r="AD39" s="166"/>
      <c r="AE39" s="167" t="str">
        <f>IF(AD39=0,"",IFERROR(AD39/AD$19,""))</f>
        <v/>
      </c>
      <c r="AF39" s="168">
        <f t="shared" si="1"/>
        <v>7916</v>
      </c>
      <c r="AG39" s="166">
        <v>10636.88</v>
      </c>
      <c r="AH39" s="167">
        <f>IF(AG39=0,"",IFERROR(AG39/AG$19,""))</f>
        <v>0.2863775935341526</v>
      </c>
      <c r="AI39" s="168">
        <f t="shared" si="2"/>
        <v>-2720.8799999999992</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v>16</v>
      </c>
      <c r="T41" s="210"/>
      <c r="U41" s="210"/>
      <c r="V41" s="210"/>
      <c r="W41" s="210"/>
      <c r="X41" s="210"/>
      <c r="Y41" s="210">
        <v>53</v>
      </c>
      <c r="Z41" s="210">
        <v>72</v>
      </c>
      <c r="AA41" s="210">
        <f t="shared" si="0"/>
        <v>141</v>
      </c>
      <c r="AB41" s="211">
        <f>IF(AA41=0,"",IFERROR(AA41/AA$83,""))</f>
        <v>0.21266968325791855</v>
      </c>
      <c r="AC41" s="140"/>
      <c r="AD41" s="210"/>
      <c r="AE41" s="211" t="str">
        <f>IF(AD41=0,"",IFERROR(AD41/AD$83,""))</f>
        <v/>
      </c>
      <c r="AF41" s="253">
        <f t="shared" si="1"/>
        <v>141</v>
      </c>
      <c r="AG41" s="210">
        <v>314</v>
      </c>
      <c r="AH41" s="211">
        <f>IF(AG41=0,"",IFERROR(AG41/AG$83,""))</f>
        <v>0.40153452685421998</v>
      </c>
      <c r="AI41" s="253">
        <f t="shared" si="2"/>
        <v>-173</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v>35</v>
      </c>
      <c r="T42" s="495"/>
      <c r="U42" s="495"/>
      <c r="V42" s="495"/>
      <c r="W42" s="495"/>
      <c r="X42" s="495"/>
      <c r="Y42" s="495">
        <v>100.094339622642</v>
      </c>
      <c r="Z42" s="495">
        <v>28.4861111111111</v>
      </c>
      <c r="AA42" s="495">
        <f>IFERROR(AA39/AA41,"")</f>
        <v>56.141843971631204</v>
      </c>
      <c r="AB42" s="495"/>
      <c r="AC42" s="140"/>
      <c r="AD42" s="495"/>
      <c r="AE42" s="495"/>
      <c r="AF42" s="496">
        <f t="shared" si="1"/>
        <v>56.141843971631204</v>
      </c>
      <c r="AG42" s="495">
        <v>33.875414012738901</v>
      </c>
      <c r="AH42" s="495"/>
      <c r="AI42" s="496">
        <f t="shared" si="2"/>
        <v>22.266429958892303</v>
      </c>
    </row>
    <row r="43" spans="1:35" x14ac:dyDescent="0.35">
      <c r="A43" s="65" t="s">
        <v>31</v>
      </c>
      <c r="B43" s="66" t="s">
        <v>78</v>
      </c>
      <c r="C43" s="11"/>
      <c r="D43" s="11"/>
      <c r="E43" s="11"/>
      <c r="F43" s="11"/>
      <c r="G43" s="11"/>
      <c r="H43" s="88"/>
      <c r="I43" s="122"/>
      <c r="J43" s="122"/>
      <c r="K43" s="90"/>
      <c r="L43" s="90"/>
      <c r="M43" s="90"/>
      <c r="N43" s="491" t="s">
        <v>345</v>
      </c>
      <c r="O43" s="497">
        <f t="shared" ref="O43:AA43" si="3">ROUND(IFERROR(O39/O41,0),2)</f>
        <v>0</v>
      </c>
      <c r="P43" s="498">
        <f t="shared" si="3"/>
        <v>0</v>
      </c>
      <c r="Q43" s="498">
        <f t="shared" si="3"/>
        <v>0</v>
      </c>
      <c r="R43" s="498">
        <f t="shared" si="3"/>
        <v>0</v>
      </c>
      <c r="S43" s="498">
        <f t="shared" si="3"/>
        <v>35</v>
      </c>
      <c r="T43" s="498">
        <f t="shared" si="3"/>
        <v>0</v>
      </c>
      <c r="U43" s="498">
        <f t="shared" si="3"/>
        <v>0</v>
      </c>
      <c r="V43" s="498">
        <f t="shared" si="3"/>
        <v>0</v>
      </c>
      <c r="W43" s="498">
        <f t="shared" si="3"/>
        <v>0</v>
      </c>
      <c r="X43" s="498">
        <f t="shared" si="3"/>
        <v>0</v>
      </c>
      <c r="Y43" s="498">
        <f t="shared" si="3"/>
        <v>100.09</v>
      </c>
      <c r="Z43" s="498">
        <f t="shared" si="3"/>
        <v>28.49</v>
      </c>
      <c r="AA43" s="498">
        <f t="shared" si="3"/>
        <v>56.14</v>
      </c>
      <c r="AB43" s="499"/>
      <c r="AC43" s="140"/>
      <c r="AD43" s="497">
        <f>ROUND(IFERROR(AD39/AD41,0),2)</f>
        <v>0</v>
      </c>
      <c r="AE43" s="498"/>
      <c r="AF43" s="159"/>
      <c r="AG43" s="497">
        <f>ROUND(IFERROR(AG39/AG41,0),2)</f>
        <v>33.880000000000003</v>
      </c>
      <c r="AH43" s="498"/>
      <c r="AI43" s="159"/>
    </row>
    <row r="44" spans="1:35" x14ac:dyDescent="0.3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v>960</v>
      </c>
      <c r="T45" s="143">
        <v>2800</v>
      </c>
      <c r="U45" s="143">
        <v>25</v>
      </c>
      <c r="V45" s="143"/>
      <c r="W45" s="143">
        <v>1610</v>
      </c>
      <c r="X45" s="143">
        <v>18</v>
      </c>
      <c r="Y45" s="143">
        <v>2672</v>
      </c>
      <c r="Z45" s="143"/>
      <c r="AA45" s="143">
        <f t="shared" ref="AA45:AA51" si="5">SUM(O45:Z45)</f>
        <v>8085</v>
      </c>
      <c r="AB45" s="144">
        <f>IF(AA45=0,"",IFERROR(AA45/AA$19,""))</f>
        <v>0.18053443552006646</v>
      </c>
      <c r="AC45" s="140"/>
      <c r="AD45" s="143"/>
      <c r="AE45" s="144" t="str">
        <f>IF(AD45=0,"",IFERROR(AD45/AD$19,""))</f>
        <v/>
      </c>
      <c r="AF45" s="145">
        <f t="shared" ref="AF45:AF52" si="6">IF(AND($AA45="",AD45=""),"",$AA45-AD45)</f>
        <v>8085</v>
      </c>
      <c r="AG45" s="143">
        <v>15432</v>
      </c>
      <c r="AH45" s="144">
        <f>IF(AG45=0,"",IFERROR(AG45/AG$19,""))</f>
        <v>0.41547700297634677</v>
      </c>
      <c r="AI45" s="145">
        <f t="shared" ref="AI45:AI52" si="7">IF(AND($AA45="",AG45=""),"",$AA45-AG45)</f>
        <v>-7347</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v>90</v>
      </c>
      <c r="U46" s="143">
        <v>22</v>
      </c>
      <c r="V46" s="143"/>
      <c r="W46" s="143"/>
      <c r="X46" s="143"/>
      <c r="Y46" s="143">
        <v>660</v>
      </c>
      <c r="Z46" s="143"/>
      <c r="AA46" s="143">
        <f t="shared" si="5"/>
        <v>772</v>
      </c>
      <c r="AB46" s="144">
        <f>IF(AA46=0,"",IFERROR(AA46/AA$19,""))</f>
        <v>1.7238414869695896E-2</v>
      </c>
      <c r="AC46" s="140"/>
      <c r="AD46" s="143"/>
      <c r="AE46" s="144" t="str">
        <f>IF(AD46=0,"",IFERROR(AD46/AD$19,""))</f>
        <v/>
      </c>
      <c r="AF46" s="145">
        <f t="shared" si="6"/>
        <v>772</v>
      </c>
      <c r="AG46" s="143">
        <v>7</v>
      </c>
      <c r="AH46" s="144">
        <f>IF(AG46=0,"",IFERROR(AG46/AG$19,""))</f>
        <v>1.88461574704149E-4</v>
      </c>
      <c r="AI46" s="145">
        <f t="shared" si="7"/>
        <v>765</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v>102</v>
      </c>
      <c r="AH47" s="144">
        <f>IF(AG47=0,"",IFERROR(AG47/AG$19,""))</f>
        <v>2.7461543742604566E-3</v>
      </c>
      <c r="AI47" s="145">
        <f t="shared" si="7"/>
        <v>-102</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v>960</v>
      </c>
      <c r="T49" s="166">
        <v>2890</v>
      </c>
      <c r="U49" s="166">
        <v>47</v>
      </c>
      <c r="V49" s="166"/>
      <c r="W49" s="166">
        <v>1610</v>
      </c>
      <c r="X49" s="166">
        <v>18</v>
      </c>
      <c r="Y49" s="166">
        <v>3332</v>
      </c>
      <c r="Z49" s="166"/>
      <c r="AA49" s="166">
        <f t="shared" si="5"/>
        <v>8857</v>
      </c>
      <c r="AB49" s="167">
        <f>IF(AA49=0,"",IFERROR(AA49/AA$19,""))</f>
        <v>0.19777285038976236</v>
      </c>
      <c r="AC49" s="140"/>
      <c r="AD49" s="166"/>
      <c r="AE49" s="167" t="str">
        <f>IF(AD49=0,"",IFERROR(AD49/AD$19,""))</f>
        <v/>
      </c>
      <c r="AF49" s="168">
        <f t="shared" si="6"/>
        <v>8857</v>
      </c>
      <c r="AG49" s="166">
        <v>15541</v>
      </c>
      <c r="AH49" s="167">
        <f>IF(AG49=0,"",IFERROR(AG49/AG$19,""))</f>
        <v>0.41841161892531137</v>
      </c>
      <c r="AI49" s="168">
        <f t="shared" si="7"/>
        <v>-6684</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v>16</v>
      </c>
      <c r="T51" s="210">
        <v>80</v>
      </c>
      <c r="U51" s="210"/>
      <c r="V51" s="210"/>
      <c r="W51" s="210">
        <v>39</v>
      </c>
      <c r="X51" s="210"/>
      <c r="Y51" s="210">
        <v>40</v>
      </c>
      <c r="Z51" s="210">
        <v>90</v>
      </c>
      <c r="AA51" s="210">
        <f t="shared" si="5"/>
        <v>265</v>
      </c>
      <c r="AB51" s="211">
        <f>IF(AA51=0,"",IFERROR(AA51/AA$83,""))</f>
        <v>0.39969834087481149</v>
      </c>
      <c r="AC51" s="140"/>
      <c r="AD51" s="210"/>
      <c r="AE51" s="211" t="str">
        <f>IF(AD51=0,"",IFERROR(AD51/AD$83,""))</f>
        <v/>
      </c>
      <c r="AF51" s="253">
        <f t="shared" si="6"/>
        <v>265</v>
      </c>
      <c r="AG51" s="210">
        <v>233</v>
      </c>
      <c r="AH51" s="211">
        <f>IF(AG51=0,"",IFERROR(AG51/AG$83,""))</f>
        <v>0.29795396419437342</v>
      </c>
      <c r="AI51" s="253">
        <f t="shared" si="7"/>
        <v>32</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v>60</v>
      </c>
      <c r="T52" s="495">
        <v>36.125</v>
      </c>
      <c r="U52" s="495"/>
      <c r="V52" s="495"/>
      <c r="W52" s="495">
        <v>41.282051282051299</v>
      </c>
      <c r="X52" s="495"/>
      <c r="Y52" s="495">
        <v>83.3</v>
      </c>
      <c r="Z52" s="495"/>
      <c r="AA52" s="495">
        <f>IFERROR(AA49/AA51,"")</f>
        <v>33.422641509433966</v>
      </c>
      <c r="AB52" s="495"/>
      <c r="AC52" s="140"/>
      <c r="AD52" s="495"/>
      <c r="AE52" s="495"/>
      <c r="AF52" s="496">
        <f t="shared" si="6"/>
        <v>33.422641509433966</v>
      </c>
      <c r="AG52" s="495">
        <v>66.699570815450599</v>
      </c>
      <c r="AH52" s="495"/>
      <c r="AI52" s="496">
        <f t="shared" si="7"/>
        <v>-33.276929306016633</v>
      </c>
    </row>
    <row r="53" spans="1:35" x14ac:dyDescent="0.35">
      <c r="A53" s="65" t="s">
        <v>41</v>
      </c>
      <c r="B53" s="66"/>
      <c r="C53" s="11"/>
      <c r="D53" s="11"/>
      <c r="E53" s="11"/>
      <c r="F53" s="11"/>
      <c r="G53" s="11"/>
      <c r="H53" s="88"/>
      <c r="I53" s="122"/>
      <c r="J53" s="122"/>
      <c r="K53" s="90"/>
      <c r="L53" s="90"/>
      <c r="M53" s="90"/>
      <c r="N53" s="491" t="s">
        <v>345</v>
      </c>
      <c r="O53" s="497">
        <f t="shared" ref="O53:AA53" si="8">ROUND(IFERROR(O49/O51,0),2)</f>
        <v>0</v>
      </c>
      <c r="P53" s="498">
        <f t="shared" si="8"/>
        <v>0</v>
      </c>
      <c r="Q53" s="498">
        <f t="shared" si="8"/>
        <v>0</v>
      </c>
      <c r="R53" s="498">
        <f t="shared" si="8"/>
        <v>0</v>
      </c>
      <c r="S53" s="498">
        <f t="shared" si="8"/>
        <v>60</v>
      </c>
      <c r="T53" s="498">
        <f t="shared" si="8"/>
        <v>36.130000000000003</v>
      </c>
      <c r="U53" s="498">
        <f t="shared" si="8"/>
        <v>0</v>
      </c>
      <c r="V53" s="498">
        <f t="shared" si="8"/>
        <v>0</v>
      </c>
      <c r="W53" s="498">
        <f t="shared" si="8"/>
        <v>41.28</v>
      </c>
      <c r="X53" s="498">
        <f t="shared" si="8"/>
        <v>0</v>
      </c>
      <c r="Y53" s="498">
        <f t="shared" si="8"/>
        <v>83.3</v>
      </c>
      <c r="Z53" s="498">
        <f t="shared" si="8"/>
        <v>0</v>
      </c>
      <c r="AA53" s="498">
        <f t="shared" si="8"/>
        <v>33.42</v>
      </c>
      <c r="AB53" s="499"/>
      <c r="AC53" s="140"/>
      <c r="AD53" s="497">
        <f>ROUND(IFERROR(AD49/AD51,0),2)</f>
        <v>0</v>
      </c>
      <c r="AE53" s="498"/>
      <c r="AF53" s="159"/>
      <c r="AG53" s="497">
        <f>ROUND(IFERROR(AG49/AG51,0),2)</f>
        <v>66.7</v>
      </c>
      <c r="AH53" s="498"/>
      <c r="AI53" s="159"/>
    </row>
    <row r="54" spans="1:35" x14ac:dyDescent="0.3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v>12980</v>
      </c>
      <c r="S55" s="143"/>
      <c r="T55" s="143">
        <v>560</v>
      </c>
      <c r="U55" s="143"/>
      <c r="V55" s="143"/>
      <c r="W55" s="143">
        <v>4110</v>
      </c>
      <c r="X55" s="143">
        <v>5753.7</v>
      </c>
      <c r="Y55" s="143"/>
      <c r="Z55" s="143">
        <v>1582</v>
      </c>
      <c r="AA55" s="143">
        <f t="shared" ref="AA55:AA61" si="10">SUM(O55:Z55)</f>
        <v>24985.7</v>
      </c>
      <c r="AB55" s="144">
        <f>IF(AA55=0,"",IFERROR(AA55/AA$19,""))</f>
        <v>0.55791951089347247</v>
      </c>
      <c r="AC55" s="140"/>
      <c r="AD55" s="143">
        <v>29432.709647186301</v>
      </c>
      <c r="AE55" s="144">
        <f>IF(AD55=0,"",IFERROR(AD55/AD$19,""))</f>
        <v>0.51999999999999913</v>
      </c>
      <c r="AF55" s="145">
        <f t="shared" ref="AF55:AF62" si="11">IF(AND($AA55="",AD55=""),"",$AA55-AD55)</f>
        <v>-4447.0096471862998</v>
      </c>
      <c r="AG55" s="143">
        <v>778.97</v>
      </c>
      <c r="AH55" s="144">
        <f>IF(AG55=0,"",IFERROR(AG55/AG$19,""))</f>
        <v>2.0972273263898705E-2</v>
      </c>
      <c r="AI55" s="145">
        <f t="shared" ref="AI55:AI62" si="12">IF(AND($AA55="",AG55=""),"",$AA55-AG55)</f>
        <v>24206.73</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v>828</v>
      </c>
      <c r="S56" s="143"/>
      <c r="T56" s="143">
        <v>1365</v>
      </c>
      <c r="U56" s="143">
        <v>142</v>
      </c>
      <c r="V56" s="143"/>
      <c r="W56" s="143">
        <v>690</v>
      </c>
      <c r="X56" s="143"/>
      <c r="Y56" s="143"/>
      <c r="Z56" s="143"/>
      <c r="AA56" s="143">
        <f t="shared" si="10"/>
        <v>3025</v>
      </c>
      <c r="AB56" s="144">
        <f>IF(AA56=0,"",IFERROR(AA56/AA$19,""))</f>
        <v>6.7546897643562281E-2</v>
      </c>
      <c r="AC56" s="140"/>
      <c r="AD56" s="143">
        <v>12452.300235348101</v>
      </c>
      <c r="AE56" s="144">
        <f>IF(AD56=0,"",IFERROR(AD56/AD$19,""))</f>
        <v>0.2200000000000005</v>
      </c>
      <c r="AF56" s="145">
        <f t="shared" si="11"/>
        <v>-9427.3002353481006</v>
      </c>
      <c r="AG56" s="143">
        <v>962</v>
      </c>
      <c r="AH56" s="144">
        <f>IF(AG56=0,"",IFERROR(AG56/AG$19,""))</f>
        <v>2.5900004980770188E-2</v>
      </c>
      <c r="AI56" s="145">
        <f t="shared" si="12"/>
        <v>2063</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v>2264.0545882451001</v>
      </c>
      <c r="AE57" s="144">
        <f>IF(AD57=0,"",IFERROR(AD57/AD$19,""))</f>
        <v>3.9999999999999931E-2</v>
      </c>
      <c r="AF57" s="145">
        <f t="shared" si="11"/>
        <v>-2264.0545882451001</v>
      </c>
      <c r="AG57" s="143">
        <v>165</v>
      </c>
      <c r="AH57" s="144">
        <f>IF(AG57=0,"",IFERROR(AG57/AG$19,""))</f>
        <v>4.4423085465977973E-3</v>
      </c>
      <c r="AI57" s="145">
        <f t="shared" si="12"/>
        <v>-165</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v>12452.300235348101</v>
      </c>
      <c r="AE58" s="219">
        <f>IF(AD58=0,"",IFERROR(AD58/AD$19,""))</f>
        <v>0.2200000000000005</v>
      </c>
      <c r="AF58" s="220">
        <f t="shared" si="11"/>
        <v>-12452.300235348101</v>
      </c>
      <c r="AG58" s="217">
        <v>670</v>
      </c>
      <c r="AH58" s="219">
        <f>IF(AG58=0,"",IFERROR(AG58/AG$19,""))</f>
        <v>1.8038465007397118E-2</v>
      </c>
      <c r="AI58" s="220">
        <f t="shared" si="12"/>
        <v>-670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v>13808</v>
      </c>
      <c r="S59" s="166"/>
      <c r="T59" s="166">
        <v>1925</v>
      </c>
      <c r="U59" s="166">
        <v>142</v>
      </c>
      <c r="V59" s="166"/>
      <c r="W59" s="166">
        <v>4800</v>
      </c>
      <c r="X59" s="166">
        <v>5753.7</v>
      </c>
      <c r="Y59" s="166"/>
      <c r="Z59" s="166">
        <v>1582</v>
      </c>
      <c r="AA59" s="166">
        <f t="shared" si="10"/>
        <v>28010.7</v>
      </c>
      <c r="AB59" s="167">
        <f>IF(AA59=0,"",IFERROR(AA59/AA$19,""))</f>
        <v>0.62546640853703472</v>
      </c>
      <c r="AC59" s="140"/>
      <c r="AD59" s="166">
        <v>56601.364706127599</v>
      </c>
      <c r="AE59" s="167">
        <f>IF(AD59=0,"",IFERROR(AD59/AD$19,""))</f>
        <v>1</v>
      </c>
      <c r="AF59" s="168">
        <f t="shared" si="11"/>
        <v>-28590.664706127598</v>
      </c>
      <c r="AG59" s="166">
        <v>2575.9699999999998</v>
      </c>
      <c r="AH59" s="167">
        <f>IF(AG59=0,"",IFERROR(AG59/AG$19,""))</f>
        <v>6.9353051798663801E-2</v>
      </c>
      <c r="AI59" s="168">
        <f t="shared" si="12"/>
        <v>25434.73</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v>67</v>
      </c>
      <c r="U61" s="210"/>
      <c r="V61" s="210"/>
      <c r="W61" s="210">
        <v>85</v>
      </c>
      <c r="X61" s="210"/>
      <c r="Y61" s="210">
        <v>34</v>
      </c>
      <c r="Z61" s="210"/>
      <c r="AA61" s="210">
        <f t="shared" si="10"/>
        <v>186</v>
      </c>
      <c r="AB61" s="211">
        <f>IF(AA61=0,"",IFERROR(AA61/AA$83,""))</f>
        <v>0.28054298642533937</v>
      </c>
      <c r="AC61" s="140"/>
      <c r="AD61" s="210">
        <v>665.176470591</v>
      </c>
      <c r="AE61" s="211">
        <f>IF(AD61=0,"",IFERROR(AD61/AD$83,""))</f>
        <v>1</v>
      </c>
      <c r="AF61" s="253">
        <f t="shared" si="11"/>
        <v>-479.176470591</v>
      </c>
      <c r="AG61" s="210">
        <v>58</v>
      </c>
      <c r="AH61" s="211">
        <f>IF(AG61=0,"",IFERROR(AG61/AG$83,""))</f>
        <v>7.4168797953964194E-2</v>
      </c>
      <c r="AI61" s="253">
        <f t="shared" si="12"/>
        <v>128</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v>28.731343283582099</v>
      </c>
      <c r="U62" s="495"/>
      <c r="V62" s="495"/>
      <c r="W62" s="495">
        <v>56.470588235294102</v>
      </c>
      <c r="X62" s="495"/>
      <c r="Y62" s="495"/>
      <c r="Z62" s="495"/>
      <c r="AA62" s="495">
        <f>IFERROR(AA59/AA61,"")</f>
        <v>150.59516129032258</v>
      </c>
      <c r="AB62" s="495"/>
      <c r="AC62" s="140"/>
      <c r="AD62" s="495">
        <v>85.092253272034796</v>
      </c>
      <c r="AE62" s="495"/>
      <c r="AF62" s="496">
        <f t="shared" si="11"/>
        <v>65.502908018287783</v>
      </c>
      <c r="AG62" s="495">
        <v>44.413275862069</v>
      </c>
      <c r="AH62" s="495"/>
      <c r="AI62" s="496">
        <f t="shared" si="12"/>
        <v>106.18188542825358</v>
      </c>
    </row>
    <row r="63" spans="1:35" x14ac:dyDescent="0.35">
      <c r="A63" s="11"/>
      <c r="B63" s="11"/>
      <c r="C63" s="11"/>
      <c r="D63" s="11"/>
      <c r="E63" s="11"/>
      <c r="F63" s="11"/>
      <c r="G63" s="11"/>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28.73</v>
      </c>
      <c r="U63" s="498">
        <f t="shared" si="13"/>
        <v>0</v>
      </c>
      <c r="V63" s="498">
        <f t="shared" si="13"/>
        <v>0</v>
      </c>
      <c r="W63" s="498">
        <f t="shared" si="13"/>
        <v>56.47</v>
      </c>
      <c r="X63" s="498">
        <f t="shared" si="13"/>
        <v>0</v>
      </c>
      <c r="Y63" s="498">
        <f t="shared" si="13"/>
        <v>0</v>
      </c>
      <c r="Z63" s="498">
        <f t="shared" si="13"/>
        <v>0</v>
      </c>
      <c r="AA63" s="498">
        <f t="shared" si="13"/>
        <v>150.6</v>
      </c>
      <c r="AB63" s="499"/>
      <c r="AC63" s="140"/>
      <c r="AD63" s="497">
        <f>ROUND(IFERROR(AD59/AD61,0),2)</f>
        <v>85.09</v>
      </c>
      <c r="AE63" s="498"/>
      <c r="AF63" s="159"/>
      <c r="AG63" s="497">
        <f>ROUND(IFERROR(AG59/AG61,0),2)</f>
        <v>44.41</v>
      </c>
      <c r="AH63" s="498"/>
      <c r="AI63" s="159"/>
    </row>
    <row r="64" spans="1:35" x14ac:dyDescent="0.3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43"/>
      <c r="P65" s="143"/>
      <c r="Q65" s="143"/>
      <c r="R65" s="143"/>
      <c r="S65" s="143"/>
      <c r="T65" s="143"/>
      <c r="U65" s="143"/>
      <c r="V65" s="143"/>
      <c r="W65" s="143"/>
      <c r="X65" s="143"/>
      <c r="Y65" s="143"/>
      <c r="Z65" s="143"/>
      <c r="AA65" s="143">
        <f t="shared" ref="AA65:AA70" si="15">SUM(O65:Z65)</f>
        <v>0</v>
      </c>
      <c r="AB65" s="144" t="str">
        <f>IF(AA65=0,"",IFERROR(AA65/AA$19,""))</f>
        <v/>
      </c>
      <c r="AC65" s="140"/>
      <c r="AD65" s="143"/>
      <c r="AE65" s="144" t="str">
        <f>IF(AD65=0,"",IFERROR(AD65/AD$19,""))</f>
        <v/>
      </c>
      <c r="AF65" s="145">
        <f t="shared" ref="AF65:AF71" si="16">IF(AND($AA65="",AD65=""),"",$AA65-AD65)</f>
        <v>0</v>
      </c>
      <c r="AG65" s="143">
        <v>3765</v>
      </c>
      <c r="AH65" s="144">
        <f>IF(AG65=0,"",IFERROR(AG65/AG$19,""))</f>
        <v>0.10136540410873156</v>
      </c>
      <c r="AI65" s="145">
        <f t="shared" ref="AI65:AI71" si="17">IF(AND($AA65="",AG65=""),"",$AA65-AG65)</f>
        <v>-3765</v>
      </c>
    </row>
    <row r="66" spans="1:35" x14ac:dyDescent="0.3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v>689</v>
      </c>
      <c r="AH66" s="144">
        <f>IF(AG66=0,"",IFERROR(AG66/AG$19,""))</f>
        <v>1.855000356730838E-2</v>
      </c>
      <c r="AI66" s="145">
        <f t="shared" si="17"/>
        <v>-689</v>
      </c>
    </row>
    <row r="67" spans="1:35" x14ac:dyDescent="0.3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v>125</v>
      </c>
      <c r="AH67" s="144">
        <f>IF(AG67=0,"",IFERROR(AG67/AG$19,""))</f>
        <v>3.365385262574089E-3</v>
      </c>
      <c r="AI67" s="145">
        <f t="shared" si="17"/>
        <v>-125</v>
      </c>
    </row>
    <row r="68" spans="1:35" x14ac:dyDescent="0.3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v>2108</v>
      </c>
      <c r="AH68" s="219">
        <f>IF(AG68=0,"",IFERROR(AG68/AG$19,""))</f>
        <v>5.6753857068049439E-2</v>
      </c>
      <c r="AI68" s="220">
        <f t="shared" si="17"/>
        <v>-2108</v>
      </c>
    </row>
    <row r="69" spans="1:35" x14ac:dyDescent="0.3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v>6687</v>
      </c>
      <c r="AH69" s="167">
        <f>IF(AG69=0,"",IFERROR(AG69/AG$19,""))</f>
        <v>0.18003465000666347</v>
      </c>
      <c r="AI69" s="168">
        <f t="shared" si="17"/>
        <v>-6687</v>
      </c>
    </row>
    <row r="70" spans="1:35" x14ac:dyDescent="0.3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10"/>
      <c r="P70" s="210"/>
      <c r="Q70" s="210"/>
      <c r="R70" s="210">
        <v>71</v>
      </c>
      <c r="S70" s="210"/>
      <c r="T70" s="210"/>
      <c r="U70" s="210"/>
      <c r="V70" s="210"/>
      <c r="W70" s="210"/>
      <c r="X70" s="210"/>
      <c r="Y70" s="210"/>
      <c r="Z70" s="210"/>
      <c r="AA70" s="210">
        <f t="shared" si="15"/>
        <v>71</v>
      </c>
      <c r="AB70" s="211">
        <f>IF(AA70=0,"",IFERROR(AA70/AA$83,""))</f>
        <v>0.10708898944193061</v>
      </c>
      <c r="AC70" s="140"/>
      <c r="AD70" s="210"/>
      <c r="AE70" s="211" t="str">
        <f>IF(AD70=0,"",IFERROR(AD70/AD$83,""))</f>
        <v/>
      </c>
      <c r="AF70" s="253">
        <f t="shared" si="16"/>
        <v>71</v>
      </c>
      <c r="AG70" s="210">
        <v>105</v>
      </c>
      <c r="AH70" s="211">
        <f>IF(AG70=0,"",IFERROR(AG70/AG$83,""))</f>
        <v>0.13427109974424553</v>
      </c>
      <c r="AI70" s="253">
        <f t="shared" si="17"/>
        <v>-34</v>
      </c>
    </row>
    <row r="71" spans="1:35" x14ac:dyDescent="0.3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c r="P71" s="495"/>
      <c r="Q71" s="495"/>
      <c r="R71" s="495"/>
      <c r="S71" s="495"/>
      <c r="T71" s="495"/>
      <c r="U71" s="495"/>
      <c r="V71" s="495"/>
      <c r="W71" s="495"/>
      <c r="X71" s="495"/>
      <c r="Y71" s="495"/>
      <c r="Z71" s="495"/>
      <c r="AA71" s="495">
        <f>IFERROR(AA69/AA70,"")</f>
        <v>0</v>
      </c>
      <c r="AB71" s="495"/>
      <c r="AC71" s="140"/>
      <c r="AD71" s="495"/>
      <c r="AE71" s="495"/>
      <c r="AF71" s="496">
        <f t="shared" si="16"/>
        <v>0</v>
      </c>
      <c r="AG71" s="495">
        <v>63.685714285714297</v>
      </c>
      <c r="AH71" s="495"/>
      <c r="AI71" s="496">
        <f t="shared" si="17"/>
        <v>-63.685714285714297</v>
      </c>
    </row>
    <row r="72" spans="1:35" x14ac:dyDescent="0.35">
      <c r="A72" s="11"/>
      <c r="B72" s="11"/>
      <c r="C72" s="11"/>
      <c r="D72" s="11"/>
      <c r="E72" s="11"/>
      <c r="F72" s="11"/>
      <c r="G72" s="11"/>
      <c r="H72" s="88"/>
      <c r="I72" s="122"/>
      <c r="J72" s="122"/>
      <c r="K72" s="90"/>
      <c r="L72" s="90"/>
      <c r="M72" s="90"/>
      <c r="N72" s="491" t="s">
        <v>345</v>
      </c>
      <c r="O72" s="497">
        <f t="shared" ref="O72:AA72" si="18">ROUND(IFERROR(O69/O70,0),2)</f>
        <v>0</v>
      </c>
      <c r="P72" s="498">
        <f t="shared" si="18"/>
        <v>0</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0</v>
      </c>
      <c r="Z72" s="498">
        <f t="shared" si="18"/>
        <v>0</v>
      </c>
      <c r="AA72" s="498">
        <f t="shared" si="18"/>
        <v>0</v>
      </c>
      <c r="AB72" s="499"/>
      <c r="AC72" s="140"/>
      <c r="AD72" s="497">
        <f>ROUND(IFERROR(AD69/AD70,0),2)</f>
        <v>0</v>
      </c>
      <c r="AE72" s="498"/>
      <c r="AF72" s="159"/>
      <c r="AG72" s="497">
        <f>ROUND(IFERROR(AG69/AG70,0),2)</f>
        <v>63.69</v>
      </c>
      <c r="AH72" s="498"/>
      <c r="AI72" s="159"/>
    </row>
    <row r="73" spans="1:35" x14ac:dyDescent="0.3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b">
        <f t="shared" si="19"/>
        <v>1</v>
      </c>
      <c r="AB73" s="502"/>
      <c r="AC73" s="503"/>
      <c r="AD73" s="500"/>
      <c r="AE73" s="501" t="b">
        <f>ROUND(AD71,2)=ROUND(AD72,2)</f>
        <v>1</v>
      </c>
      <c r="AF73" s="502"/>
      <c r="AG73" s="500"/>
      <c r="AH73" s="501" t="b">
        <f>ROUND(AG71,2)=ROUND(AG72,2)</f>
        <v>1</v>
      </c>
      <c r="AI73" s="502"/>
    </row>
    <row r="74" spans="1:35" x14ac:dyDescent="0.3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43"/>
      <c r="P74" s="143"/>
      <c r="Q74" s="143"/>
      <c r="R74" s="143"/>
      <c r="S74" s="143"/>
      <c r="T74" s="143"/>
      <c r="U74" s="143"/>
      <c r="V74" s="143"/>
      <c r="W74" s="143"/>
      <c r="X74" s="143"/>
      <c r="Y74" s="143"/>
      <c r="Z74" s="143"/>
      <c r="AA74" s="143">
        <f>SUM(O74:Z74)</f>
        <v>0</v>
      </c>
      <c r="AB74" s="144" t="str">
        <f>IF(AA74=0,"",IFERROR(AA74/AA$19,""))</f>
        <v/>
      </c>
      <c r="AC74" s="140"/>
      <c r="AD74" s="143"/>
      <c r="AE74" s="144" t="str">
        <f>IF(AD74=0,"",IFERROR(AD74/AD$19,""))</f>
        <v/>
      </c>
      <c r="AF74" s="145">
        <f>IF(AND($AA74="",AD74=""),"",$AA74-AD74)</f>
        <v>0</v>
      </c>
      <c r="AG74" s="143">
        <v>1702</v>
      </c>
      <c r="AH74" s="144">
        <f>IF(AG74=0,"",IFERROR(AG74/AG$19,""))</f>
        <v>4.5823085735208796E-2</v>
      </c>
      <c r="AI74" s="145">
        <f>IF(AND($AA74="",AG74=""),"",$AA74-AG74)</f>
        <v>-1702</v>
      </c>
    </row>
    <row r="75" spans="1:35" x14ac:dyDescent="0.3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6"/>
      <c r="P75" s="166"/>
      <c r="Q75" s="166"/>
      <c r="R75" s="166"/>
      <c r="S75" s="166"/>
      <c r="T75" s="166"/>
      <c r="U75" s="166"/>
      <c r="V75" s="166"/>
      <c r="W75" s="166"/>
      <c r="X75" s="166"/>
      <c r="Y75" s="166"/>
      <c r="Z75" s="166"/>
      <c r="AA75" s="166">
        <f>SUM(O75:Z75)</f>
        <v>0</v>
      </c>
      <c r="AB75" s="167" t="str">
        <f>IF(AA75=0,"",IFERROR(AA75/AA$19,""))</f>
        <v/>
      </c>
      <c r="AC75" s="140"/>
      <c r="AD75" s="166"/>
      <c r="AE75" s="167" t="str">
        <f>IF(AD75=0,"",IFERROR(AD75/AD$19,""))</f>
        <v/>
      </c>
      <c r="AF75" s="168">
        <f>IF(AND($AA75="",AD75=""),"",$AA75-AD75)</f>
        <v>0</v>
      </c>
      <c r="AG75" s="166">
        <v>1702</v>
      </c>
      <c r="AH75" s="167">
        <f>IF(AG75=0,"",IFERROR(AG75/AG$19,""))</f>
        <v>4.5823085735208796E-2</v>
      </c>
      <c r="AI75" s="168">
        <f>IF(AND($AA75="",AG75=""),"",$AA75-AG75)</f>
        <v>-1702</v>
      </c>
    </row>
    <row r="76" spans="1:35" x14ac:dyDescent="0.3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10"/>
      <c r="P76" s="210"/>
      <c r="Q76" s="210"/>
      <c r="R76" s="210"/>
      <c r="S76" s="210"/>
      <c r="T76" s="210"/>
      <c r="U76" s="210"/>
      <c r="V76" s="210"/>
      <c r="W76" s="210"/>
      <c r="X76" s="210"/>
      <c r="Y76" s="210"/>
      <c r="Z76" s="210"/>
      <c r="AA76" s="210">
        <f>SUM(O76:Z76)</f>
        <v>0</v>
      </c>
      <c r="AB76" s="211" t="str">
        <f>IF(AA76=0,"",IFERROR(AA76/AA$83,""))</f>
        <v/>
      </c>
      <c r="AC76" s="140"/>
      <c r="AD76" s="210"/>
      <c r="AE76" s="211" t="str">
        <f>IF(AD76=0,"",IFERROR(AD76/AD$83,""))</f>
        <v/>
      </c>
      <c r="AF76" s="253">
        <f>IF(AND($AA76="",AD76=""),"",$AA76-AD76)</f>
        <v>0</v>
      </c>
      <c r="AG76" s="210">
        <v>72</v>
      </c>
      <c r="AH76" s="211">
        <f>IF(AG76=0,"",IFERROR(AG76/AG$83,""))</f>
        <v>9.2071611253196933E-2</v>
      </c>
      <c r="AI76" s="253">
        <f>IF(AND($AA76="",AG76=""),"",$AA76-AG76)</f>
        <v>-72</v>
      </c>
    </row>
    <row r="77" spans="1:35" x14ac:dyDescent="0.3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c r="P77" s="495"/>
      <c r="Q77" s="495"/>
      <c r="R77" s="495"/>
      <c r="S77" s="495"/>
      <c r="T77" s="495"/>
      <c r="U77" s="495"/>
      <c r="V77" s="495"/>
      <c r="W77" s="495"/>
      <c r="X77" s="495"/>
      <c r="Y77" s="495"/>
      <c r="Z77" s="495"/>
      <c r="AA77" s="495" t="str">
        <f>IFERROR(AA75/AA76,"")</f>
        <v/>
      </c>
      <c r="AB77" s="495"/>
      <c r="AC77" s="140"/>
      <c r="AD77" s="495"/>
      <c r="AE77" s="495"/>
      <c r="AF77" s="496" t="str">
        <f>IF(AND($AA77="",AD77=""),"",$AA77-AD77)</f>
        <v/>
      </c>
      <c r="AG77" s="495">
        <v>23.6388888888889</v>
      </c>
      <c r="AH77" s="495"/>
      <c r="AI77" s="496" t="e">
        <f>IF(AND($AA77="",AG77=""),"",$AA77-AG77)</f>
        <v>#VALUE!</v>
      </c>
    </row>
    <row r="78" spans="1:35" x14ac:dyDescent="0.35">
      <c r="A78" s="11"/>
      <c r="B78" s="11"/>
      <c r="C78" s="208"/>
      <c r="D78" s="11"/>
      <c r="E78" s="11"/>
      <c r="F78" s="11"/>
      <c r="G78" s="11"/>
      <c r="H78" s="88"/>
      <c r="I78" s="122"/>
      <c r="J78" s="122"/>
      <c r="K78" s="90"/>
      <c r="L78" s="90"/>
      <c r="M78" s="90"/>
      <c r="N78" s="491" t="s">
        <v>345</v>
      </c>
      <c r="O78" s="497">
        <f t="shared" ref="O78:AA78" si="20">ROUND(IFERROR(O75/O76,0),2)</f>
        <v>0</v>
      </c>
      <c r="P78" s="498">
        <f t="shared" si="20"/>
        <v>0</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0</v>
      </c>
      <c r="AB78" s="499"/>
      <c r="AC78" s="140"/>
      <c r="AD78" s="497">
        <f>ROUND(IFERROR(AD75/AD76,0),2)</f>
        <v>0</v>
      </c>
      <c r="AE78" s="498"/>
      <c r="AF78" s="159"/>
      <c r="AG78" s="497">
        <f>ROUND(IFERROR(AG75/AG76,0),2)</f>
        <v>23.64</v>
      </c>
      <c r="AH78" s="498"/>
      <c r="AI78" s="159"/>
    </row>
    <row r="79" spans="1:35" x14ac:dyDescent="0.3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e">
        <f t="shared" si="21"/>
        <v>#VALUE!</v>
      </c>
      <c r="AB79" s="502"/>
      <c r="AC79" s="503"/>
      <c r="AD79" s="500"/>
      <c r="AE79" s="501" t="b">
        <f>ROUND(AD77,2)=ROUND(AD78,2)</f>
        <v>1</v>
      </c>
      <c r="AF79" s="502"/>
      <c r="AG79" s="500"/>
      <c r="AH79" s="501" t="b">
        <f>ROUND(AG77,2)=ROUND(AG78,2)</f>
        <v>1</v>
      </c>
      <c r="AI79" s="502"/>
    </row>
    <row r="80" spans="1:35" x14ac:dyDescent="0.3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43"/>
      <c r="P80" s="143"/>
      <c r="Q80" s="143"/>
      <c r="R80" s="143"/>
      <c r="S80" s="143"/>
      <c r="T80" s="143"/>
      <c r="U80" s="143"/>
      <c r="V80" s="143"/>
      <c r="W80" s="143"/>
      <c r="X80" s="143"/>
      <c r="Y80" s="143"/>
      <c r="Z80" s="143"/>
      <c r="AA80" s="143">
        <f>SUM(O80:Z80)</f>
        <v>0</v>
      </c>
      <c r="AB80" s="144" t="str">
        <f>IF(AA80=0,"",IFERROR(AA80/AA$19,""))</f>
        <v/>
      </c>
      <c r="AC80" s="140"/>
      <c r="AD80" s="143"/>
      <c r="AE80" s="144" t="str">
        <f>IF(AD80=0,"",IFERROR(AD80/AD$19,""))</f>
        <v/>
      </c>
      <c r="AF80" s="145">
        <f>IF(AND($AA80="",AD80=""),"",$AA80-AD80)</f>
        <v>0</v>
      </c>
      <c r="AG80" s="143"/>
      <c r="AH80" s="144" t="str">
        <f>IF(AG80=0,"",IFERROR(AG80/AG$19,""))</f>
        <v/>
      </c>
      <c r="AI80" s="145">
        <f>IF(AND($AA80="",AG80=""),"",$AA80-AG80)</f>
        <v>0</v>
      </c>
    </row>
    <row r="81" spans="1:35" x14ac:dyDescent="0.3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3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c r="P82" s="507"/>
      <c r="Q82" s="507"/>
      <c r="R82" s="507">
        <v>13808</v>
      </c>
      <c r="S82" s="507">
        <v>1520</v>
      </c>
      <c r="T82" s="507">
        <v>4815</v>
      </c>
      <c r="U82" s="507">
        <v>189</v>
      </c>
      <c r="V82" s="507"/>
      <c r="W82" s="507">
        <v>6410</v>
      </c>
      <c r="X82" s="507">
        <v>5771.7</v>
      </c>
      <c r="Y82" s="507">
        <v>8637</v>
      </c>
      <c r="Z82" s="507">
        <v>3633</v>
      </c>
      <c r="AA82" s="507">
        <f>SUM(O82:Z82)</f>
        <v>44783.7</v>
      </c>
      <c r="AB82" s="508">
        <f>IF(AA82=0,"",IFERROR(AA82/AA$19,""))</f>
        <v>1</v>
      </c>
      <c r="AC82" s="140"/>
      <c r="AD82" s="507">
        <v>56601.364706127599</v>
      </c>
      <c r="AE82" s="508">
        <f>IF(AD82=0,"",IFERROR(AD82/AD$19,""))</f>
        <v>1</v>
      </c>
      <c r="AF82" s="509">
        <f>IF(AND($AA82="",AD82=""),"",$AA82-AD82)</f>
        <v>-11817.664706127602</v>
      </c>
      <c r="AG82" s="507">
        <v>37142.85</v>
      </c>
      <c r="AH82" s="508">
        <f>IF(AG82=0,"",IFERROR(AG82/AG$19,""))</f>
        <v>1</v>
      </c>
      <c r="AI82" s="509">
        <f>IF(AND($AA82="",AG82=""),"",$AA82-AG82)</f>
        <v>7640.8499999999985</v>
      </c>
    </row>
    <row r="83" spans="1:35" x14ac:dyDescent="0.35">
      <c r="A83" s="11"/>
      <c r="B83" s="11"/>
      <c r="C83" s="208"/>
      <c r="D83" s="11"/>
      <c r="E83" s="11"/>
      <c r="F83" s="11"/>
      <c r="G83" s="11"/>
      <c r="H83" s="185" t="s">
        <v>331</v>
      </c>
      <c r="I83" s="122" t="str">
        <f>IF(_epmOfflineCondition_,"T2",_xll.EVPRO($B$1,$H83,"STYLE"))</f>
        <v>T2</v>
      </c>
      <c r="J83" s="122" t="str">
        <f>IF(_epmOfflineCondition_,"Y",_xll.EVPRO($B$1,$H83,"CALC"))</f>
        <v>Y</v>
      </c>
      <c r="K83" s="11"/>
      <c r="L83" s="90" t="str">
        <f>IF(_epmOfflineCondition_,"946000",_xll.EVPRO($B$1,H83,"JDEID"))</f>
        <v>946000</v>
      </c>
      <c r="M83" s="90" t="str">
        <f>IF(_epmOfflineCondition_,"",IF(AND(I83="N",J83="N"),_xll.EVPRO($B$1,H83,"PSFTID"),""))</f>
        <v/>
      </c>
      <c r="N83" s="90" t="str">
        <f>IF(_epmOfflineCondition_,"Total Customers",IF(_xll.EVDES(H83,$B$1)="#NODATA","",_xll.EVDES(H83,$B$1)))</f>
        <v>Total Customers</v>
      </c>
      <c r="O83" s="507"/>
      <c r="P83" s="507"/>
      <c r="Q83" s="507"/>
      <c r="R83" s="507">
        <v>71</v>
      </c>
      <c r="S83" s="507">
        <v>32</v>
      </c>
      <c r="T83" s="507">
        <v>147</v>
      </c>
      <c r="U83" s="507"/>
      <c r="V83" s="507"/>
      <c r="W83" s="507">
        <v>124</v>
      </c>
      <c r="X83" s="507"/>
      <c r="Y83" s="507">
        <v>127</v>
      </c>
      <c r="Z83" s="507">
        <v>162</v>
      </c>
      <c r="AA83" s="507">
        <f>SUM(O83:Z83)</f>
        <v>663</v>
      </c>
      <c r="AB83" s="508">
        <f>IF(AA83=0,"",IFERROR(AA83/AA$20,""))</f>
        <v>1</v>
      </c>
      <c r="AC83" s="140"/>
      <c r="AD83" s="507">
        <v>665.176470591</v>
      </c>
      <c r="AE83" s="508">
        <f>IF(AD83=0,"",IFERROR(AD83/AD$20,""))</f>
        <v>0.50164138053619911</v>
      </c>
      <c r="AF83" s="509">
        <f>IF(AND($AA83="",AD83=""),"",$AA83-AD83)</f>
        <v>-2.1764705909999975</v>
      </c>
      <c r="AG83" s="507">
        <v>782</v>
      </c>
      <c r="AH83" s="508">
        <f>IF(AG83=0,"",IFERROR(AG83/AG$20,""))</f>
        <v>0.32556203164029973</v>
      </c>
      <c r="AI83" s="509">
        <f>IF(AND($AA83="",AG83=""),"",$AA83-AG83)</f>
        <v>-119</v>
      </c>
    </row>
    <row r="84" spans="1:35" x14ac:dyDescent="0.35">
      <c r="A84" s="11"/>
      <c r="B84" s="11"/>
      <c r="C84" s="208"/>
      <c r="D84" s="11"/>
      <c r="E84" s="11"/>
      <c r="F84" s="11"/>
      <c r="G84" s="11"/>
      <c r="H84" s="185" t="s">
        <v>311</v>
      </c>
      <c r="I84" s="122" t="str">
        <f>IF(_epmOfflineCondition_,"N",_xll.EVPRO($B$1,$H84,"STYLE"))</f>
        <v>N</v>
      </c>
      <c r="J84" s="122" t="str">
        <f>IF(_epmOfflineCondition_,"Y",_xll.EVPRO($B$1,$H84,"CALC"))</f>
        <v>Y</v>
      </c>
      <c r="K84" s="11"/>
      <c r="L84" s="90"/>
      <c r="M84" s="90"/>
      <c r="N84" s="90" t="str">
        <f>IF(_epmOfflineCondition_,"Total Average Check",IF(_xll.EVDES(H84,$B$1)="#NODATA","",_xll.EVDES(H84,$B$1)))</f>
        <v>Total Average Check</v>
      </c>
      <c r="O84" s="495"/>
      <c r="P84" s="495"/>
      <c r="Q84" s="495"/>
      <c r="R84" s="495">
        <v>194.47887323943701</v>
      </c>
      <c r="S84" s="495">
        <v>47.5</v>
      </c>
      <c r="T84" s="495">
        <v>32.755102040816297</v>
      </c>
      <c r="U84" s="495"/>
      <c r="V84" s="495"/>
      <c r="W84" s="495">
        <v>51.693548387096797</v>
      </c>
      <c r="X84" s="495"/>
      <c r="Y84" s="495">
        <v>68.007874015748001</v>
      </c>
      <c r="Z84" s="495">
        <v>22.425925925925899</v>
      </c>
      <c r="AA84" s="495">
        <f>IFERROR(AA82/AA83,"")</f>
        <v>67.547058823529412</v>
      </c>
      <c r="AB84" s="495"/>
      <c r="AC84" s="140"/>
      <c r="AD84" s="495">
        <v>85.092253272034796</v>
      </c>
      <c r="AE84" s="495"/>
      <c r="AF84" s="496">
        <f>IF(AND($AA84="",AD84=""),"",$AA84-AD84)</f>
        <v>-17.545194448505384</v>
      </c>
      <c r="AG84" s="495">
        <v>47.497250639386202</v>
      </c>
      <c r="AH84" s="495"/>
      <c r="AI84" s="496">
        <f>IF(AND($AA84="",AG84=""),"",$AA84-AG84)</f>
        <v>20.04980818414321</v>
      </c>
    </row>
    <row r="85" spans="1:35" x14ac:dyDescent="0.35">
      <c r="A85" s="11"/>
      <c r="B85" s="11"/>
      <c r="C85" s="208"/>
      <c r="D85" s="11"/>
      <c r="E85" s="11"/>
      <c r="F85" s="11"/>
      <c r="G85" s="11"/>
      <c r="H85" s="185"/>
      <c r="I85" s="122"/>
      <c r="J85" s="122"/>
      <c r="K85" s="11"/>
      <c r="L85" s="90"/>
      <c r="M85" s="90"/>
      <c r="N85" s="90"/>
      <c r="O85" s="174"/>
      <c r="P85" s="175"/>
      <c r="Q85" s="175"/>
      <c r="R85" s="175"/>
      <c r="S85" s="175"/>
      <c r="T85" s="175"/>
      <c r="U85" s="175"/>
      <c r="V85" s="175"/>
      <c r="W85" s="175"/>
      <c r="X85" s="175"/>
      <c r="Y85" s="175"/>
      <c r="Z85" s="175"/>
      <c r="AA85" s="175"/>
      <c r="AB85" s="176"/>
      <c r="AC85" s="140"/>
      <c r="AD85" s="174"/>
      <c r="AE85" s="175"/>
      <c r="AF85" s="176"/>
      <c r="AG85" s="174"/>
      <c r="AH85" s="175"/>
      <c r="AI85" s="176"/>
    </row>
    <row r="86" spans="1:35" x14ac:dyDescent="0.35">
      <c r="A86" s="11"/>
      <c r="B86" s="11"/>
      <c r="C86" s="208"/>
      <c r="D86" s="11"/>
      <c r="E86" s="11"/>
      <c r="F86" s="11"/>
      <c r="G86" s="11"/>
      <c r="H86" s="185"/>
      <c r="I86" s="122"/>
      <c r="J86" s="122"/>
      <c r="K86" s="11"/>
      <c r="L86" s="90"/>
      <c r="M86" s="90"/>
      <c r="N86" s="53" t="s">
        <v>343</v>
      </c>
      <c r="O86" s="514"/>
      <c r="P86" s="459"/>
      <c r="Q86" s="459"/>
      <c r="R86" s="459"/>
      <c r="S86" s="459"/>
      <c r="T86" s="459"/>
      <c r="U86" s="459"/>
      <c r="V86" s="459"/>
      <c r="W86" s="459"/>
      <c r="X86" s="459"/>
      <c r="Y86" s="459"/>
      <c r="Z86" s="459"/>
      <c r="AA86" s="459"/>
      <c r="AB86" s="515"/>
      <c r="AC86" s="140"/>
      <c r="AD86" s="516"/>
      <c r="AE86" s="517"/>
      <c r="AF86" s="161"/>
      <c r="AG86" s="459"/>
      <c r="AH86" s="517"/>
      <c r="AI86" s="161"/>
    </row>
    <row r="87" spans="1:35" x14ac:dyDescent="0.35">
      <c r="A87" s="11"/>
      <c r="B87" s="11"/>
      <c r="C87" s="208"/>
      <c r="D87" s="11"/>
      <c r="E87" s="11"/>
      <c r="F87" s="11"/>
      <c r="G87" s="11"/>
      <c r="H87" s="185"/>
      <c r="I87" s="122"/>
      <c r="J87" s="122"/>
      <c r="K87" s="11"/>
      <c r="L87" s="90"/>
      <c r="M87" s="90"/>
      <c r="N87" s="53" t="s">
        <v>337</v>
      </c>
      <c r="O87" s="162"/>
      <c r="P87" s="163"/>
      <c r="Q87" s="163"/>
      <c r="R87" s="163"/>
      <c r="S87" s="163"/>
      <c r="T87" s="163"/>
      <c r="U87" s="163"/>
      <c r="V87" s="163"/>
      <c r="W87" s="163"/>
      <c r="X87" s="163"/>
      <c r="Y87" s="163"/>
      <c r="Z87" s="163"/>
      <c r="AA87" s="163"/>
      <c r="AB87" s="164"/>
      <c r="AC87" s="140"/>
      <c r="AD87" s="162"/>
      <c r="AE87" s="163"/>
      <c r="AF87" s="164"/>
      <c r="AG87" s="163"/>
      <c r="AH87" s="163"/>
      <c r="AI87" s="164"/>
    </row>
    <row r="88" spans="1:35" x14ac:dyDescent="0.35">
      <c r="A88" s="11"/>
      <c r="B88" s="11"/>
      <c r="C88" s="208"/>
      <c r="D88" s="11"/>
      <c r="E88" s="11"/>
      <c r="F88" s="11"/>
      <c r="G88" s="11"/>
      <c r="H88" s="185" t="s">
        <v>294</v>
      </c>
      <c r="I88" s="122"/>
      <c r="J88" s="122"/>
      <c r="K88" s="11"/>
      <c r="L88" s="90" t="str">
        <f>IF(_epmOfflineCondition_,"461200",_xll.EVPRO($B$1,H88,"JDEID"))</f>
        <v>461200</v>
      </c>
      <c r="M88" s="90" t="str">
        <f>IF(_epmOfflineCondition_,"",IF(AND(I88="N",J88="N"),_xll.EVPRO($B$1,H88,"PSFTID"),""))</f>
        <v/>
      </c>
      <c r="N88" s="90" t="str">
        <f>IF(_epmOfflineCondition_,"Breakfast Liquor",IF(_xll.EVDES(H88,$B$1)="#NODATA","",_xll.EVDES(H88,$B$1)))</f>
        <v>Breakfast Liquor</v>
      </c>
      <c r="O88" s="143"/>
      <c r="P88" s="143"/>
      <c r="Q88" s="143"/>
      <c r="R88" s="143"/>
      <c r="S88" s="143"/>
      <c r="T88" s="143"/>
      <c r="U88" s="143"/>
      <c r="V88" s="143"/>
      <c r="W88" s="143"/>
      <c r="X88" s="143"/>
      <c r="Y88" s="143"/>
      <c r="Z88" s="143"/>
      <c r="AA88" s="143">
        <f>SUM(O88:Z88)</f>
        <v>0</v>
      </c>
      <c r="AB88" s="144" t="str">
        <f>IF(AA88=0,"",IFERROR(AA88/AA$19,""))</f>
        <v/>
      </c>
      <c r="AC88" s="140"/>
      <c r="AD88" s="143"/>
      <c r="AE88" s="144" t="str">
        <f>IF(AD88=0,"",IFERROR(AD88/AD$19,""))</f>
        <v/>
      </c>
      <c r="AF88" s="145">
        <f>IF(AND($AA88="",AD88=""),"",$AA88-AD88)</f>
        <v>0</v>
      </c>
      <c r="AG88" s="143">
        <v>258.99</v>
      </c>
      <c r="AH88" s="144">
        <f>IF(AG88=0,"",IFERROR(AG88/AG$19,""))</f>
        <v>6.972809033232507E-3</v>
      </c>
      <c r="AI88" s="145">
        <f>IF(AND($AA88="",AG88=""),"",$AA88-AG88)</f>
        <v>-258.99</v>
      </c>
    </row>
    <row r="89" spans="1:35" x14ac:dyDescent="0.35">
      <c r="A89" s="11"/>
      <c r="B89" s="11"/>
      <c r="C89" s="208"/>
      <c r="D89" s="11"/>
      <c r="E89" s="11"/>
      <c r="F89" s="11"/>
      <c r="G89" s="11"/>
      <c r="H89" s="185" t="s">
        <v>301</v>
      </c>
      <c r="I89" s="122"/>
      <c r="J89" s="122"/>
      <c r="K89" s="11"/>
      <c r="L89" s="90" t="str">
        <f>IF(_epmOfflineCondition_,"462200",_xll.EVPRO($B$1,H89,"JDEID"))</f>
        <v>462200</v>
      </c>
      <c r="M89" s="90" t="str">
        <f>IF(_epmOfflineCondition_,"",IF(AND(I89="N",J89="N"),_xll.EVPRO($B$1,H89,"PSFTID"),""))</f>
        <v/>
      </c>
      <c r="N89" s="90" t="str">
        <f>IF(_epmOfflineCondition_,"Lunch Liquor",IF(_xll.EVDES(H89,$B$1)="#NODATA","",_xll.EVDES(H89,$B$1)))</f>
        <v>Lunch Liquor</v>
      </c>
      <c r="O89" s="143"/>
      <c r="P89" s="143"/>
      <c r="Q89" s="143"/>
      <c r="R89" s="143"/>
      <c r="S89" s="143"/>
      <c r="T89" s="143">
        <v>90</v>
      </c>
      <c r="U89" s="143">
        <v>22</v>
      </c>
      <c r="V89" s="143"/>
      <c r="W89" s="143"/>
      <c r="X89" s="143"/>
      <c r="Y89" s="143">
        <v>660</v>
      </c>
      <c r="Z89" s="143"/>
      <c r="AA89" s="143">
        <f>SUM(O89:Z89)</f>
        <v>772</v>
      </c>
      <c r="AB89" s="144">
        <f>IF(AA89=0,"",IFERROR(AA89/AA$19,""))</f>
        <v>1.7238414869695896E-2</v>
      </c>
      <c r="AC89" s="140"/>
      <c r="AD89" s="143"/>
      <c r="AE89" s="144" t="str">
        <f>IF(AD89=0,"",IFERROR(AD89/AD$19,""))</f>
        <v/>
      </c>
      <c r="AF89" s="145">
        <f>IF(AND($AA89="",AD89=""),"",$AA89-AD89)</f>
        <v>772</v>
      </c>
      <c r="AG89" s="143">
        <v>7</v>
      </c>
      <c r="AH89" s="144">
        <f>IF(AG89=0,"",IFERROR(AG89/AG$19,""))</f>
        <v>1.88461574704149E-4</v>
      </c>
      <c r="AI89" s="145">
        <f>IF(AND($AA89="",AG89=""),"",$AA89-AG89)</f>
        <v>765</v>
      </c>
    </row>
    <row r="90" spans="1:35" x14ac:dyDescent="0.35">
      <c r="A90" s="11"/>
      <c r="B90" s="11"/>
      <c r="C90" s="208"/>
      <c r="D90" s="11"/>
      <c r="E90" s="11"/>
      <c r="F90" s="11"/>
      <c r="G90" s="11"/>
      <c r="H90" s="185" t="s">
        <v>302</v>
      </c>
      <c r="I90" s="122"/>
      <c r="J90" s="122"/>
      <c r="K90" s="11"/>
      <c r="L90" s="90" t="str">
        <f>IF(_epmOfflineCondition_,"463200",_xll.EVPRO($B$1,H90,"JDEID"))</f>
        <v>463200</v>
      </c>
      <c r="M90" s="90" t="str">
        <f>IF(_epmOfflineCondition_,"",IF(AND(I90="N",J90="N"),_xll.EVPRO($B$1,H90,"PSFTID"),""))</f>
        <v/>
      </c>
      <c r="N90" s="90" t="str">
        <f>IF(_epmOfflineCondition_,"Dinner Liquor",IF(_xll.EVDES(H90,$B$1)="#NODATA","",_xll.EVDES(H90,$B$1)))</f>
        <v>Dinner Liquor</v>
      </c>
      <c r="O90" s="143"/>
      <c r="P90" s="143"/>
      <c r="Q90" s="143"/>
      <c r="R90" s="143">
        <v>828</v>
      </c>
      <c r="S90" s="143"/>
      <c r="T90" s="143">
        <v>1365</v>
      </c>
      <c r="U90" s="143">
        <v>142</v>
      </c>
      <c r="V90" s="143"/>
      <c r="W90" s="143">
        <v>690</v>
      </c>
      <c r="X90" s="143"/>
      <c r="Y90" s="143"/>
      <c r="Z90" s="143"/>
      <c r="AA90" s="143">
        <f>SUM(O90:Z90)</f>
        <v>3025</v>
      </c>
      <c r="AB90" s="144">
        <f>IF(AA90=0,"",IFERROR(AA90/AA$19,""))</f>
        <v>6.7546897643562281E-2</v>
      </c>
      <c r="AC90" s="140"/>
      <c r="AD90" s="143">
        <v>12452.300235348101</v>
      </c>
      <c r="AE90" s="144">
        <f>IF(AD90=0,"",IFERROR(AD90/AD$19,""))</f>
        <v>0.2200000000000005</v>
      </c>
      <c r="AF90" s="145">
        <f>IF(AND($AA90="",AD90=""),"",$AA90-AD90)</f>
        <v>-9427.3002353481006</v>
      </c>
      <c r="AG90" s="143">
        <v>962</v>
      </c>
      <c r="AH90" s="144">
        <f>IF(AG90=0,"",IFERROR(AG90/AG$19,""))</f>
        <v>2.5900004980770188E-2</v>
      </c>
      <c r="AI90" s="145">
        <f>IF(AND($AA90="",AG90=""),"",$AA90-AG90)</f>
        <v>2063</v>
      </c>
    </row>
    <row r="91" spans="1:35" x14ac:dyDescent="0.35">
      <c r="A91" s="11"/>
      <c r="B91" s="11"/>
      <c r="C91" s="208"/>
      <c r="D91" s="11"/>
      <c r="E91" s="11"/>
      <c r="F91" s="11"/>
      <c r="G91" s="11"/>
      <c r="H91" s="185" t="s">
        <v>808</v>
      </c>
      <c r="I91" s="122"/>
      <c r="J91" s="122"/>
      <c r="K91" s="11"/>
      <c r="L91" s="90" t="str">
        <f>IF(_epmOfflineCondition_,"471210",_xll.EVPRO($B$1,H91,"JDEID"))</f>
        <v>471210</v>
      </c>
      <c r="M91" s="90" t="str">
        <f>IF(_epmOfflineCondition_,"",IF(AND(I91="N",J91="N"),_xll.EVPRO($B$1,H91,"PSFTID"),""))</f>
        <v/>
      </c>
      <c r="N91" s="90" t="str">
        <f>IF(_epmOfflineCondition_,"Reception Liquor",IF(_xll.EVDES(H91,$B$1)="#NODATA","",_xll.EVDES(H91,$B$1)))</f>
        <v>Reception Liquor</v>
      </c>
      <c r="O91" s="143"/>
      <c r="P91" s="143"/>
      <c r="Q91" s="143"/>
      <c r="R91" s="143"/>
      <c r="S91" s="143"/>
      <c r="T91" s="143"/>
      <c r="U91" s="143"/>
      <c r="V91" s="143"/>
      <c r="W91" s="143"/>
      <c r="X91" s="143"/>
      <c r="Y91" s="143"/>
      <c r="Z91" s="143"/>
      <c r="AA91" s="143">
        <f>SUM(O91:Z91)</f>
        <v>0</v>
      </c>
      <c r="AB91" s="144" t="str">
        <f>IF(AA91=0,"",IFERROR(AA91/AA$19,""))</f>
        <v/>
      </c>
      <c r="AC91" s="140"/>
      <c r="AD91" s="143"/>
      <c r="AE91" s="144" t="str">
        <f>IF(AD91=0,"",IFERROR(AD91/AD$19,""))</f>
        <v/>
      </c>
      <c r="AF91" s="145">
        <f>IF(AND($AA91="",AD91=""),"",$AA91-AD91)</f>
        <v>0</v>
      </c>
      <c r="AG91" s="143">
        <v>689</v>
      </c>
      <c r="AH91" s="144">
        <f>IF(AG91=0,"",IFERROR(AG91/AG$19,""))</f>
        <v>1.855000356730838E-2</v>
      </c>
      <c r="AI91" s="145">
        <f>IF(AND($AA91="",AG91=""),"",$AA91-AG91)</f>
        <v>-689</v>
      </c>
    </row>
    <row r="92" spans="1:35" x14ac:dyDescent="0.35">
      <c r="A92" s="11"/>
      <c r="B92" s="11"/>
      <c r="C92" s="208"/>
      <c r="D92" s="11"/>
      <c r="E92" s="11"/>
      <c r="F92" s="11"/>
      <c r="G92" s="11"/>
      <c r="H92" s="185" t="s">
        <v>340</v>
      </c>
      <c r="I92" s="122"/>
      <c r="J92" s="122"/>
      <c r="K92" s="11"/>
      <c r="L92" s="90" t="str">
        <f>IF(_epmOfflineCondition_,"",_xll.EVPRO($B$1,H92,"JDEID"))</f>
        <v/>
      </c>
      <c r="M92" s="90" t="str">
        <f>IF(_epmOfflineCondition_,"",IF(AND(I92="N",J92="N"),_xll.EVPRO($B$1,H92,"PSFTID"),""))</f>
        <v/>
      </c>
      <c r="N92" s="106" t="str">
        <f>IF(_epmOfflineCondition_,"Liquor Revenue ",IF(_xll.EVDES(H92,$B$1)="#NODATA","",_xll.EVDES(H92,$B$1)))</f>
        <v xml:space="preserve">Liquor Revenue </v>
      </c>
      <c r="O92" s="166"/>
      <c r="P92" s="166"/>
      <c r="Q92" s="166"/>
      <c r="R92" s="166">
        <v>828</v>
      </c>
      <c r="S92" s="166"/>
      <c r="T92" s="166">
        <v>1455</v>
      </c>
      <c r="U92" s="166">
        <v>164</v>
      </c>
      <c r="V92" s="166"/>
      <c r="W92" s="166">
        <v>690</v>
      </c>
      <c r="X92" s="166"/>
      <c r="Y92" s="166">
        <v>660</v>
      </c>
      <c r="Z92" s="166"/>
      <c r="AA92" s="166">
        <f>SUM(O92:Z92)</f>
        <v>3797</v>
      </c>
      <c r="AB92" s="167">
        <f>IF(AA92=0,"",IFERROR(AA92/AA$19,""))</f>
        <v>8.4785312513258174E-2</v>
      </c>
      <c r="AC92" s="140"/>
      <c r="AD92" s="166">
        <v>12452.300235348101</v>
      </c>
      <c r="AE92" s="167">
        <f>IF(AD92=0,"",IFERROR(AD92/AD$19,""))</f>
        <v>0.2200000000000005</v>
      </c>
      <c r="AF92" s="168">
        <f>IF(AND($AA92="",AD92=""),"",$AA92-AD92)</f>
        <v>-8655.3002353481006</v>
      </c>
      <c r="AG92" s="166">
        <v>1916.99</v>
      </c>
      <c r="AH92" s="167">
        <f>IF(AG92=0,"",IFERROR(AG92/AG$19,""))</f>
        <v>5.1611279156015225E-2</v>
      </c>
      <c r="AI92" s="168">
        <f>IF(AND($AA92="",AG92=""),"",$AA92-AG92)</f>
        <v>1880.01</v>
      </c>
    </row>
    <row r="93" spans="1:35" x14ac:dyDescent="0.35">
      <c r="A93" s="11"/>
      <c r="B93" s="11"/>
      <c r="C93" s="208"/>
      <c r="D93" s="11"/>
      <c r="E93" s="11"/>
      <c r="F93" s="11"/>
      <c r="G93" s="11"/>
      <c r="H93" s="185"/>
      <c r="I93" s="122"/>
      <c r="J93" s="122"/>
      <c r="K93" s="11"/>
      <c r="L93" s="90"/>
      <c r="M93" s="90"/>
      <c r="N93" s="53"/>
      <c r="O93" s="174"/>
      <c r="P93" s="175"/>
      <c r="Q93" s="175"/>
      <c r="R93" s="175"/>
      <c r="S93" s="175"/>
      <c r="T93" s="175"/>
      <c r="U93" s="175"/>
      <c r="V93" s="175"/>
      <c r="W93" s="175"/>
      <c r="X93" s="175"/>
      <c r="Y93" s="175"/>
      <c r="Z93" s="175"/>
      <c r="AA93" s="175"/>
      <c r="AB93" s="176"/>
      <c r="AC93" s="140"/>
      <c r="AD93" s="174"/>
      <c r="AE93" s="175"/>
      <c r="AF93" s="176"/>
      <c r="AG93" s="174"/>
      <c r="AH93" s="175"/>
      <c r="AI93" s="176"/>
    </row>
    <row r="94" spans="1:35" x14ac:dyDescent="0.35">
      <c r="A94" s="11"/>
      <c r="B94" s="11"/>
      <c r="C94" s="208"/>
      <c r="D94" s="11"/>
      <c r="E94" s="11"/>
      <c r="F94" s="11"/>
      <c r="G94" s="11"/>
      <c r="H94" s="185"/>
      <c r="I94" s="122"/>
      <c r="J94" s="122"/>
      <c r="K94" s="11"/>
      <c r="L94" s="90"/>
      <c r="M94" s="90"/>
      <c r="N94" s="53" t="s">
        <v>339</v>
      </c>
      <c r="O94" s="162"/>
      <c r="P94" s="163"/>
      <c r="Q94" s="163"/>
      <c r="R94" s="163"/>
      <c r="S94" s="163"/>
      <c r="T94" s="163"/>
      <c r="U94" s="163"/>
      <c r="V94" s="163"/>
      <c r="W94" s="163"/>
      <c r="X94" s="163"/>
      <c r="Y94" s="163"/>
      <c r="Z94" s="163"/>
      <c r="AA94" s="163"/>
      <c r="AB94" s="164"/>
      <c r="AC94" s="140"/>
      <c r="AD94" s="162"/>
      <c r="AE94" s="163"/>
      <c r="AF94" s="164"/>
      <c r="AG94" s="162"/>
      <c r="AH94" s="163"/>
      <c r="AI94" s="164"/>
    </row>
    <row r="95" spans="1:35" x14ac:dyDescent="0.35">
      <c r="A95" s="11"/>
      <c r="B95" s="11"/>
      <c r="C95" s="208"/>
      <c r="D95" s="11"/>
      <c r="E95" s="11"/>
      <c r="F95" s="11"/>
      <c r="G95" s="11"/>
      <c r="H95" s="185" t="s">
        <v>295</v>
      </c>
      <c r="I95" s="122"/>
      <c r="J95" s="122"/>
      <c r="K95" s="11"/>
      <c r="L95" s="90" t="str">
        <f>IF(_epmOfflineCondition_,"461300",_xll.EVPRO($B$1,H95,"JDEID"))</f>
        <v>461300</v>
      </c>
      <c r="M95" s="90" t="str">
        <f>IF(_epmOfflineCondition_,"",IF(AND(I95="N",J95="N"),_xll.EVPRO($B$1,H95,"PSFTID"),""))</f>
        <v/>
      </c>
      <c r="N95" s="90" t="str">
        <f>IF(_epmOfflineCondition_,"Breakfast Beer",IF(_xll.EVDES(H95,$B$1)="#NODATA","",_xll.EVDES(H95,$B$1)))</f>
        <v>Breakfast Beer</v>
      </c>
      <c r="O95" s="143"/>
      <c r="P95" s="143"/>
      <c r="Q95" s="143"/>
      <c r="R95" s="143"/>
      <c r="S95" s="143"/>
      <c r="T95" s="143"/>
      <c r="U95" s="143"/>
      <c r="V95" s="143"/>
      <c r="W95" s="143"/>
      <c r="X95" s="143"/>
      <c r="Y95" s="143"/>
      <c r="Z95" s="143"/>
      <c r="AA95" s="143">
        <f>SUM(O95:Z95)</f>
        <v>0</v>
      </c>
      <c r="AB95" s="144" t="str">
        <f>IF(AA95=0,"",IFERROR(AA95/AA$19,""))</f>
        <v/>
      </c>
      <c r="AC95" s="140"/>
      <c r="AD95" s="143"/>
      <c r="AE95" s="144" t="str">
        <f>IF(AD95=0,"",IFERROR(AD95/AD$19,""))</f>
        <v/>
      </c>
      <c r="AF95" s="145">
        <f>IF(AND($AA95="",AD95=""),"",$AA95-AD95)</f>
        <v>0</v>
      </c>
      <c r="AG95" s="143"/>
      <c r="AH95" s="144" t="str">
        <f>IF(AG95=0,"",IFERROR(AG95/AG$19,""))</f>
        <v/>
      </c>
      <c r="AI95" s="145">
        <f>IF(AND($AA95="",AG95=""),"",$AA95-AG95)</f>
        <v>0</v>
      </c>
    </row>
    <row r="96" spans="1:35" x14ac:dyDescent="0.35">
      <c r="A96" s="11"/>
      <c r="B96" s="11"/>
      <c r="C96" s="208"/>
      <c r="D96" s="11"/>
      <c r="E96" s="11"/>
      <c r="F96" s="11"/>
      <c r="G96" s="11"/>
      <c r="H96" s="185" t="s">
        <v>305</v>
      </c>
      <c r="I96" s="122"/>
      <c r="J96" s="122"/>
      <c r="K96" s="11"/>
      <c r="L96" s="90" t="str">
        <f>IF(_epmOfflineCondition_,"462300",_xll.EVPRO($B$1,H96,"JDEID"))</f>
        <v>462300</v>
      </c>
      <c r="M96" s="90" t="str">
        <f>IF(_epmOfflineCondition_,"",IF(AND(I96="N",J96="N"),_xll.EVPRO($B$1,H96,"PSFTID"),""))</f>
        <v/>
      </c>
      <c r="N96" s="90" t="str">
        <f>IF(_epmOfflineCondition_,"Lunch Beer",IF(_xll.EVDES(H96,$B$1)="#NODATA","",_xll.EVDES(H96,$B$1)))</f>
        <v>Lunch Beer</v>
      </c>
      <c r="O96" s="143"/>
      <c r="P96" s="143"/>
      <c r="Q96" s="143"/>
      <c r="R96" s="143"/>
      <c r="S96" s="143"/>
      <c r="T96" s="143"/>
      <c r="U96" s="143"/>
      <c r="V96" s="143"/>
      <c r="W96" s="143"/>
      <c r="X96" s="143"/>
      <c r="Y96" s="143"/>
      <c r="Z96" s="143"/>
      <c r="AA96" s="143">
        <f>SUM(O96:Z96)</f>
        <v>0</v>
      </c>
      <c r="AB96" s="144" t="str">
        <f>IF(AA96=0,"",IFERROR(AA96/AA$19,""))</f>
        <v/>
      </c>
      <c r="AC96" s="140"/>
      <c r="AD96" s="143"/>
      <c r="AE96" s="144" t="str">
        <f>IF(AD96=0,"",IFERROR(AD96/AD$19,""))</f>
        <v/>
      </c>
      <c r="AF96" s="145">
        <f>IF(AND($AA96="",AD96=""),"",$AA96-AD96)</f>
        <v>0</v>
      </c>
      <c r="AG96" s="143">
        <v>102</v>
      </c>
      <c r="AH96" s="144">
        <f>IF(AG96=0,"",IFERROR(AG96/AG$19,""))</f>
        <v>2.7461543742604566E-3</v>
      </c>
      <c r="AI96" s="145">
        <f>IF(AND($AA96="",AG96=""),"",$AA96-AG96)</f>
        <v>-102</v>
      </c>
    </row>
    <row r="97" spans="1:35" x14ac:dyDescent="0.35">
      <c r="A97" s="11"/>
      <c r="B97" s="11"/>
      <c r="C97" s="208"/>
      <c r="D97" s="11"/>
      <c r="E97" s="11"/>
      <c r="F97" s="11"/>
      <c r="G97" s="11"/>
      <c r="H97" s="185" t="s">
        <v>306</v>
      </c>
      <c r="I97" s="122"/>
      <c r="J97" s="122"/>
      <c r="K97" s="11"/>
      <c r="L97" s="90" t="str">
        <f>IF(_epmOfflineCondition_,"463300",_xll.EVPRO($B$1,H97,"JDEID"))</f>
        <v>463300</v>
      </c>
      <c r="M97" s="90" t="str">
        <f>IF(_epmOfflineCondition_,"",IF(AND(I97="N",J97="N"),_xll.EVPRO($B$1,H97,"PSFTID"),""))</f>
        <v/>
      </c>
      <c r="N97" s="90" t="str">
        <f>IF(_epmOfflineCondition_,"Dinner Beer",IF(_xll.EVDES(H97,$B$1)="#NODATA","",_xll.EVDES(H97,$B$1)))</f>
        <v>Dinner Beer</v>
      </c>
      <c r="O97" s="143"/>
      <c r="P97" s="143"/>
      <c r="Q97" s="143"/>
      <c r="R97" s="143"/>
      <c r="S97" s="143"/>
      <c r="T97" s="143"/>
      <c r="U97" s="143"/>
      <c r="V97" s="143"/>
      <c r="W97" s="143"/>
      <c r="X97" s="143"/>
      <c r="Y97" s="143"/>
      <c r="Z97" s="143"/>
      <c r="AA97" s="143">
        <f>SUM(O97:Z97)</f>
        <v>0</v>
      </c>
      <c r="AB97" s="144" t="str">
        <f>IF(AA97=0,"",IFERROR(AA97/AA$19,""))</f>
        <v/>
      </c>
      <c r="AC97" s="140"/>
      <c r="AD97" s="143">
        <v>2264.0545882451001</v>
      </c>
      <c r="AE97" s="144">
        <f>IF(AD97=0,"",IFERROR(AD97/AD$19,""))</f>
        <v>3.9999999999999931E-2</v>
      </c>
      <c r="AF97" s="145">
        <f>IF(AND($AA97="",AD97=""),"",$AA97-AD97)</f>
        <v>-2264.0545882451001</v>
      </c>
      <c r="AG97" s="143">
        <v>165</v>
      </c>
      <c r="AH97" s="144">
        <f>IF(AG97=0,"",IFERROR(AG97/AG$19,""))</f>
        <v>4.4423085465977973E-3</v>
      </c>
      <c r="AI97" s="145">
        <f>IF(AND($AA97="",AG97=""),"",$AA97-AG97)</f>
        <v>-165</v>
      </c>
    </row>
    <row r="98" spans="1:35" x14ac:dyDescent="0.35">
      <c r="A98" s="11"/>
      <c r="B98" s="11"/>
      <c r="C98" s="208"/>
      <c r="D98" s="11"/>
      <c r="E98" s="11"/>
      <c r="F98" s="11"/>
      <c r="G98" s="11"/>
      <c r="H98" s="185" t="s">
        <v>809</v>
      </c>
      <c r="I98" s="122"/>
      <c r="J98" s="122"/>
      <c r="K98" s="11"/>
      <c r="L98" s="90" t="str">
        <f>IF(_epmOfflineCondition_,"471310",_xll.EVPRO($B$1,H98,"JDEID"))</f>
        <v>471310</v>
      </c>
      <c r="M98" s="90" t="str">
        <f>IF(_epmOfflineCondition_,"",IF(AND(I98="N",J98="N"),_xll.EVPRO($B$1,H98,"PSFTID"),""))</f>
        <v/>
      </c>
      <c r="N98" s="90" t="str">
        <f>IF(_epmOfflineCondition_,"Reception Beer",IF(_xll.EVDES(H98,$B$1)="#NODATA","",_xll.EVDES(H98,$B$1)))</f>
        <v>Reception Beer</v>
      </c>
      <c r="O98" s="143"/>
      <c r="P98" s="143"/>
      <c r="Q98" s="143"/>
      <c r="R98" s="143"/>
      <c r="S98" s="143"/>
      <c r="T98" s="143"/>
      <c r="U98" s="143"/>
      <c r="V98" s="143"/>
      <c r="W98" s="143"/>
      <c r="X98" s="143"/>
      <c r="Y98" s="143"/>
      <c r="Z98" s="143"/>
      <c r="AA98" s="143">
        <f>SUM(O98:Z98)</f>
        <v>0</v>
      </c>
      <c r="AB98" s="144" t="str">
        <f>IF(AA98=0,"",IFERROR(AA98/AA$19,""))</f>
        <v/>
      </c>
      <c r="AC98" s="140"/>
      <c r="AD98" s="143"/>
      <c r="AE98" s="144" t="str">
        <f>IF(AD98=0,"",IFERROR(AD98/AD$19,""))</f>
        <v/>
      </c>
      <c r="AF98" s="145">
        <f>IF(AND($AA98="",AD98=""),"",$AA98-AD98)</f>
        <v>0</v>
      </c>
      <c r="AG98" s="143">
        <v>125</v>
      </c>
      <c r="AH98" s="144">
        <f>IF(AG98=0,"",IFERROR(AG98/AG$19,""))</f>
        <v>3.365385262574089E-3</v>
      </c>
      <c r="AI98" s="145">
        <f>IF(AND($AA98="",AG98=""),"",$AA98-AG98)</f>
        <v>-125</v>
      </c>
    </row>
    <row r="99" spans="1:35" x14ac:dyDescent="0.35">
      <c r="A99" s="11"/>
      <c r="B99" s="11"/>
      <c r="C99" s="208"/>
      <c r="D99" s="11"/>
      <c r="E99" s="11"/>
      <c r="F99" s="11"/>
      <c r="G99" s="11"/>
      <c r="H99" s="185" t="s">
        <v>342</v>
      </c>
      <c r="I99" s="122"/>
      <c r="J99" s="122"/>
      <c r="K99" s="11"/>
      <c r="L99" s="90" t="str">
        <f>IF(_epmOfflineCondition_,"",_xll.EVPRO($B$1,H99,"JDEID"))</f>
        <v/>
      </c>
      <c r="M99" s="90" t="str">
        <f>IF(_epmOfflineCondition_,"",IF(AND(I99="N",J99="N"),_xll.EVPRO($B$1,H99,"PSFTID"),""))</f>
        <v/>
      </c>
      <c r="N99" s="106" t="str">
        <f>IF(_epmOfflineCondition_,"Beer Revenue",IF(_xll.EVDES(H99,$B$1)="#NODATA","",_xll.EVDES(H99,$B$1)))</f>
        <v>Beer Revenue</v>
      </c>
      <c r="O99" s="166"/>
      <c r="P99" s="166"/>
      <c r="Q99" s="166"/>
      <c r="R99" s="166"/>
      <c r="S99" s="166"/>
      <c r="T99" s="166"/>
      <c r="U99" s="166"/>
      <c r="V99" s="166"/>
      <c r="W99" s="166"/>
      <c r="X99" s="166"/>
      <c r="Y99" s="166"/>
      <c r="Z99" s="166"/>
      <c r="AA99" s="166">
        <f>SUM(O99:Z99)</f>
        <v>0</v>
      </c>
      <c r="AB99" s="167" t="str">
        <f>IF(AA99=0,"",IFERROR(AA99/AA$19,""))</f>
        <v/>
      </c>
      <c r="AC99" s="140"/>
      <c r="AD99" s="166">
        <v>2264.0545882451001</v>
      </c>
      <c r="AE99" s="167">
        <f>IF(AD99=0,"",IFERROR(AD99/AD$19,""))</f>
        <v>3.9999999999999931E-2</v>
      </c>
      <c r="AF99" s="168">
        <f>IF(AND($AA99="",AD99=""),"",$AA99-AD99)</f>
        <v>-2264.0545882451001</v>
      </c>
      <c r="AG99" s="166">
        <v>392</v>
      </c>
      <c r="AH99" s="167">
        <f>IF(AG99=0,"",IFERROR(AG99/AG$19,""))</f>
        <v>1.0553848183432343E-2</v>
      </c>
      <c r="AI99" s="168">
        <f>IF(AND($AA99="",AG99=""),"",$AA99-AG99)</f>
        <v>-392</v>
      </c>
    </row>
    <row r="100" spans="1:35" x14ac:dyDescent="0.35">
      <c r="A100" s="11"/>
      <c r="B100" s="11"/>
      <c r="C100" s="208"/>
      <c r="D100" s="11"/>
      <c r="E100" s="11"/>
      <c r="F100" s="11"/>
      <c r="G100" s="11"/>
      <c r="H100" s="185"/>
      <c r="I100" s="122"/>
      <c r="J100" s="122"/>
      <c r="K100" s="11"/>
      <c r="L100" s="90"/>
      <c r="M100" s="90"/>
      <c r="N100" s="53"/>
      <c r="O100" s="174"/>
      <c r="P100" s="175"/>
      <c r="Q100" s="175"/>
      <c r="R100" s="175"/>
      <c r="S100" s="175"/>
      <c r="T100" s="175"/>
      <c r="U100" s="175"/>
      <c r="V100" s="175"/>
      <c r="W100" s="175"/>
      <c r="X100" s="175"/>
      <c r="Y100" s="175"/>
      <c r="Z100" s="175"/>
      <c r="AA100" s="175"/>
      <c r="AB100" s="176"/>
      <c r="AC100" s="140"/>
      <c r="AD100" s="174"/>
      <c r="AE100" s="175"/>
      <c r="AF100" s="176"/>
      <c r="AG100" s="174"/>
      <c r="AH100" s="175"/>
      <c r="AI100" s="176"/>
    </row>
    <row r="101" spans="1:35" x14ac:dyDescent="0.35">
      <c r="A101" s="11"/>
      <c r="B101" s="11"/>
      <c r="C101" s="208"/>
      <c r="D101" s="11"/>
      <c r="E101" s="11"/>
      <c r="F101" s="11"/>
      <c r="G101" s="11"/>
      <c r="H101" s="185"/>
      <c r="I101" s="122"/>
      <c r="J101" s="122"/>
      <c r="K101" s="11"/>
      <c r="L101" s="90"/>
      <c r="M101" s="90"/>
      <c r="N101" s="53" t="s">
        <v>338</v>
      </c>
      <c r="O101" s="162"/>
      <c r="P101" s="163"/>
      <c r="Q101" s="163"/>
      <c r="R101" s="163"/>
      <c r="S101" s="163"/>
      <c r="T101" s="163"/>
      <c r="U101" s="163"/>
      <c r="V101" s="163"/>
      <c r="W101" s="163"/>
      <c r="X101" s="163"/>
      <c r="Y101" s="163"/>
      <c r="Z101" s="163"/>
      <c r="AA101" s="163"/>
      <c r="AB101" s="164"/>
      <c r="AC101" s="140"/>
      <c r="AD101" s="162"/>
      <c r="AE101" s="163"/>
      <c r="AF101" s="164"/>
      <c r="AG101" s="162"/>
      <c r="AH101" s="163"/>
      <c r="AI101" s="164"/>
    </row>
    <row r="102" spans="1:35" x14ac:dyDescent="0.35">
      <c r="A102" s="11"/>
      <c r="B102" s="11"/>
      <c r="C102" s="208"/>
      <c r="D102" s="11"/>
      <c r="E102" s="11"/>
      <c r="F102" s="11"/>
      <c r="G102" s="11"/>
      <c r="H102" s="185" t="s">
        <v>296</v>
      </c>
      <c r="I102" s="122"/>
      <c r="J102" s="122"/>
      <c r="K102" s="11"/>
      <c r="L102" s="90" t="str">
        <f>IF(_epmOfflineCondition_,"461400",_xll.EVPRO($B$1,H102,"JDEID"))</f>
        <v>461400</v>
      </c>
      <c r="M102" s="90" t="str">
        <f>IF(_epmOfflineCondition_,"",IF(AND(I102="N",J102="N"),_xll.EVPRO($B$1,H102,"PSFTID"),""))</f>
        <v/>
      </c>
      <c r="N102" s="90" t="str">
        <f>IF(_epmOfflineCondition_,"Breakfast Wine",IF(_xll.EVDES(H102,$B$1)="#NODATA","",_xll.EVDES(H102,$B$1)))</f>
        <v>Breakfast Wine</v>
      </c>
      <c r="O102" s="143"/>
      <c r="P102" s="143"/>
      <c r="Q102" s="143"/>
      <c r="R102" s="143"/>
      <c r="S102" s="143"/>
      <c r="T102" s="143"/>
      <c r="U102" s="143"/>
      <c r="V102" s="143"/>
      <c r="W102" s="143"/>
      <c r="X102" s="143"/>
      <c r="Y102" s="143"/>
      <c r="Z102" s="143"/>
      <c r="AA102" s="143">
        <f>SUM(O102:Z102)</f>
        <v>0</v>
      </c>
      <c r="AB102" s="144" t="str">
        <f>IF(AA102=0,"",IFERROR(AA102/AA$19,""))</f>
        <v/>
      </c>
      <c r="AC102" s="140"/>
      <c r="AD102" s="143"/>
      <c r="AE102" s="144" t="str">
        <f>IF(AD102=0,"",IFERROR(AD102/AD$19,""))</f>
        <v/>
      </c>
      <c r="AF102" s="145">
        <f>IF(AND($AA102="",AD102=""),"",$AA102-AD102)</f>
        <v>0</v>
      </c>
      <c r="AG102" s="143"/>
      <c r="AH102" s="144" t="str">
        <f>IF(AG102=0,"",IFERROR(AG102/AG$19,""))</f>
        <v/>
      </c>
      <c r="AI102" s="145">
        <f>IF(AND($AA102="",AG102=""),"",$AA102-AG102)</f>
        <v>0</v>
      </c>
    </row>
    <row r="103" spans="1:35" x14ac:dyDescent="0.35">
      <c r="A103" s="11"/>
      <c r="B103" s="11"/>
      <c r="C103" s="208"/>
      <c r="D103" s="11"/>
      <c r="E103" s="11"/>
      <c r="F103" s="11"/>
      <c r="G103" s="11"/>
      <c r="H103" s="185" t="s">
        <v>303</v>
      </c>
      <c r="I103" s="122"/>
      <c r="J103" s="122"/>
      <c r="K103" s="11"/>
      <c r="L103" s="90" t="str">
        <f>IF(_epmOfflineCondition_,"462400",_xll.EVPRO($B$1,H103,"JDEID"))</f>
        <v>462400</v>
      </c>
      <c r="M103" s="90" t="str">
        <f>IF(_epmOfflineCondition_,"",IF(AND(I103="N",J103="N"),_xll.EVPRO($B$1,H103,"PSFTID"),""))</f>
        <v/>
      </c>
      <c r="N103" s="90" t="str">
        <f>IF(_epmOfflineCondition_,"Lunch Wine",IF(_xll.EVDES(H103,$B$1)="#NODATA","",_xll.EVDES(H103,$B$1)))</f>
        <v>Lunch Wine</v>
      </c>
      <c r="O103" s="143"/>
      <c r="P103" s="143"/>
      <c r="Q103" s="143"/>
      <c r="R103" s="143"/>
      <c r="S103" s="143"/>
      <c r="T103" s="143"/>
      <c r="U103" s="143"/>
      <c r="V103" s="143"/>
      <c r="W103" s="143"/>
      <c r="X103" s="143"/>
      <c r="Y103" s="143"/>
      <c r="Z103" s="143"/>
      <c r="AA103" s="143">
        <f>SUM(O103:Z103)</f>
        <v>0</v>
      </c>
      <c r="AB103" s="144" t="str">
        <f>IF(AA103=0,"",IFERROR(AA103/AA$19,""))</f>
        <v/>
      </c>
      <c r="AC103" s="140"/>
      <c r="AD103" s="143"/>
      <c r="AE103" s="144" t="str">
        <f>IF(AD103=0,"",IFERROR(AD103/AD$19,""))</f>
        <v/>
      </c>
      <c r="AF103" s="145">
        <f>IF(AND($AA103="",AD103=""),"",$AA103-AD103)</f>
        <v>0</v>
      </c>
      <c r="AG103" s="143"/>
      <c r="AH103" s="144" t="str">
        <f>IF(AG103=0,"",IFERROR(AG103/AG$19,""))</f>
        <v/>
      </c>
      <c r="AI103" s="145">
        <f>IF(AND($AA103="",AG103=""),"",$AA103-AG103)</f>
        <v>0</v>
      </c>
    </row>
    <row r="104" spans="1:35" x14ac:dyDescent="0.35">
      <c r="A104" s="11"/>
      <c r="B104" s="11"/>
      <c r="C104" s="208"/>
      <c r="D104" s="11"/>
      <c r="E104" s="11"/>
      <c r="F104" s="11"/>
      <c r="G104" s="11"/>
      <c r="H104" s="185" t="s">
        <v>304</v>
      </c>
      <c r="I104" s="122"/>
      <c r="J104" s="122"/>
      <c r="K104" s="11"/>
      <c r="L104" s="90" t="str">
        <f>IF(_epmOfflineCondition_,"463400",_xll.EVPRO($B$1,H104,"JDEID"))</f>
        <v>463400</v>
      </c>
      <c r="M104" s="90" t="str">
        <f>IF(_epmOfflineCondition_,"",IF(AND(I104="N",J104="N"),_xll.EVPRO($B$1,H104,"PSFTID"),""))</f>
        <v/>
      </c>
      <c r="N104" s="90" t="str">
        <f>IF(_epmOfflineCondition_,"Dinner Wine",IF(_xll.EVDES(H104,$B$1)="#NODATA","",_xll.EVDES(H104,$B$1)))</f>
        <v>Dinner Wine</v>
      </c>
      <c r="O104" s="143"/>
      <c r="P104" s="143"/>
      <c r="Q104" s="143"/>
      <c r="R104" s="143"/>
      <c r="S104" s="143"/>
      <c r="T104" s="143"/>
      <c r="U104" s="143"/>
      <c r="V104" s="143"/>
      <c r="W104" s="143"/>
      <c r="X104" s="143"/>
      <c r="Y104" s="143"/>
      <c r="Z104" s="143"/>
      <c r="AA104" s="143">
        <f>SUM(O104:Z104)</f>
        <v>0</v>
      </c>
      <c r="AB104" s="144" t="str">
        <f>IF(AA104=0,"",IFERROR(AA104/AA$19,""))</f>
        <v/>
      </c>
      <c r="AC104" s="140"/>
      <c r="AD104" s="143">
        <v>12452.300235348101</v>
      </c>
      <c r="AE104" s="144">
        <f>IF(AD104=0,"",IFERROR(AD104/AD$19,""))</f>
        <v>0.2200000000000005</v>
      </c>
      <c r="AF104" s="145">
        <f>IF(AND($AA104="",AD104=""),"",$AA104-AD104)</f>
        <v>-12452.300235348101</v>
      </c>
      <c r="AG104" s="143">
        <v>670</v>
      </c>
      <c r="AH104" s="144">
        <f>IF(AG104=0,"",IFERROR(AG104/AG$19,""))</f>
        <v>1.8038465007397118E-2</v>
      </c>
      <c r="AI104" s="145">
        <f>IF(AND($AA104="",AG104=""),"",$AA104-AG104)</f>
        <v>-670</v>
      </c>
    </row>
    <row r="105" spans="1:35" x14ac:dyDescent="0.35">
      <c r="A105" s="11"/>
      <c r="B105" s="11"/>
      <c r="C105" s="208"/>
      <c r="D105" s="11"/>
      <c r="E105" s="11"/>
      <c r="F105" s="11"/>
      <c r="G105" s="11"/>
      <c r="H105" s="185" t="s">
        <v>810</v>
      </c>
      <c r="I105" s="122"/>
      <c r="J105" s="122"/>
      <c r="K105" s="11"/>
      <c r="L105" s="90" t="str">
        <f>IF(_epmOfflineCondition_,"471410",_xll.EVPRO($B$1,H105,"JDEID"))</f>
        <v>471410</v>
      </c>
      <c r="M105" s="90" t="str">
        <f>IF(_epmOfflineCondition_,"",IF(AND(I105="N",J105="N"),_xll.EVPRO($B$1,H105,"PSFTID"),""))</f>
        <v/>
      </c>
      <c r="N105" s="90" t="str">
        <f>IF(_epmOfflineCondition_,"Reception Wine",IF(_xll.EVDES(H105,$B$1)="#NODATA","",_xll.EVDES(H105,$B$1)))</f>
        <v>Reception Wine</v>
      </c>
      <c r="O105" s="143"/>
      <c r="P105" s="143"/>
      <c r="Q105" s="143"/>
      <c r="R105" s="143"/>
      <c r="S105" s="143"/>
      <c r="T105" s="143"/>
      <c r="U105" s="143"/>
      <c r="V105" s="143"/>
      <c r="W105" s="143"/>
      <c r="X105" s="143"/>
      <c r="Y105" s="143"/>
      <c r="Z105" s="143"/>
      <c r="AA105" s="143">
        <f>SUM(O105:Z105)</f>
        <v>0</v>
      </c>
      <c r="AB105" s="144" t="str">
        <f>IF(AA105=0,"",IFERROR(AA105/AA$19,""))</f>
        <v/>
      </c>
      <c r="AC105" s="140"/>
      <c r="AD105" s="143"/>
      <c r="AE105" s="144" t="str">
        <f>IF(AD105=0,"",IFERROR(AD105/AD$19,""))</f>
        <v/>
      </c>
      <c r="AF105" s="145">
        <f>IF(AND($AA105="",AD105=""),"",$AA105-AD105)</f>
        <v>0</v>
      </c>
      <c r="AG105" s="143">
        <v>2108</v>
      </c>
      <c r="AH105" s="144">
        <f>IF(AG105=0,"",IFERROR(AG105/AG$19,""))</f>
        <v>5.6753857068049439E-2</v>
      </c>
      <c r="AI105" s="145">
        <f>IF(AND($AA105="",AG105=""),"",$AA105-AG105)</f>
        <v>-2108</v>
      </c>
    </row>
    <row r="106" spans="1:35" x14ac:dyDescent="0.35">
      <c r="A106" s="11"/>
      <c r="B106" s="11"/>
      <c r="C106" s="208"/>
      <c r="D106" s="11"/>
      <c r="E106" s="11"/>
      <c r="F106" s="11"/>
      <c r="G106" s="11"/>
      <c r="H106" s="185" t="s">
        <v>341</v>
      </c>
      <c r="I106" s="122"/>
      <c r="J106" s="122"/>
      <c r="K106" s="11"/>
      <c r="L106" s="90" t="str">
        <f>IF(_epmOfflineCondition_,"",_xll.EVPRO($B$1,H106,"JDEID"))</f>
        <v/>
      </c>
      <c r="M106" s="90" t="str">
        <f>IF(_epmOfflineCondition_,"",IF(AND(I106="N",J106="N"),_xll.EVPRO($B$1,H106,"PSFTID"),""))</f>
        <v/>
      </c>
      <c r="N106" s="106" t="str">
        <f>IF(_epmOfflineCondition_,"Wine Revenue",IF(_xll.EVDES(H106,$B$1)="#NODATA","",_xll.EVDES(H106,$B$1)))</f>
        <v>Wine Revenue</v>
      </c>
      <c r="O106" s="166"/>
      <c r="P106" s="166"/>
      <c r="Q106" s="166"/>
      <c r="R106" s="166"/>
      <c r="S106" s="166"/>
      <c r="T106" s="166"/>
      <c r="U106" s="166"/>
      <c r="V106" s="166"/>
      <c r="W106" s="166"/>
      <c r="X106" s="166"/>
      <c r="Y106" s="166"/>
      <c r="Z106" s="166"/>
      <c r="AA106" s="166">
        <f>SUM(O106:Z106)</f>
        <v>0</v>
      </c>
      <c r="AB106" s="167" t="str">
        <f>IF(AA106=0,"",IFERROR(AA106/AA$19,""))</f>
        <v/>
      </c>
      <c r="AC106" s="140"/>
      <c r="AD106" s="166">
        <v>12452.300235348101</v>
      </c>
      <c r="AE106" s="167">
        <f>IF(AD106=0,"",IFERROR(AD106/AD$19,""))</f>
        <v>0.2200000000000005</v>
      </c>
      <c r="AF106" s="168">
        <f>IF(AND($AA106="",AD106=""),"",$AA106-AD106)</f>
        <v>-12452.300235348101</v>
      </c>
      <c r="AG106" s="166">
        <v>2778</v>
      </c>
      <c r="AH106" s="167">
        <f>IF(AG106=0,"",IFERROR(AG106/AG$19,""))</f>
        <v>7.479232207544656E-2</v>
      </c>
      <c r="AI106" s="168">
        <f>IF(AND($AA106="",AG106=""),"",$AA106-AG106)</f>
        <v>-2778</v>
      </c>
    </row>
    <row r="107" spans="1:35" x14ac:dyDescent="0.35">
      <c r="A107" s="11"/>
      <c r="B107" s="11"/>
      <c r="C107" s="208"/>
      <c r="D107" s="11"/>
      <c r="E107" s="11"/>
      <c r="F107" s="11"/>
      <c r="G107" s="11"/>
      <c r="H107" s="185"/>
      <c r="I107" s="122"/>
      <c r="J107" s="122"/>
      <c r="K107" s="11"/>
      <c r="L107" s="90"/>
      <c r="M107" s="90"/>
      <c r="N107" s="11"/>
      <c r="O107" s="174"/>
      <c r="P107" s="175"/>
      <c r="Q107" s="175"/>
      <c r="R107" s="175"/>
      <c r="S107" s="175"/>
      <c r="T107" s="175"/>
      <c r="U107" s="175"/>
      <c r="V107" s="175"/>
      <c r="W107" s="175"/>
      <c r="X107" s="175"/>
      <c r="Y107" s="175"/>
      <c r="Z107" s="175"/>
      <c r="AA107" s="175"/>
      <c r="AB107" s="176"/>
      <c r="AC107" s="140"/>
      <c r="AD107" s="174"/>
      <c r="AE107" s="175"/>
      <c r="AF107" s="176"/>
      <c r="AG107" s="174"/>
      <c r="AH107" s="175"/>
      <c r="AI107" s="176"/>
    </row>
    <row r="108" spans="1:35" x14ac:dyDescent="0.35">
      <c r="A108" s="11"/>
      <c r="B108" s="11"/>
      <c r="C108" s="208"/>
      <c r="D108" s="11"/>
      <c r="E108" s="11"/>
      <c r="F108" s="11"/>
      <c r="G108" s="11"/>
      <c r="H108" s="88" t="s">
        <v>267</v>
      </c>
      <c r="I108" s="122"/>
      <c r="J108" s="122"/>
      <c r="K108" s="11"/>
      <c r="L108" s="90" t="str">
        <f>IF(_epmOfflineCondition_,"",_xll.EVPRO($B$1,H108,"JDEID"))</f>
        <v/>
      </c>
      <c r="M108" s="90" t="str">
        <f>IF(_epmOfflineCondition_,"",IF(AND(I108="N",J108="N"),_xll.EVPRO($B$1,H108,"PSFTID"),""))</f>
        <v/>
      </c>
      <c r="N108" s="90" t="str">
        <f>IF(_epmOfflineCondition_,"Breakfast  Beverage Revenue",IF(_xll.EVDES(H108,$B$1)="#NODATA","",_xll.EVDES(H108,$B$1)))</f>
        <v>Breakfast  Beverage Revenue</v>
      </c>
      <c r="O108" s="143">
        <f t="shared" ref="O108:Z108" si="22">O88+O95+O102</f>
        <v>0</v>
      </c>
      <c r="P108" s="143">
        <f t="shared" si="22"/>
        <v>0</v>
      </c>
      <c r="Q108" s="143">
        <f t="shared" si="22"/>
        <v>0</v>
      </c>
      <c r="R108" s="143">
        <f t="shared" si="22"/>
        <v>0</v>
      </c>
      <c r="S108" s="143">
        <f t="shared" si="22"/>
        <v>0</v>
      </c>
      <c r="T108" s="143">
        <f t="shared" si="22"/>
        <v>0</v>
      </c>
      <c r="U108" s="143">
        <f t="shared" si="22"/>
        <v>0</v>
      </c>
      <c r="V108" s="143">
        <f t="shared" si="22"/>
        <v>0</v>
      </c>
      <c r="W108" s="143">
        <f t="shared" si="22"/>
        <v>0</v>
      </c>
      <c r="X108" s="143">
        <f t="shared" si="22"/>
        <v>0</v>
      </c>
      <c r="Y108" s="143">
        <f t="shared" si="22"/>
        <v>0</v>
      </c>
      <c r="Z108" s="143">
        <f t="shared" si="22"/>
        <v>0</v>
      </c>
      <c r="AA108" s="143">
        <f>SUM(O108:Z108)</f>
        <v>0</v>
      </c>
      <c r="AB108" s="144" t="str">
        <f>IF(AA108=0,"",IFERROR(AA108/AA$19,""))</f>
        <v/>
      </c>
      <c r="AC108" s="140"/>
      <c r="AD108" s="143">
        <f>AD88+AD95+AD102</f>
        <v>0</v>
      </c>
      <c r="AE108" s="144" t="str">
        <f>IF(AD108=0,"",IFERROR(AD108/AD$19,""))</f>
        <v/>
      </c>
      <c r="AF108" s="145">
        <f>IF(AND($AA108="",AD108=""),"",$AA108-AD108)</f>
        <v>0</v>
      </c>
      <c r="AG108" s="143">
        <f>AG88+AG95+AG102</f>
        <v>258.99</v>
      </c>
      <c r="AH108" s="144">
        <f>IF(AG108=0,"",IFERROR(AG108/AG$19,""))</f>
        <v>6.972809033232507E-3</v>
      </c>
      <c r="AI108" s="145">
        <f>IF(AND($AA108="",AG108=""),"",$AA108-AG108)</f>
        <v>-258.99</v>
      </c>
    </row>
    <row r="109" spans="1:35" x14ac:dyDescent="0.35">
      <c r="A109" s="11"/>
      <c r="B109" s="11"/>
      <c r="C109" s="208"/>
      <c r="D109" s="11"/>
      <c r="E109" s="11"/>
      <c r="F109" s="11"/>
      <c r="G109" s="11"/>
      <c r="H109" s="88" t="s">
        <v>268</v>
      </c>
      <c r="I109" s="122"/>
      <c r="J109" s="122"/>
      <c r="K109" s="11"/>
      <c r="L109" s="90" t="str">
        <f>IF(_epmOfflineCondition_,"",_xll.EVPRO($B$1,H109,"JDEID"))</f>
        <v/>
      </c>
      <c r="M109" s="90" t="str">
        <f>IF(_epmOfflineCondition_,"",IF(AND(I109="N",J109="N"),_xll.EVPRO($B$1,H109,"PSFTID"),""))</f>
        <v/>
      </c>
      <c r="N109" s="90" t="str">
        <f>IF(_epmOfflineCondition_,"Lunch Beverage Revenue",IF(_xll.EVDES(H109,$B$1)="#NODATA","",_xll.EVDES(H109,$B$1)))</f>
        <v>Lunch Beverage Revenue</v>
      </c>
      <c r="O109" s="143">
        <f t="shared" ref="O109:Z109" si="23">O89+O96+O103</f>
        <v>0</v>
      </c>
      <c r="P109" s="143">
        <f t="shared" si="23"/>
        <v>0</v>
      </c>
      <c r="Q109" s="143">
        <f t="shared" si="23"/>
        <v>0</v>
      </c>
      <c r="R109" s="143">
        <f t="shared" si="23"/>
        <v>0</v>
      </c>
      <c r="S109" s="143">
        <f t="shared" si="23"/>
        <v>0</v>
      </c>
      <c r="T109" s="143">
        <f t="shared" si="23"/>
        <v>90</v>
      </c>
      <c r="U109" s="143">
        <f t="shared" si="23"/>
        <v>22</v>
      </c>
      <c r="V109" s="143">
        <f t="shared" si="23"/>
        <v>0</v>
      </c>
      <c r="W109" s="143">
        <f t="shared" si="23"/>
        <v>0</v>
      </c>
      <c r="X109" s="143">
        <f t="shared" si="23"/>
        <v>0</v>
      </c>
      <c r="Y109" s="143">
        <f t="shared" si="23"/>
        <v>660</v>
      </c>
      <c r="Z109" s="143">
        <f t="shared" si="23"/>
        <v>0</v>
      </c>
      <c r="AA109" s="143">
        <f>SUM(O109:Z109)</f>
        <v>772</v>
      </c>
      <c r="AB109" s="144">
        <f>IF(AA109=0,"",IFERROR(AA109/AA$19,""))</f>
        <v>1.7238414869695896E-2</v>
      </c>
      <c r="AC109" s="140"/>
      <c r="AD109" s="143">
        <f>AD89+AD96+AD103</f>
        <v>0</v>
      </c>
      <c r="AE109" s="144" t="str">
        <f>IF(AD109=0,"",IFERROR(AD109/AD$19,""))</f>
        <v/>
      </c>
      <c r="AF109" s="145">
        <f>IF(AND($AA109="",AD109=""),"",$AA109-AD109)</f>
        <v>772</v>
      </c>
      <c r="AG109" s="143">
        <f>AG89+AG96+AG103</f>
        <v>109</v>
      </c>
      <c r="AH109" s="144">
        <f>IF(AG109=0,"",IFERROR(AG109/AG$19,""))</f>
        <v>2.9346159489646055E-3</v>
      </c>
      <c r="AI109" s="145">
        <f>IF(AND($AA109="",AG109=""),"",$AA109-AG109)</f>
        <v>663</v>
      </c>
    </row>
    <row r="110" spans="1:35" x14ac:dyDescent="0.35">
      <c r="A110" s="11"/>
      <c r="B110" s="11"/>
      <c r="C110" s="208"/>
      <c r="D110" s="11"/>
      <c r="E110" s="11"/>
      <c r="F110" s="11"/>
      <c r="G110" s="11"/>
      <c r="H110" s="185" t="s">
        <v>269</v>
      </c>
      <c r="I110" s="122"/>
      <c r="J110" s="122"/>
      <c r="K110" s="11"/>
      <c r="L110" s="90" t="str">
        <f>IF(_epmOfflineCondition_,"",_xll.EVPRO($B$1,H110,"JDEID"))</f>
        <v/>
      </c>
      <c r="M110" s="90" t="str">
        <f>IF(_epmOfflineCondition_,"",IF(AND(I110="N",J110="N"),_xll.EVPRO($B$1,H110,"PSFTID"),""))</f>
        <v/>
      </c>
      <c r="N110" s="90" t="str">
        <f>IF(_epmOfflineCondition_,"Dinner Beverage Revenue",IF(_xll.EVDES(H110,$B$1)="#NODATA","",_xll.EVDES(H110,$B$1)))</f>
        <v>Dinner Beverage Revenue</v>
      </c>
      <c r="O110" s="143">
        <f t="shared" ref="O110:Z110" si="24">O90+O97+O104</f>
        <v>0</v>
      </c>
      <c r="P110" s="143">
        <f t="shared" si="24"/>
        <v>0</v>
      </c>
      <c r="Q110" s="143">
        <f t="shared" si="24"/>
        <v>0</v>
      </c>
      <c r="R110" s="143">
        <f t="shared" si="24"/>
        <v>828</v>
      </c>
      <c r="S110" s="143">
        <f t="shared" si="24"/>
        <v>0</v>
      </c>
      <c r="T110" s="143">
        <f t="shared" si="24"/>
        <v>1365</v>
      </c>
      <c r="U110" s="143">
        <f t="shared" si="24"/>
        <v>142</v>
      </c>
      <c r="V110" s="143">
        <f t="shared" si="24"/>
        <v>0</v>
      </c>
      <c r="W110" s="143">
        <f t="shared" si="24"/>
        <v>690</v>
      </c>
      <c r="X110" s="143">
        <f t="shared" si="24"/>
        <v>0</v>
      </c>
      <c r="Y110" s="143">
        <f t="shared" si="24"/>
        <v>0</v>
      </c>
      <c r="Z110" s="143">
        <f t="shared" si="24"/>
        <v>0</v>
      </c>
      <c r="AA110" s="143">
        <f>SUM(O110:Z110)</f>
        <v>3025</v>
      </c>
      <c r="AB110" s="144">
        <f>IF(AA110=0,"",IFERROR(AA110/AA$19,""))</f>
        <v>6.7546897643562281E-2</v>
      </c>
      <c r="AC110" s="140"/>
      <c r="AD110" s="143">
        <f>AD90+AD97+AD104</f>
        <v>27168.655058941302</v>
      </c>
      <c r="AE110" s="144">
        <f>IF(AD110=0,"",IFERROR(AD110/AD$19,""))</f>
        <v>0.48000000000000098</v>
      </c>
      <c r="AF110" s="145">
        <f>IF(AND($AA110="",AD110=""),"",$AA110-AD110)</f>
        <v>-24143.655058941302</v>
      </c>
      <c r="AG110" s="143">
        <f>AG90+AG97+AG104</f>
        <v>1797</v>
      </c>
      <c r="AH110" s="144">
        <f>IF(AG110=0,"",IFERROR(AG110/AG$19,""))</f>
        <v>4.8380778534765106E-2</v>
      </c>
      <c r="AI110" s="145">
        <f>IF(AND($AA110="",AG110=""),"",$AA110-AG110)</f>
        <v>1228</v>
      </c>
    </row>
    <row r="111" spans="1:35" x14ac:dyDescent="0.35">
      <c r="A111" s="11"/>
      <c r="B111" s="11"/>
      <c r="C111" s="208"/>
      <c r="D111" s="11"/>
      <c r="E111" s="11"/>
      <c r="F111" s="11"/>
      <c r="G111" s="11"/>
      <c r="H111" s="185" t="s">
        <v>791</v>
      </c>
      <c r="I111" s="122"/>
      <c r="J111" s="122"/>
      <c r="K111" s="11"/>
      <c r="L111" s="90" t="str">
        <f>IF(_epmOfflineCondition_,"",_xll.EVPRO($B$1,H111,"JDEID"))</f>
        <v/>
      </c>
      <c r="M111" s="90" t="str">
        <f>IF(_epmOfflineCondition_,"",IF(AND(I111="N",J111="N"),_xll.EVPRO($B$1,H111,"PSFTID"),""))</f>
        <v/>
      </c>
      <c r="N111" s="90" t="str">
        <f>IF(_epmOfflineCondition_,"Reception Beverage Revenue",IF(_xll.EVDES(H111,$B$1)="#NODATA","",_xll.EVDES(H111,$B$1)))</f>
        <v>Reception Beverage Revenue</v>
      </c>
      <c r="O111" s="143">
        <f t="shared" ref="O111:Z111" si="25">O91+O98+O105</f>
        <v>0</v>
      </c>
      <c r="P111" s="143">
        <f t="shared" si="25"/>
        <v>0</v>
      </c>
      <c r="Q111" s="143">
        <f t="shared" si="25"/>
        <v>0</v>
      </c>
      <c r="R111" s="143">
        <f t="shared" si="25"/>
        <v>0</v>
      </c>
      <c r="S111" s="143">
        <f t="shared" si="25"/>
        <v>0</v>
      </c>
      <c r="T111" s="143">
        <f t="shared" si="25"/>
        <v>0</v>
      </c>
      <c r="U111" s="143">
        <f t="shared" si="25"/>
        <v>0</v>
      </c>
      <c r="V111" s="143">
        <f t="shared" si="25"/>
        <v>0</v>
      </c>
      <c r="W111" s="143">
        <f t="shared" si="25"/>
        <v>0</v>
      </c>
      <c r="X111" s="143">
        <f t="shared" si="25"/>
        <v>0</v>
      </c>
      <c r="Y111" s="143">
        <f t="shared" si="25"/>
        <v>0</v>
      </c>
      <c r="Z111" s="143">
        <f t="shared" si="25"/>
        <v>0</v>
      </c>
      <c r="AA111" s="143">
        <f>SUM(O111:Z111)</f>
        <v>0</v>
      </c>
      <c r="AB111" s="144" t="str">
        <f>IF(AA111=0,"",IFERROR(AA111/AA$19,""))</f>
        <v/>
      </c>
      <c r="AC111" s="140"/>
      <c r="AD111" s="143">
        <f>AD91+AD98+AD105</f>
        <v>0</v>
      </c>
      <c r="AE111" s="144" t="str">
        <f>IF(AD111=0,"",IFERROR(AD111/AD$19,""))</f>
        <v/>
      </c>
      <c r="AF111" s="145">
        <f>IF(AND($AA111="",AD111=""),"",$AA111-AD111)</f>
        <v>0</v>
      </c>
      <c r="AG111" s="143">
        <f>AG91+AG98+AG105</f>
        <v>2922</v>
      </c>
      <c r="AH111" s="144">
        <f>IF(AG111=0,"",IFERROR(AG111/AG$19,""))</f>
        <v>7.8669245897931908E-2</v>
      </c>
      <c r="AI111" s="145">
        <f>IF(AND($AA111="",AG111=""),"",$AA111-AG111)</f>
        <v>-2922</v>
      </c>
    </row>
    <row r="112" spans="1:35" x14ac:dyDescent="0.35">
      <c r="A112" s="11"/>
      <c r="B112" s="11"/>
      <c r="C112" s="208"/>
      <c r="D112" s="11"/>
      <c r="E112" s="11"/>
      <c r="F112" s="11"/>
      <c r="G112" s="11"/>
      <c r="H112" s="88" t="s">
        <v>272</v>
      </c>
      <c r="I112" s="122"/>
      <c r="J112" s="122"/>
      <c r="K112" s="11"/>
      <c r="L112" s="90" t="str">
        <f>IF(_epmOfflineCondition_,"",_xll.EVPRO($B$1,H112,"JDEID"))</f>
        <v/>
      </c>
      <c r="M112" s="90" t="str">
        <f>IF(_epmOfflineCondition_,"",IF(AND(I112="N",J112="N"),_xll.EVPRO($B$1,H112,"PSFTID"),""))</f>
        <v/>
      </c>
      <c r="N112" s="106" t="str">
        <f>IF(_epmOfflineCondition_,"Total Beverage Revenue",IF(_xll.EVDES(H112,$B$1)="#NODATA","",_xll.EVDES(H112,$B$1)))</f>
        <v>Total Beverage Revenue</v>
      </c>
      <c r="O112" s="166">
        <f t="shared" ref="O112:Z112" si="26">SUM(O108:O111)</f>
        <v>0</v>
      </c>
      <c r="P112" s="166">
        <f t="shared" si="26"/>
        <v>0</v>
      </c>
      <c r="Q112" s="166">
        <f t="shared" si="26"/>
        <v>0</v>
      </c>
      <c r="R112" s="166">
        <f t="shared" si="26"/>
        <v>828</v>
      </c>
      <c r="S112" s="166">
        <f t="shared" si="26"/>
        <v>0</v>
      </c>
      <c r="T112" s="166">
        <f t="shared" si="26"/>
        <v>1455</v>
      </c>
      <c r="U112" s="166">
        <f t="shared" si="26"/>
        <v>164</v>
      </c>
      <c r="V112" s="166">
        <f t="shared" si="26"/>
        <v>0</v>
      </c>
      <c r="W112" s="166">
        <f t="shared" si="26"/>
        <v>690</v>
      </c>
      <c r="X112" s="166">
        <f t="shared" si="26"/>
        <v>0</v>
      </c>
      <c r="Y112" s="166">
        <f t="shared" si="26"/>
        <v>660</v>
      </c>
      <c r="Z112" s="166">
        <f t="shared" si="26"/>
        <v>0</v>
      </c>
      <c r="AA112" s="166">
        <f>SUM(O112:Z112)</f>
        <v>3797</v>
      </c>
      <c r="AB112" s="167">
        <f>IF(AA112=0,"",IFERROR(AA112/AA$19,""))</f>
        <v>8.4785312513258174E-2</v>
      </c>
      <c r="AC112" s="140"/>
      <c r="AD112" s="166">
        <f>SUM(AD108:AD111)</f>
        <v>27168.655058941302</v>
      </c>
      <c r="AE112" s="167">
        <f>IF(AD112=0,"",IFERROR(AD112/AD$19,""))</f>
        <v>0.48000000000000098</v>
      </c>
      <c r="AF112" s="168">
        <f>IF(AND($AA112="",AD112=""),"",$AA112-AD112)</f>
        <v>-23371.655058941302</v>
      </c>
      <c r="AG112" s="166">
        <f>SUM(AG108:AG111)</f>
        <v>5086.99</v>
      </c>
      <c r="AH112" s="167">
        <f>IF(AG112=0,"",IFERROR(AG112/AG$19,""))</f>
        <v>0.13695744941489413</v>
      </c>
      <c r="AI112" s="168">
        <f>IF(AND($AA112="",AG112=""),"",$AA112-AG112)</f>
        <v>-1289.9899999999998</v>
      </c>
    </row>
    <row r="113" spans="1:35" x14ac:dyDescent="0.35">
      <c r="A113" s="11"/>
      <c r="B113" s="11"/>
      <c r="C113" s="208"/>
      <c r="D113" s="11"/>
      <c r="E113" s="11"/>
      <c r="F113" s="11"/>
      <c r="G113" s="11"/>
      <c r="H113" s="185"/>
      <c r="I113" s="122"/>
      <c r="J113" s="122"/>
      <c r="K113" s="11"/>
      <c r="L113" s="11"/>
      <c r="M113" s="11"/>
      <c r="N113" s="11"/>
      <c r="O113" s="209">
        <f t="shared" ref="O113:AA113" si="27">O92+O99+O106-O112</f>
        <v>0</v>
      </c>
      <c r="P113" s="209">
        <f t="shared" si="27"/>
        <v>0</v>
      </c>
      <c r="Q113" s="209">
        <f t="shared" si="27"/>
        <v>0</v>
      </c>
      <c r="R113" s="209">
        <f t="shared" si="27"/>
        <v>0</v>
      </c>
      <c r="S113" s="209">
        <f t="shared" si="27"/>
        <v>0</v>
      </c>
      <c r="T113" s="209">
        <f t="shared" si="27"/>
        <v>0</v>
      </c>
      <c r="U113" s="209">
        <f t="shared" si="27"/>
        <v>0</v>
      </c>
      <c r="V113" s="209">
        <f t="shared" si="27"/>
        <v>0</v>
      </c>
      <c r="W113" s="209">
        <f t="shared" si="27"/>
        <v>0</v>
      </c>
      <c r="X113" s="209">
        <f t="shared" si="27"/>
        <v>0</v>
      </c>
      <c r="Y113" s="209">
        <f t="shared" si="27"/>
        <v>0</v>
      </c>
      <c r="Z113" s="209">
        <f t="shared" si="27"/>
        <v>0</v>
      </c>
      <c r="AA113" s="209">
        <f t="shared" si="27"/>
        <v>0</v>
      </c>
      <c r="AB113" s="100"/>
      <c r="AC113" s="11"/>
      <c r="AD113" s="209">
        <f>AD92+AD99+AD106-AD112</f>
        <v>0</v>
      </c>
      <c r="AE113" s="100"/>
      <c r="AF113" s="91"/>
      <c r="AG113" s="209">
        <f>AG92+AG99+AG106-AG112</f>
        <v>0</v>
      </c>
      <c r="AH113" s="100"/>
      <c r="AI113" s="91"/>
    </row>
    <row r="114" spans="1:35" x14ac:dyDescent="0.35">
      <c r="A114" s="11"/>
      <c r="B114" s="11"/>
      <c r="C114" s="208"/>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35">
      <c r="A115" s="11"/>
      <c r="B115" s="11"/>
      <c r="C115" s="208"/>
      <c r="D115" s="11"/>
      <c r="E115" s="11"/>
      <c r="F115" s="11"/>
      <c r="G115" s="11"/>
      <c r="H115" s="88"/>
      <c r="I115" s="122"/>
      <c r="J115" s="122"/>
      <c r="K115" s="11"/>
      <c r="L115" s="90" t="str">
        <f>IF(_epmOfflineCondition_,"",_xll.EVPRO($B$1,H115,"JDEID"))</f>
        <v/>
      </c>
      <c r="M115" s="90" t="str">
        <f>IF(_epmOfflineCondition_,"",IF(AND(I115="N",J115="N"),_xll.EVPRO($B$1,H115,"PSFTID"),""))</f>
        <v/>
      </c>
      <c r="N115" s="106" t="s">
        <v>820</v>
      </c>
      <c r="O115" s="586">
        <f t="shared" ref="O115:AA115" si="28">IFERROR(O19/O21,0)</f>
        <v>0</v>
      </c>
      <c r="P115" s="586">
        <f t="shared" si="28"/>
        <v>0</v>
      </c>
      <c r="Q115" s="586">
        <f t="shared" si="28"/>
        <v>0</v>
      </c>
      <c r="R115" s="586">
        <f t="shared" si="28"/>
        <v>42.617283950617285</v>
      </c>
      <c r="S115" s="586">
        <f t="shared" si="28"/>
        <v>24.516129032258064</v>
      </c>
      <c r="T115" s="586">
        <f t="shared" si="28"/>
        <v>58.719512195121951</v>
      </c>
      <c r="U115" s="586">
        <f t="shared" si="28"/>
        <v>3.3157894736842106</v>
      </c>
      <c r="V115" s="586">
        <f t="shared" si="28"/>
        <v>0</v>
      </c>
      <c r="W115" s="586">
        <f t="shared" si="28"/>
        <v>95.671641791044777</v>
      </c>
      <c r="X115" s="586">
        <f t="shared" si="28"/>
        <v>62.735869565217392</v>
      </c>
      <c r="Y115" s="586">
        <f t="shared" si="28"/>
        <v>26.990625000000001</v>
      </c>
      <c r="Z115" s="586">
        <f t="shared" si="28"/>
        <v>15.137499999999999</v>
      </c>
      <c r="AA115" s="586">
        <f t="shared" si="28"/>
        <v>31.099791666666665</v>
      </c>
      <c r="AB115" s="124"/>
      <c r="AC115" s="11"/>
      <c r="AD115" s="586">
        <f>IFERROR(AD19/AD21,0)</f>
        <v>41.435845319273497</v>
      </c>
      <c r="AE115" s="124"/>
      <c r="AF115" s="372">
        <f>IFERROR(AF19/AF21,0)</f>
        <v>0</v>
      </c>
      <c r="AG115" s="586">
        <f>IFERROR(AG19/AG21,0)</f>
        <v>22.375210843373495</v>
      </c>
      <c r="AH115" s="124"/>
      <c r="AI115" s="372">
        <f>IFERROR(AI19/AI21,0)</f>
        <v>0</v>
      </c>
    </row>
    <row r="116" spans="1:35" x14ac:dyDescent="0.35">
      <c r="A116" s="11"/>
      <c r="B116" s="11"/>
      <c r="C116" s="208"/>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35">
      <c r="A117" s="11"/>
      <c r="B117" s="11"/>
      <c r="C117" s="208"/>
      <c r="D117" s="11"/>
      <c r="E117" s="11"/>
      <c r="F117" s="11"/>
      <c r="G117" s="11"/>
      <c r="H117" s="185"/>
      <c r="I117" s="122"/>
      <c r="J117" s="122"/>
      <c r="K117" s="11"/>
      <c r="L117" s="11"/>
      <c r="M117" s="11"/>
      <c r="N117" s="11"/>
      <c r="O117" s="129"/>
      <c r="P117" s="130"/>
      <c r="Q117" s="130"/>
      <c r="R117" s="130"/>
      <c r="S117" s="130"/>
      <c r="T117" s="130"/>
      <c r="U117" s="130"/>
      <c r="V117" s="130"/>
      <c r="W117" s="130"/>
      <c r="X117" s="130"/>
      <c r="Y117" s="130"/>
      <c r="Z117" s="130"/>
      <c r="AA117" s="130"/>
      <c r="AB117" s="131"/>
      <c r="AC117" s="11"/>
      <c r="AD117" s="129"/>
      <c r="AE117" s="130"/>
      <c r="AF117" s="131"/>
      <c r="AG117" s="129"/>
      <c r="AH117" s="130"/>
      <c r="AI117" s="131"/>
    </row>
    <row r="118" spans="1:35" x14ac:dyDescent="0.35">
      <c r="A118" s="11"/>
      <c r="B118" s="11"/>
      <c r="C118" s="208"/>
      <c r="D118" s="11"/>
      <c r="E118" s="11"/>
      <c r="F118" s="11"/>
      <c r="G118" s="11"/>
      <c r="H118" s="185"/>
      <c r="I118" s="122"/>
      <c r="J118" s="122"/>
      <c r="K118" s="11"/>
      <c r="L118" s="11"/>
      <c r="M118" s="11"/>
      <c r="N118" s="104" t="str">
        <f>N82&amp;" - Check"</f>
        <v>Total Food &amp; Beverage Revenue - Check</v>
      </c>
      <c r="O118" s="209">
        <f t="shared" ref="O118:AA118" si="29">O39+O49+O59+O69+O75+O80-O82</f>
        <v>0</v>
      </c>
      <c r="P118" s="209">
        <f t="shared" si="29"/>
        <v>0</v>
      </c>
      <c r="Q118" s="209">
        <f t="shared" si="29"/>
        <v>0</v>
      </c>
      <c r="R118" s="209">
        <f t="shared" si="29"/>
        <v>0</v>
      </c>
      <c r="S118" s="209">
        <f t="shared" si="29"/>
        <v>0</v>
      </c>
      <c r="T118" s="209">
        <f t="shared" si="29"/>
        <v>0</v>
      </c>
      <c r="U118" s="209">
        <f t="shared" si="29"/>
        <v>0</v>
      </c>
      <c r="V118" s="209">
        <f t="shared" si="29"/>
        <v>0</v>
      </c>
      <c r="W118" s="209">
        <f t="shared" si="29"/>
        <v>0</v>
      </c>
      <c r="X118" s="209">
        <f t="shared" si="29"/>
        <v>0</v>
      </c>
      <c r="Y118" s="209">
        <f t="shared" si="29"/>
        <v>0</v>
      </c>
      <c r="Z118" s="209">
        <f t="shared" si="29"/>
        <v>0</v>
      </c>
      <c r="AA118" s="209">
        <f t="shared" si="29"/>
        <v>0</v>
      </c>
      <c r="AB118" s="100"/>
      <c r="AC118" s="11"/>
      <c r="AD118" s="209">
        <f>AD39+AD49+AD59+AD69+AD75+AD80-AD82</f>
        <v>0</v>
      </c>
      <c r="AE118" s="100"/>
      <c r="AF118" s="91"/>
      <c r="AG118" s="209">
        <f>AG39+AG49+AG59+AG69+AG75+AG80-AG82</f>
        <v>0</v>
      </c>
      <c r="AH118" s="100"/>
      <c r="AI118" s="91"/>
    </row>
    <row r="119" spans="1:35" x14ac:dyDescent="0.35">
      <c r="A119" s="11"/>
      <c r="B119" s="11"/>
      <c r="C119" s="208"/>
      <c r="D119" s="11"/>
      <c r="E119" s="11"/>
      <c r="F119" s="11"/>
      <c r="G119" s="11"/>
      <c r="H119" s="185"/>
      <c r="I119" s="122"/>
      <c r="J119" s="122"/>
      <c r="K119" s="11"/>
      <c r="L119" s="11"/>
      <c r="M119" s="11"/>
      <c r="N119" s="104" t="str">
        <f>N83&amp;" - Check"</f>
        <v>Total Customers - Check</v>
      </c>
      <c r="O119" s="209">
        <f t="shared" ref="O119:AA119" si="30">O41+O51+O61+O70+O76-O83</f>
        <v>0</v>
      </c>
      <c r="P119" s="209">
        <f t="shared" si="30"/>
        <v>0</v>
      </c>
      <c r="Q119" s="209">
        <f t="shared" si="30"/>
        <v>0</v>
      </c>
      <c r="R119" s="209">
        <f t="shared" si="30"/>
        <v>0</v>
      </c>
      <c r="S119" s="209">
        <f t="shared" si="30"/>
        <v>0</v>
      </c>
      <c r="T119" s="209">
        <f t="shared" si="30"/>
        <v>0</v>
      </c>
      <c r="U119" s="209">
        <f t="shared" si="30"/>
        <v>0</v>
      </c>
      <c r="V119" s="209">
        <f t="shared" si="30"/>
        <v>0</v>
      </c>
      <c r="W119" s="209">
        <f t="shared" si="30"/>
        <v>0</v>
      </c>
      <c r="X119" s="209">
        <f t="shared" si="30"/>
        <v>0</v>
      </c>
      <c r="Y119" s="209">
        <f t="shared" si="30"/>
        <v>0</v>
      </c>
      <c r="Z119" s="209">
        <f t="shared" si="30"/>
        <v>0</v>
      </c>
      <c r="AA119" s="209">
        <f t="shared" si="30"/>
        <v>0</v>
      </c>
      <c r="AB119" s="100"/>
      <c r="AC119" s="11"/>
      <c r="AD119" s="209">
        <f>AD41+AD51+AD61+AD70+AD76-AD83</f>
        <v>0</v>
      </c>
      <c r="AE119" s="100"/>
      <c r="AF119" s="91"/>
      <c r="AG119" s="209">
        <f>AG41+AG51+AG61+AG70+AG76-AG83</f>
        <v>0</v>
      </c>
      <c r="AH119" s="100"/>
      <c r="AI119" s="91"/>
    </row>
    <row r="120" spans="1:35" x14ac:dyDescent="0.35">
      <c r="A120" s="11"/>
      <c r="B120" s="11"/>
      <c r="C120" s="208"/>
      <c r="D120" s="11"/>
      <c r="E120" s="11"/>
      <c r="F120" s="11"/>
      <c r="G120" s="11"/>
      <c r="H120" s="185"/>
      <c r="I120" s="122"/>
      <c r="J120" s="122"/>
      <c r="K120" s="11"/>
      <c r="L120" s="11"/>
      <c r="M120" s="11"/>
      <c r="N120" s="104" t="str">
        <f>N84&amp;" - Check"</f>
        <v>Total Average Check - Check</v>
      </c>
      <c r="O120" s="492" t="e">
        <f t="shared" ref="O120:AA120" si="31">IFERROR(O$82/O83,"")-O84</f>
        <v>#VALUE!</v>
      </c>
      <c r="P120" s="492" t="e">
        <f t="shared" si="31"/>
        <v>#VALUE!</v>
      </c>
      <c r="Q120" s="492" t="e">
        <f t="shared" si="31"/>
        <v>#VALUE!</v>
      </c>
      <c r="R120" s="492">
        <f t="shared" si="31"/>
        <v>-3.979039320256561E-13</v>
      </c>
      <c r="S120" s="492">
        <f t="shared" si="31"/>
        <v>0</v>
      </c>
      <c r="T120" s="492">
        <f t="shared" si="31"/>
        <v>0</v>
      </c>
      <c r="U120" s="492" t="e">
        <f t="shared" si="31"/>
        <v>#VALUE!</v>
      </c>
      <c r="V120" s="492" t="e">
        <f t="shared" si="31"/>
        <v>#VALUE!</v>
      </c>
      <c r="W120" s="492">
        <f t="shared" si="31"/>
        <v>0</v>
      </c>
      <c r="X120" s="492" t="e">
        <f t="shared" si="31"/>
        <v>#VALUE!</v>
      </c>
      <c r="Y120" s="492">
        <f t="shared" si="31"/>
        <v>0</v>
      </c>
      <c r="Z120" s="492">
        <f t="shared" si="31"/>
        <v>2.8421709430404007E-14</v>
      </c>
      <c r="AA120" s="492">
        <f t="shared" si="31"/>
        <v>0</v>
      </c>
      <c r="AB120" s="100"/>
      <c r="AC120" s="11"/>
      <c r="AD120" s="492">
        <f>IFERROR(AD$82/AD83,"")-AD84</f>
        <v>0</v>
      </c>
      <c r="AE120" s="100"/>
      <c r="AF120" s="91"/>
      <c r="AG120" s="492">
        <f>IFERROR(AG$82/AG83,"")-AG84</f>
        <v>0</v>
      </c>
      <c r="AH120" s="100"/>
      <c r="AI120" s="91"/>
    </row>
    <row r="121" spans="1:35" x14ac:dyDescent="0.35">
      <c r="A121" s="11"/>
      <c r="B121" s="11"/>
      <c r="C121" s="208"/>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35">
      <c r="A122" s="11"/>
      <c r="B122" s="11"/>
      <c r="C122" s="208"/>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35">
      <c r="A123" s="11"/>
      <c r="B123" s="11"/>
      <c r="C123" s="208"/>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35">
      <c r="A124" s="11"/>
      <c r="B124" s="11"/>
      <c r="C124" s="208"/>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35">
      <c r="A125" s="11"/>
      <c r="B125" s="11"/>
      <c r="C125" s="208"/>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35">
      <c r="A126" s="11"/>
      <c r="B126" s="11"/>
      <c r="C126" s="208"/>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35">
      <c r="A127" s="11"/>
      <c r="B127" s="11"/>
      <c r="C127" s="208"/>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35">
      <c r="A128" s="11"/>
      <c r="B128" s="11"/>
      <c r="C128" s="208"/>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35">
      <c r="A129" s="11"/>
      <c r="B129" s="11"/>
      <c r="C129" s="208"/>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35">
      <c r="A130" s="11"/>
      <c r="B130" s="11"/>
      <c r="C130" s="208"/>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35">
      <c r="A131" s="11"/>
      <c r="B131" s="11"/>
      <c r="C131" s="208"/>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35">
      <c r="A132" s="11"/>
      <c r="B132" s="11"/>
      <c r="C132" s="208"/>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35">
      <c r="A133" s="11"/>
      <c r="B133" s="11"/>
      <c r="C133" s="208"/>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35">
      <c r="A135" s="11"/>
      <c r="B135" s="11"/>
      <c r="C135" s="208"/>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35">
      <c r="A136" s="11"/>
      <c r="B136" s="11"/>
      <c r="C136" s="208"/>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35">
      <c r="A137" s="11"/>
      <c r="B137" s="11"/>
      <c r="C137" s="208"/>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35">
      <c r="A138" s="11"/>
      <c r="B138" s="11"/>
      <c r="C138" s="208"/>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35">
      <c r="A139" s="11"/>
      <c r="B139" s="11"/>
      <c r="C139" s="208"/>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35">
      <c r="A140" s="11"/>
      <c r="B140" s="11"/>
      <c r="C140" s="208"/>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35">
      <c r="A141" s="11"/>
      <c r="B141" s="11"/>
      <c r="C141" s="208"/>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35">
      <c r="A142" s="11"/>
      <c r="B142" s="11"/>
      <c r="C142" s="208"/>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35">
      <c r="A143" s="11"/>
      <c r="B143" s="11"/>
      <c r="C143" s="208"/>
      <c r="D143" s="11"/>
      <c r="E143" s="11"/>
      <c r="F143" s="11"/>
      <c r="G143" s="11"/>
      <c r="H143" s="11"/>
      <c r="I143" s="267"/>
      <c r="J143" s="11"/>
      <c r="K143" s="267"/>
      <c r="L143" s="267"/>
      <c r="M143" s="267"/>
      <c r="N143" s="11"/>
      <c r="O143" s="267"/>
      <c r="P143" s="267"/>
      <c r="Q143" s="267"/>
      <c r="R143" s="267"/>
      <c r="S143" s="267"/>
      <c r="T143" s="267"/>
      <c r="U143" s="267"/>
      <c r="V143" s="267"/>
      <c r="W143" s="267"/>
      <c r="X143" s="267"/>
      <c r="Y143" s="267"/>
      <c r="Z143" s="267"/>
      <c r="AA143" s="267"/>
      <c r="AB143" s="11"/>
      <c r="AC143" s="11"/>
      <c r="AD143" s="267"/>
      <c r="AE143" s="11"/>
      <c r="AF143" s="267"/>
      <c r="AG143" s="11"/>
      <c r="AH143" s="267"/>
      <c r="AI143" s="11"/>
    </row>
    <row r="144" spans="1:35" x14ac:dyDescent="0.3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208"/>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3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208"/>
      <c r="D147" s="11"/>
      <c r="E147" s="11"/>
      <c r="F147" s="11"/>
      <c r="G147" s="11"/>
      <c r="H147" s="11"/>
      <c r="I147" s="267"/>
      <c r="J147" s="11"/>
      <c r="K147" s="267"/>
      <c r="L147" s="267"/>
      <c r="M147" s="267"/>
      <c r="N147" s="11"/>
      <c r="O147" s="267"/>
      <c r="P147" s="267"/>
      <c r="Q147" s="267"/>
      <c r="R147" s="267"/>
      <c r="S147" s="267"/>
      <c r="T147" s="267"/>
      <c r="U147" s="267"/>
      <c r="V147" s="267"/>
      <c r="W147" s="267"/>
      <c r="X147" s="267"/>
      <c r="Y147" s="267"/>
      <c r="Z147" s="267"/>
      <c r="AA147" s="267"/>
      <c r="AB147" s="11"/>
      <c r="AC147" s="11"/>
      <c r="AD147" s="267"/>
      <c r="AE147" s="11"/>
      <c r="AF147" s="267"/>
      <c r="AG147" s="11"/>
      <c r="AH147" s="267"/>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267"/>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sheetData>
  <sheetProtection algorithmName="SHA-512" hashValue="Gh04QcKoqgP6ImhopN7+WALSZb1z4gC2R+Olm0x7DD9qMnILeAepVwulaC/8a1qJVD2Q/NyTTTnJkrmzlln+eA==" saltValue="IiNWO8RlYw1aVLqVz8L7VQ==" spinCount="100000" sheet="1" scenarios="1"/>
  <mergeCells count="2">
    <mergeCell ref="AD31:AE31"/>
    <mergeCell ref="AG31:AH31"/>
  </mergeCells>
  <conditionalFormatting sqref="AD43 AF43:AG43 O43:AA43">
    <cfRule type="expression" dxfId="23" priority="10">
      <formula>ROUND(O42,2)&lt;&gt;ROUND(O43,2)</formula>
    </cfRule>
  </conditionalFormatting>
  <conditionalFormatting sqref="O53:AA53 AD53 AF53:AG53">
    <cfRule type="expression" dxfId="22" priority="9">
      <formula>ROUND(O52,2)&lt;&gt;ROUND(O53,2)</formula>
    </cfRule>
  </conditionalFormatting>
  <conditionalFormatting sqref="O63:AA63 AD63 AF63:AG63">
    <cfRule type="expression" dxfId="21" priority="8">
      <formula>ROUND(O62,2)&lt;&gt;ROUND(O63,2)</formula>
    </cfRule>
  </conditionalFormatting>
  <conditionalFormatting sqref="O72:AA72 AD72 AF72:AG72">
    <cfRule type="expression" dxfId="20" priority="7">
      <formula>ROUND(O71,2)&lt;&gt;ROUND(O72,2)</formula>
    </cfRule>
  </conditionalFormatting>
  <conditionalFormatting sqref="AD78 AF78:AG78 O78:AA78">
    <cfRule type="expression" dxfId="19" priority="6">
      <formula>ROUND(O77,2)&lt;&gt;ROUND(O78,2)</formula>
    </cfRule>
  </conditionalFormatting>
  <conditionalFormatting sqref="AI43">
    <cfRule type="expression" dxfId="18" priority="5">
      <formula>ROUND(AI42,2)&lt;&gt;ROUND(AI43,2)</formula>
    </cfRule>
  </conditionalFormatting>
  <conditionalFormatting sqref="AI53">
    <cfRule type="expression" dxfId="17" priority="4">
      <formula>ROUND(AI52,2)&lt;&gt;ROUND(AI53,2)</formula>
    </cfRule>
  </conditionalFormatting>
  <conditionalFormatting sqref="AI63">
    <cfRule type="expression" dxfId="16" priority="3">
      <formula>ROUND(AI62,2)&lt;&gt;ROUND(AI63,2)</formula>
    </cfRule>
  </conditionalFormatting>
  <conditionalFormatting sqref="AI72">
    <cfRule type="expression" dxfId="15" priority="2">
      <formula>ROUND(AI71,2)&lt;&gt;ROUND(AI72,2)</formula>
    </cfRule>
  </conditionalFormatting>
  <conditionalFormatting sqref="AI78">
    <cfRule type="expression" dxfId="14" priority="1">
      <formula>ROUND(AI77,2)&lt;&gt;ROUND(AI78,2)</formula>
    </cfRule>
  </conditionalFormatting>
  <conditionalFormatting sqref="N43 N53 N63 N72 N78">
    <cfRule type="expression" dxfId="13" priority="11">
      <formula>$G44&lt;&gt;0</formula>
    </cfRule>
  </conditionalFormatting>
  <conditionalFormatting sqref="N79">
    <cfRule type="expression" dxfId="12" priority="12">
      <formula>#REF!&lt;&gt;0</formula>
    </cfRule>
  </conditionalFormatting>
  <dataValidations count="2">
    <dataValidation type="list" allowBlank="1" sqref="B29" xr:uid="{00000000-0002-0000-1A00-000000000000}">
      <formula1>"SELF,ALL,BAS,DEP,BASMEMBERS,MEMBERS,NOEXPAND,GDEP"</formula1>
    </dataValidation>
    <dataValidation type="list" allowBlank="1" sqref="B28" xr:uid="{00000000-0002-0000-1A00-000001000000}">
      <formula1>"ACCOUNT,BUSINESSUNIT,CATEGORY,DATASRC,DEPARTMENT,INTCO,MEASURES,RPTCURRENCY,TIME"</formula1>
    </dataValidation>
  </dataValidations>
  <pageMargins left="0.25" right="0.25" top="0.5" bottom="0.5" header="0.3" footer="0.3"/>
  <pageSetup scale="48"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7201"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7201" r:id="rId7" name="FPMExcelClientSheetOptionstb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806</v>
      </c>
      <c r="C6" s="11" t="str">
        <f>IF(_epmOfflineCondition_,"Banquet CS Local",_xll.EVDES(B6,$B$1))</f>
        <v>Banquet CS Local</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IF(_epmOfflineCondition_,"'BCC_Local'!$B$2:$B$10",_xll.EVRNG($B$2:$B$10))</f>
        <v>'BCC_Local'!$B$2:$B$10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IF(_epmOfflineCondition_,"'BCC_Local'!$O$16:$AN$18",_xll.EVRNG($O$16:$AN$18))</f>
        <v>'BCC_Local'!$O$16:$AN$18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IF(_epmOfflineCondition_,"'BCC_Local'!$H$35:$H$56",_xll.EVRNG(H35:H56))</f>
        <v>'BCC_Local'!$H$35:$H$56</v>
      </c>
      <c r="C19" s="11"/>
      <c r="D19" s="11"/>
      <c r="E19" s="11"/>
      <c r="F19" s="11"/>
      <c r="G19" s="67" t="str">
        <f>$B$6</f>
        <v>D2348</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IF(_epmOfflineCondition_,1177.1,_xll.EVGTS($B$1,1,$B$3,$B$5,$B$7,$B$9,Q$16,Q$17,Q$18,$G$19,$H$19))</f>
        <v>1177.0999999999999</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IF(_epmOfflineCondition_,6924.36,_xll.EVGTS($B$1,1,$B$3,$B$5,$B$7,$B$9,Y$16,Y$17,Y$18,$G$19,$H$19))</f>
        <v>6924.36</v>
      </c>
      <c r="Z19" s="69">
        <f>IF(_epmOfflineCondition_,550,_xll.EVGTS($B$1,1,$B$3,$B$5,$B$7,$B$9,Z$16,Z$17,Z$18,$G$19,$H$19))</f>
        <v>550</v>
      </c>
      <c r="AA19" s="69">
        <f>SUM(O19:Z19)</f>
        <v>8651.4599999999991</v>
      </c>
      <c r="AB19" s="67"/>
      <c r="AC19" s="67"/>
      <c r="AD19" s="69">
        <f>IF(_epmOfflineCondition_,138484.644,_xll.EVGTS($B$1,1,$B$3,$B$5,$B$7,$B$9,AD$16,AD$17,AD$18,$G$19,$H$19))</f>
        <v>138484.644</v>
      </c>
      <c r="AE19" s="67"/>
      <c r="AF19" s="67"/>
      <c r="AG19" s="69">
        <f>IF(_epmOfflineCondition_,4906.22,_xll.EVGTS($B$1,1,$B$3,$B$5,$B$7,$B$9,AG$16,AG$17,AG$18,$G$19,$H$19))</f>
        <v>4906.22</v>
      </c>
      <c r="AH19" s="67"/>
      <c r="AI19" s="67"/>
      <c r="AJ19" s="11"/>
      <c r="AK19" s="11"/>
      <c r="AL19" s="11"/>
      <c r="AM19" s="11"/>
      <c r="AN19" s="11"/>
      <c r="AO19" s="11"/>
    </row>
    <row r="20" spans="1:41" hidden="1" outlineLevel="1" x14ac:dyDescent="0.35">
      <c r="A20" s="65" t="s">
        <v>5</v>
      </c>
      <c r="B20" s="66"/>
      <c r="C20" s="11"/>
      <c r="D20" s="11"/>
      <c r="E20" s="11"/>
      <c r="F20" s="11"/>
      <c r="G20" s="67" t="str">
        <f>$B$6</f>
        <v>D2348</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IF(_epmOfflineCondition_,10,_xll.EVGTS($B$1,1,$B$3,$B$5,$B$7,$B$9,Q$16,Q$17,Q$18,$G$20,$H$20))</f>
        <v>10</v>
      </c>
      <c r="R20" s="69">
        <f>IF(_epmOfflineCondition_,0,_xll.EVGTS($B$1,1,$B$3,$B$5,$B$7,$B$9,R$16,R$17,R$18,$G$20,$H$20))</f>
        <v>0</v>
      </c>
      <c r="S20" s="69">
        <f>IF(_epmOfflineCondition_,0,_xll.EVGTS($B$1,1,$B$3,$B$5,$B$7,$B$9,S$16,S$17,S$18,$G$20,$H$20))</f>
        <v>0</v>
      </c>
      <c r="T20" s="69">
        <f>IF(_epmOfflineCondition_,0,_xll.EVGTS($B$1,1,$B$3,$B$5,$B$7,$B$9,T$16,T$17,T$18,$G$20,$H$20))</f>
        <v>0</v>
      </c>
      <c r="U20" s="69">
        <f>IF(_epmOfflineCondition_,5,_xll.EVGTS($B$1,1,$B$3,$B$5,$B$7,$B$9,U$16,U$17,U$18,$G$20,$H$20))</f>
        <v>5</v>
      </c>
      <c r="V20" s="69">
        <f>IF(_epmOfflineCondition_,0,_xll.EVGTS($B$1,1,$B$3,$B$5,$B$7,$B$9,V$16,V$17,V$18,$G$20,$H$20))</f>
        <v>0</v>
      </c>
      <c r="W20" s="69">
        <f>IF(_epmOfflineCondition_,0,_xll.EVGTS($B$1,1,$B$3,$B$5,$B$7,$B$9,W$16,W$17,W$18,$G$20,$H$20))</f>
        <v>0</v>
      </c>
      <c r="X20" s="69">
        <f>IF(_epmOfflineCondition_,0,_xll.EVGTS($B$1,1,$B$3,$B$5,$B$7,$B$9,X$16,X$17,X$18,$G$20,$H$20))</f>
        <v>0</v>
      </c>
      <c r="Y20" s="69">
        <f>IF(_epmOfflineCondition_,74,_xll.EVGTS($B$1,1,$B$3,$B$5,$B$7,$B$9,Y$16,Y$17,Y$18,$G$20,$H$20))</f>
        <v>74</v>
      </c>
      <c r="Z20" s="69">
        <f>IF(_epmOfflineCondition_,0,_xll.EVGTS($B$1,1,$B$3,$B$5,$B$7,$B$9,Z$16,Z$17,Z$18,$G$20,$H$20))</f>
        <v>0</v>
      </c>
      <c r="AA20" s="69">
        <f>SUM(O20:Z20)</f>
        <v>89</v>
      </c>
      <c r="AB20" s="67"/>
      <c r="AC20" s="67"/>
      <c r="AD20" s="69">
        <f>IF(_epmOfflineCondition_,1431.08,_xll.EVGTS($B$1,1,$B$3,$B$5,$B$7,$B$9,AD$16,AD$17,AD$18,$G$20,$H$20))</f>
        <v>1431.08</v>
      </c>
      <c r="AE20" s="67"/>
      <c r="AF20" s="67"/>
      <c r="AG20" s="69">
        <f>IF(_epmOfflineCondition_,130,_xll.EVGTS($B$1,1,$B$3,$B$5,$B$7,$B$9,AG$16,AG$17,AG$18,$G$20,$H$20))</f>
        <v>130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IF(_epmOfflineCondition_,"'BCC_Local'!$A$36:$F$44",_xll.EVRNG(A36:F44))</f>
        <v>'BCC_Local'!$A$36:$F$44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IF(_epmOfflineCondition_,"'BCC_Local'!$A$125:$B$146",_xll.EVRNG($A$125:$B$146))</f>
        <v>'BCC_Local'!$A$125:$B$146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IF(_epmOfflineCondition_,"Banquet CS Local Department",IF(_xll.EVDES(B6,$B$1)="#NODATA","",_xll.EVDES(B6,$B$1)&amp;" Department"))</f>
        <v>Banquet CS Local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c r="P35" s="564"/>
      <c r="Q35" s="564"/>
      <c r="R35" s="564"/>
      <c r="S35" s="564"/>
      <c r="T35" s="564"/>
      <c r="U35" s="564"/>
      <c r="V35" s="564"/>
      <c r="W35" s="564"/>
      <c r="X35" s="564"/>
      <c r="Y35" s="564"/>
      <c r="Z35" s="564"/>
      <c r="AA35" s="250">
        <f t="shared" ref="AA35:AA56" si="1">IF($I35="B1","",SUM(O35:Z35))</f>
        <v>0</v>
      </c>
      <c r="AB35" s="565" t="str">
        <f t="shared" ref="AB35:AB56" si="2">IF(AA35=0,"",IFERROR(AA35/AA$19,""))</f>
        <v/>
      </c>
      <c r="AC35" s="437"/>
      <c r="AD35" s="564"/>
      <c r="AE35" s="565" t="str">
        <f t="shared" ref="AE35:AE56" si="3">IF(AD35=0,"",IFERROR(AD35/AD$19,""))</f>
        <v/>
      </c>
      <c r="AF35" s="566">
        <f t="shared" ref="AF35:AF56" si="4">IF(AND($AA35="",AD35=""),"",$AA35-AD35)</f>
        <v>0</v>
      </c>
      <c r="AG35" s="564"/>
      <c r="AH35" s="565" t="str">
        <f t="shared" ref="AH35:AH56" si="5">IF(AG35=0,"",IFERROR(AG35/AG$19,""))</f>
        <v/>
      </c>
      <c r="AI35" s="567">
        <f t="shared" ref="AI35:AI56" si="6">IF(AND($AA35="",AG35=""),"",$AA35-AG35)</f>
        <v>0</v>
      </c>
      <c r="AJ35" s="440">
        <f t="shared" ref="AJ35:AJ56" si="7">IFERROR(AA35/AA$20,0)</f>
        <v>0</v>
      </c>
      <c r="AK35" s="441">
        <f t="shared" ref="AK35:AK56" si="8">IFERROR(AD35/AD$20,0)</f>
        <v>0</v>
      </c>
      <c r="AL35" s="442">
        <f t="shared" ref="AL35:AL56" si="9">IFERROR(AG35/AG$20,0)</f>
        <v>0</v>
      </c>
      <c r="AM35" s="443">
        <f t="shared" ref="AM35:AM56" si="10">+IFERROR(ROUND(($AB35-AE35)*100,2)&amp;" pts.",0)</f>
        <v>0</v>
      </c>
      <c r="AN35" s="444">
        <f t="shared" ref="AN35:AN56"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c r="P36" s="564"/>
      <c r="Q36" s="564">
        <v>555</v>
      </c>
      <c r="R36" s="564"/>
      <c r="S36" s="564"/>
      <c r="T36" s="564"/>
      <c r="U36" s="564"/>
      <c r="V36" s="564"/>
      <c r="W36" s="564"/>
      <c r="X36" s="564"/>
      <c r="Y36" s="564">
        <v>948</v>
      </c>
      <c r="Z36" s="564"/>
      <c r="AA36" s="250">
        <f t="shared" si="1"/>
        <v>1503</v>
      </c>
      <c r="AB36" s="565">
        <f t="shared" si="2"/>
        <v>0.17372790257366966</v>
      </c>
      <c r="AC36" s="437"/>
      <c r="AD36" s="564"/>
      <c r="AE36" s="565" t="str">
        <f t="shared" si="3"/>
        <v/>
      </c>
      <c r="AF36" s="566">
        <f t="shared" si="4"/>
        <v>1503</v>
      </c>
      <c r="AG36" s="564"/>
      <c r="AH36" s="565" t="str">
        <f t="shared" si="5"/>
        <v/>
      </c>
      <c r="AI36" s="567">
        <f t="shared" si="6"/>
        <v>1503</v>
      </c>
      <c r="AJ36" s="440">
        <f t="shared" si="7"/>
        <v>16.887640449438202</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c r="P37" s="564"/>
      <c r="Q37" s="564"/>
      <c r="R37" s="564"/>
      <c r="S37" s="564"/>
      <c r="T37" s="564"/>
      <c r="U37" s="564"/>
      <c r="V37" s="564"/>
      <c r="W37" s="564"/>
      <c r="X37" s="564"/>
      <c r="Y37" s="564">
        <v>3990</v>
      </c>
      <c r="Z37" s="564"/>
      <c r="AA37" s="250">
        <f t="shared" si="1"/>
        <v>3990</v>
      </c>
      <c r="AB37" s="565">
        <f t="shared" si="2"/>
        <v>0.46119383317960211</v>
      </c>
      <c r="AC37" s="437"/>
      <c r="AD37" s="564">
        <v>48370.504000000001</v>
      </c>
      <c r="AE37" s="565">
        <f t="shared" si="3"/>
        <v>0.34928424266303493</v>
      </c>
      <c r="AF37" s="566">
        <f t="shared" si="4"/>
        <v>-44380.504000000001</v>
      </c>
      <c r="AG37" s="564"/>
      <c r="AH37" s="565" t="str">
        <f t="shared" si="5"/>
        <v/>
      </c>
      <c r="AI37" s="567">
        <f t="shared" si="6"/>
        <v>3990</v>
      </c>
      <c r="AJ37" s="440">
        <f t="shared" si="7"/>
        <v>44.831460674157306</v>
      </c>
      <c r="AK37" s="441">
        <f t="shared" si="8"/>
        <v>33.800000000000004</v>
      </c>
      <c r="AL37" s="442">
        <f t="shared" si="9"/>
        <v>0</v>
      </c>
      <c r="AM37" s="443" t="str">
        <f t="shared" si="10"/>
        <v>11.19 pts.</v>
      </c>
      <c r="AN37" s="444">
        <f t="shared" si="11"/>
        <v>0</v>
      </c>
      <c r="AO37" s="11"/>
    </row>
    <row r="38" spans="1:41" x14ac:dyDescent="0.3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c r="P38" s="564"/>
      <c r="Q38" s="564"/>
      <c r="R38" s="564"/>
      <c r="S38" s="564"/>
      <c r="T38" s="564"/>
      <c r="U38" s="564"/>
      <c r="V38" s="564"/>
      <c r="W38" s="564"/>
      <c r="X38" s="564"/>
      <c r="Y38" s="564"/>
      <c r="Z38" s="564"/>
      <c r="AA38" s="250">
        <f t="shared" si="1"/>
        <v>0</v>
      </c>
      <c r="AB38" s="565" t="str">
        <f t="shared" si="2"/>
        <v/>
      </c>
      <c r="AC38" s="437"/>
      <c r="AD38" s="564"/>
      <c r="AE38" s="565" t="str">
        <f t="shared" si="3"/>
        <v/>
      </c>
      <c r="AF38" s="566">
        <f t="shared" si="4"/>
        <v>0</v>
      </c>
      <c r="AG38" s="564">
        <v>2751</v>
      </c>
      <c r="AH38" s="565">
        <f t="shared" si="5"/>
        <v>0.56071680438300764</v>
      </c>
      <c r="AI38" s="567">
        <f t="shared" si="6"/>
        <v>-2751</v>
      </c>
      <c r="AJ38" s="440">
        <f t="shared" si="7"/>
        <v>0</v>
      </c>
      <c r="AK38" s="441">
        <f t="shared" si="8"/>
        <v>0</v>
      </c>
      <c r="AL38" s="442">
        <f t="shared" si="9"/>
        <v>21.161538461538463</v>
      </c>
      <c r="AM38" s="443">
        <f t="shared" si="10"/>
        <v>0</v>
      </c>
      <c r="AN38" s="444">
        <f t="shared" si="11"/>
        <v>0</v>
      </c>
      <c r="AO38" s="11"/>
    </row>
    <row r="39" spans="1:41" x14ac:dyDescent="0.3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v>555</v>
      </c>
      <c r="R40" s="225"/>
      <c r="S40" s="225"/>
      <c r="T40" s="225"/>
      <c r="U40" s="225"/>
      <c r="V40" s="225"/>
      <c r="W40" s="225"/>
      <c r="X40" s="225"/>
      <c r="Y40" s="225">
        <v>4938</v>
      </c>
      <c r="Z40" s="225"/>
      <c r="AA40" s="225">
        <f t="shared" si="1"/>
        <v>5493</v>
      </c>
      <c r="AB40" s="226">
        <f t="shared" si="2"/>
        <v>0.63492173575327182</v>
      </c>
      <c r="AC40" s="227"/>
      <c r="AD40" s="225">
        <v>48370.504000000001</v>
      </c>
      <c r="AE40" s="226">
        <f t="shared" si="3"/>
        <v>0.34928424266303493</v>
      </c>
      <c r="AF40" s="228">
        <f t="shared" si="4"/>
        <v>-42877.504000000001</v>
      </c>
      <c r="AG40" s="225">
        <v>2751</v>
      </c>
      <c r="AH40" s="226">
        <f t="shared" si="5"/>
        <v>0.56071680438300764</v>
      </c>
      <c r="AI40" s="455">
        <f t="shared" si="6"/>
        <v>2742</v>
      </c>
      <c r="AJ40" s="229">
        <f t="shared" si="7"/>
        <v>61.719101123595507</v>
      </c>
      <c r="AK40" s="230">
        <f t="shared" si="8"/>
        <v>33.800000000000004</v>
      </c>
      <c r="AL40" s="232">
        <f t="shared" si="9"/>
        <v>21.161538461538463</v>
      </c>
      <c r="AM40" s="427" t="str">
        <f t="shared" si="10"/>
        <v>28.56 pts.</v>
      </c>
      <c r="AN40" s="456" t="str">
        <f t="shared" si="11"/>
        <v>7.42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10"/>
      <c r="Q41" s="210"/>
      <c r="R41" s="210"/>
      <c r="S41" s="210"/>
      <c r="T41" s="210"/>
      <c r="U41" s="210"/>
      <c r="V41" s="210"/>
      <c r="W41" s="210"/>
      <c r="X41" s="210"/>
      <c r="Y41" s="210"/>
      <c r="Z41" s="210"/>
      <c r="AA41" s="252" t="str">
        <f t="shared" si="1"/>
        <v/>
      </c>
      <c r="AB41" s="211" t="str">
        <f t="shared" si="2"/>
        <v/>
      </c>
      <c r="AC41" s="459"/>
      <c r="AD41" s="210"/>
      <c r="AE41" s="211" t="str">
        <f t="shared" si="3"/>
        <v/>
      </c>
      <c r="AF41" s="253" t="str">
        <f t="shared" si="4"/>
        <v/>
      </c>
      <c r="AG41" s="210"/>
      <c r="AH41" s="211" t="str">
        <f t="shared" si="5"/>
        <v/>
      </c>
      <c r="AI41" s="569"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c r="Q42" s="564"/>
      <c r="R42" s="564"/>
      <c r="S42" s="564"/>
      <c r="T42" s="564"/>
      <c r="U42" s="564"/>
      <c r="V42" s="564"/>
      <c r="W42" s="564"/>
      <c r="X42" s="564"/>
      <c r="Y42" s="564"/>
      <c r="Z42" s="564"/>
      <c r="AA42" s="250">
        <f t="shared" si="1"/>
        <v>0</v>
      </c>
      <c r="AB42" s="565" t="str">
        <f t="shared" si="2"/>
        <v/>
      </c>
      <c r="AC42" s="437"/>
      <c r="AD42" s="564"/>
      <c r="AE42" s="565" t="str">
        <f t="shared" si="3"/>
        <v/>
      </c>
      <c r="AF42" s="566">
        <f t="shared" si="4"/>
        <v>0</v>
      </c>
      <c r="AG42" s="564"/>
      <c r="AH42" s="565" t="str">
        <f t="shared" si="5"/>
        <v/>
      </c>
      <c r="AI42" s="567">
        <f t="shared" si="6"/>
        <v>0</v>
      </c>
      <c r="AJ42" s="440">
        <f t="shared" si="7"/>
        <v>0</v>
      </c>
      <c r="AK42" s="441">
        <f t="shared" si="8"/>
        <v>0</v>
      </c>
      <c r="AL42" s="442">
        <f t="shared" si="9"/>
        <v>0</v>
      </c>
      <c r="AM42" s="443">
        <f t="shared" si="10"/>
        <v>0</v>
      </c>
      <c r="AN42" s="444">
        <f t="shared" si="11"/>
        <v>0</v>
      </c>
      <c r="AO42" s="11"/>
    </row>
    <row r="43" spans="1:41" ht="15" thickBot="1" x14ac:dyDescent="0.4">
      <c r="A43" s="11" t="s">
        <v>108</v>
      </c>
      <c r="B43" s="11"/>
      <c r="C43" s="574"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c r="P43" s="564"/>
      <c r="Q43" s="564"/>
      <c r="R43" s="564"/>
      <c r="S43" s="564"/>
      <c r="T43" s="564"/>
      <c r="U43" s="564"/>
      <c r="V43" s="564"/>
      <c r="W43" s="564"/>
      <c r="X43" s="564"/>
      <c r="Y43" s="564"/>
      <c r="Z43" s="564"/>
      <c r="AA43" s="250">
        <f t="shared" si="1"/>
        <v>0</v>
      </c>
      <c r="AB43" s="565" t="str">
        <f t="shared" si="2"/>
        <v/>
      </c>
      <c r="AC43" s="437"/>
      <c r="AD43" s="564"/>
      <c r="AE43" s="565" t="str">
        <f t="shared" si="3"/>
        <v/>
      </c>
      <c r="AF43" s="566">
        <f t="shared" si="4"/>
        <v>0</v>
      </c>
      <c r="AG43" s="564"/>
      <c r="AH43" s="565" t="str">
        <f t="shared" si="5"/>
        <v/>
      </c>
      <c r="AI43" s="567">
        <f t="shared" si="6"/>
        <v>0</v>
      </c>
      <c r="AJ43" s="440">
        <f t="shared" si="7"/>
        <v>0</v>
      </c>
      <c r="AK43" s="441">
        <f t="shared" si="8"/>
        <v>0</v>
      </c>
      <c r="AL43" s="442">
        <f t="shared" si="9"/>
        <v>0</v>
      </c>
      <c r="AM43" s="443">
        <f t="shared" si="10"/>
        <v>0</v>
      </c>
      <c r="AN43" s="444">
        <f t="shared" si="11"/>
        <v>0</v>
      </c>
      <c r="AO43" s="11"/>
    </row>
    <row r="44" spans="1:41" ht="15.5" thickTop="1" thickBot="1" x14ac:dyDescent="0.4">
      <c r="A44" s="11" t="s">
        <v>108</v>
      </c>
      <c r="B44" s="11"/>
      <c r="C44" s="574"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c r="P44" s="564"/>
      <c r="Q44" s="564"/>
      <c r="R44" s="564"/>
      <c r="S44" s="564"/>
      <c r="T44" s="564"/>
      <c r="U44" s="564"/>
      <c r="V44" s="564"/>
      <c r="W44" s="564"/>
      <c r="X44" s="564"/>
      <c r="Y44" s="564"/>
      <c r="Z44" s="564"/>
      <c r="AA44" s="250">
        <f t="shared" si="1"/>
        <v>0</v>
      </c>
      <c r="AB44" s="565" t="str">
        <f t="shared" si="2"/>
        <v/>
      </c>
      <c r="AC44" s="437"/>
      <c r="AD44" s="564">
        <v>44649.696000000004</v>
      </c>
      <c r="AE44" s="565">
        <f t="shared" si="3"/>
        <v>0.3224162239966476</v>
      </c>
      <c r="AF44" s="566">
        <f t="shared" si="4"/>
        <v>-44649.696000000004</v>
      </c>
      <c r="AG44" s="564"/>
      <c r="AH44" s="565" t="str">
        <f t="shared" si="5"/>
        <v/>
      </c>
      <c r="AI44" s="567">
        <f t="shared" si="6"/>
        <v>0</v>
      </c>
      <c r="AJ44" s="440">
        <f t="shared" si="7"/>
        <v>0</v>
      </c>
      <c r="AK44" s="441">
        <f t="shared" si="8"/>
        <v>31.200000000000003</v>
      </c>
      <c r="AL44" s="442">
        <f t="shared" si="9"/>
        <v>0</v>
      </c>
      <c r="AM44" s="443">
        <f t="shared" si="10"/>
        <v>0</v>
      </c>
      <c r="AN44" s="444">
        <f t="shared" si="11"/>
        <v>0</v>
      </c>
      <c r="AO44" s="11"/>
    </row>
    <row r="45" spans="1:41" ht="15" thickTop="1" x14ac:dyDescent="0.3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45"/>
      <c r="P45" s="251"/>
      <c r="Q45" s="251"/>
      <c r="R45" s="251"/>
      <c r="S45" s="251"/>
      <c r="T45" s="251"/>
      <c r="U45" s="251"/>
      <c r="V45" s="251"/>
      <c r="W45" s="251"/>
      <c r="X45" s="251"/>
      <c r="Y45" s="251"/>
      <c r="Z45" s="251"/>
      <c r="AA45" s="251">
        <f t="shared" si="1"/>
        <v>0</v>
      </c>
      <c r="AB45" s="446" t="str">
        <f t="shared" si="2"/>
        <v/>
      </c>
      <c r="AC45" s="437"/>
      <c r="AD45" s="251"/>
      <c r="AE45" s="446" t="str">
        <f t="shared" si="3"/>
        <v/>
      </c>
      <c r="AF45" s="447">
        <f t="shared" si="4"/>
        <v>0</v>
      </c>
      <c r="AG45" s="251"/>
      <c r="AH45" s="446" t="str">
        <f t="shared" si="5"/>
        <v/>
      </c>
      <c r="AI45" s="448">
        <f t="shared" si="6"/>
        <v>0</v>
      </c>
      <c r="AJ45" s="449">
        <f t="shared" si="7"/>
        <v>0</v>
      </c>
      <c r="AK45" s="450">
        <f t="shared" si="8"/>
        <v>0</v>
      </c>
      <c r="AL45" s="451">
        <f t="shared" si="9"/>
        <v>0</v>
      </c>
      <c r="AM45" s="452">
        <f t="shared" si="10"/>
        <v>0</v>
      </c>
      <c r="AN45" s="453">
        <f t="shared" si="11"/>
        <v>0</v>
      </c>
      <c r="AO45" s="11"/>
    </row>
    <row r="46" spans="1:41" x14ac:dyDescent="0.3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54"/>
      <c r="P46" s="225"/>
      <c r="Q46" s="225"/>
      <c r="R46" s="225"/>
      <c r="S46" s="225"/>
      <c r="T46" s="225"/>
      <c r="U46" s="225"/>
      <c r="V46" s="225"/>
      <c r="W46" s="225"/>
      <c r="X46" s="225"/>
      <c r="Y46" s="225"/>
      <c r="Z46" s="225"/>
      <c r="AA46" s="225">
        <f t="shared" si="1"/>
        <v>0</v>
      </c>
      <c r="AB46" s="226" t="str">
        <f t="shared" si="2"/>
        <v/>
      </c>
      <c r="AC46" s="227"/>
      <c r="AD46" s="225">
        <v>44649.696000000004</v>
      </c>
      <c r="AE46" s="226">
        <f t="shared" si="3"/>
        <v>0.3224162239966476</v>
      </c>
      <c r="AF46" s="228">
        <f t="shared" si="4"/>
        <v>-44649.696000000004</v>
      </c>
      <c r="AG46" s="225"/>
      <c r="AH46" s="226" t="str">
        <f t="shared" si="5"/>
        <v/>
      </c>
      <c r="AI46" s="455">
        <f t="shared" si="6"/>
        <v>0</v>
      </c>
      <c r="AJ46" s="229">
        <f t="shared" si="7"/>
        <v>0</v>
      </c>
      <c r="AK46" s="230">
        <f t="shared" si="8"/>
        <v>31.200000000000003</v>
      </c>
      <c r="AL46" s="232">
        <f t="shared" si="9"/>
        <v>0</v>
      </c>
      <c r="AM46" s="427">
        <f t="shared" si="10"/>
        <v>0</v>
      </c>
      <c r="AN46" s="456">
        <f t="shared" si="11"/>
        <v>0</v>
      </c>
      <c r="AO46" s="11"/>
    </row>
    <row r="47" spans="1:41" x14ac:dyDescent="0.35">
      <c r="A47" s="61"/>
      <c r="B47" s="11" t="s">
        <v>821</v>
      </c>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0"/>
      <c r="P47" s="216"/>
      <c r="Q47" s="216"/>
      <c r="R47" s="216"/>
      <c r="S47" s="216"/>
      <c r="T47" s="216"/>
      <c r="U47" s="216"/>
      <c r="V47" s="216"/>
      <c r="W47" s="216"/>
      <c r="X47" s="216"/>
      <c r="Y47" s="216"/>
      <c r="Z47" s="216"/>
      <c r="AA47" s="216">
        <f t="shared" si="1"/>
        <v>0</v>
      </c>
      <c r="AB47" s="218" t="str">
        <f t="shared" si="2"/>
        <v/>
      </c>
      <c r="AC47" s="459"/>
      <c r="AD47" s="216"/>
      <c r="AE47" s="218" t="str">
        <f t="shared" si="3"/>
        <v/>
      </c>
      <c r="AF47" s="233">
        <f t="shared" si="4"/>
        <v>0</v>
      </c>
      <c r="AG47" s="216"/>
      <c r="AH47" s="218" t="str">
        <f t="shared" si="5"/>
        <v/>
      </c>
      <c r="AI47" s="531">
        <f t="shared" si="6"/>
        <v>0</v>
      </c>
      <c r="AJ47" s="532">
        <f t="shared" si="7"/>
        <v>0</v>
      </c>
      <c r="AK47" s="533">
        <f t="shared" si="8"/>
        <v>0</v>
      </c>
      <c r="AL47" s="534">
        <f t="shared" si="9"/>
        <v>0</v>
      </c>
      <c r="AM47" s="535">
        <f t="shared" si="10"/>
        <v>0</v>
      </c>
      <c r="AN47" s="536">
        <f t="shared" si="11"/>
        <v>0</v>
      </c>
      <c r="AO47" s="11"/>
    </row>
    <row r="48" spans="1:41" x14ac:dyDescent="0.3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54"/>
      <c r="P48" s="225"/>
      <c r="Q48" s="225">
        <v>555</v>
      </c>
      <c r="R48" s="225"/>
      <c r="S48" s="225"/>
      <c r="T48" s="225"/>
      <c r="U48" s="225"/>
      <c r="V48" s="225"/>
      <c r="W48" s="225"/>
      <c r="X48" s="225"/>
      <c r="Y48" s="225">
        <v>4938</v>
      </c>
      <c r="Z48" s="225"/>
      <c r="AA48" s="225">
        <f t="shared" si="1"/>
        <v>5493</v>
      </c>
      <c r="AB48" s="226">
        <f t="shared" si="2"/>
        <v>0.63492173575327182</v>
      </c>
      <c r="AC48" s="227"/>
      <c r="AD48" s="225">
        <v>93020.2</v>
      </c>
      <c r="AE48" s="226">
        <f t="shared" si="3"/>
        <v>0.67170046665968253</v>
      </c>
      <c r="AF48" s="228">
        <f t="shared" si="4"/>
        <v>-87527.2</v>
      </c>
      <c r="AG48" s="225">
        <v>2751</v>
      </c>
      <c r="AH48" s="226">
        <f t="shared" si="5"/>
        <v>0.56071680438300764</v>
      </c>
      <c r="AI48" s="455">
        <f t="shared" si="6"/>
        <v>2742</v>
      </c>
      <c r="AJ48" s="229">
        <f t="shared" si="7"/>
        <v>61.719101123595507</v>
      </c>
      <c r="AK48" s="230">
        <f t="shared" si="8"/>
        <v>65</v>
      </c>
      <c r="AL48" s="232">
        <f t="shared" si="9"/>
        <v>21.161538461538463</v>
      </c>
      <c r="AM48" s="427" t="str">
        <f t="shared" si="10"/>
        <v>-3.68 pts.</v>
      </c>
      <c r="AN48" s="456" t="str">
        <f t="shared" si="11"/>
        <v>7.42 pts.</v>
      </c>
      <c r="AO48" s="11"/>
    </row>
    <row r="49" spans="1:41" x14ac:dyDescent="0.3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10"/>
      <c r="Q49" s="210"/>
      <c r="R49" s="210"/>
      <c r="S49" s="210"/>
      <c r="T49" s="210"/>
      <c r="U49" s="210"/>
      <c r="V49" s="210"/>
      <c r="W49" s="210"/>
      <c r="X49" s="210"/>
      <c r="Y49" s="210"/>
      <c r="Z49" s="210"/>
      <c r="AA49" s="252" t="str">
        <f t="shared" si="1"/>
        <v/>
      </c>
      <c r="AB49" s="211" t="str">
        <f t="shared" si="2"/>
        <v/>
      </c>
      <c r="AC49" s="459"/>
      <c r="AD49" s="210"/>
      <c r="AE49" s="211" t="str">
        <f t="shared" si="3"/>
        <v/>
      </c>
      <c r="AF49" s="253" t="str">
        <f t="shared" si="4"/>
        <v/>
      </c>
      <c r="AG49" s="210"/>
      <c r="AH49" s="211" t="str">
        <f t="shared" si="5"/>
        <v/>
      </c>
      <c r="AI49" s="569" t="str">
        <f t="shared" si="6"/>
        <v/>
      </c>
      <c r="AJ49" s="234">
        <f t="shared" si="7"/>
        <v>0</v>
      </c>
      <c r="AK49" s="235">
        <f t="shared" si="8"/>
        <v>0</v>
      </c>
      <c r="AL49" s="237">
        <f t="shared" si="9"/>
        <v>0</v>
      </c>
      <c r="AM49" s="429">
        <f t="shared" si="10"/>
        <v>0</v>
      </c>
      <c r="AN49" s="462">
        <f t="shared" si="11"/>
        <v>0</v>
      </c>
      <c r="AO49" s="11"/>
    </row>
    <row r="50" spans="1:41" x14ac:dyDescent="0.35">
      <c r="A50" s="65" t="s">
        <v>2</v>
      </c>
      <c r="B50" s="66" t="str">
        <f>IF(_epmOfflineCondition_,"'BCC_Local'!$B$2:$B$10",_xll.EVRNG($B$2:$B$10))</f>
        <v>'BCC_Local'!$B$2:$B$10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c r="P50" s="564"/>
      <c r="Q50" s="564"/>
      <c r="R50" s="564"/>
      <c r="S50" s="564"/>
      <c r="T50" s="564"/>
      <c r="U50" s="564"/>
      <c r="V50" s="564"/>
      <c r="W50" s="564"/>
      <c r="X50" s="564"/>
      <c r="Y50" s="564"/>
      <c r="Z50" s="564"/>
      <c r="AA50" s="250">
        <f t="shared" si="1"/>
        <v>0</v>
      </c>
      <c r="AB50" s="565" t="str">
        <f t="shared" si="2"/>
        <v/>
      </c>
      <c r="AC50" s="437"/>
      <c r="AD50" s="564">
        <v>8000</v>
      </c>
      <c r="AE50" s="565">
        <f t="shared" si="3"/>
        <v>5.7768137816059953E-2</v>
      </c>
      <c r="AF50" s="566">
        <f t="shared" si="4"/>
        <v>-8000</v>
      </c>
      <c r="AG50" s="564">
        <v>300</v>
      </c>
      <c r="AH50" s="565">
        <f t="shared" si="5"/>
        <v>6.1146870706980119E-2</v>
      </c>
      <c r="AI50" s="567">
        <f t="shared" si="6"/>
        <v>-300</v>
      </c>
      <c r="AJ50" s="440">
        <f t="shared" si="7"/>
        <v>0</v>
      </c>
      <c r="AK50" s="441">
        <f t="shared" si="8"/>
        <v>5.5901836375324931</v>
      </c>
      <c r="AL50" s="442">
        <f t="shared" si="9"/>
        <v>2.3076923076923075</v>
      </c>
      <c r="AM50" s="443">
        <f t="shared" si="10"/>
        <v>0</v>
      </c>
      <c r="AN50" s="444">
        <f t="shared" si="11"/>
        <v>0</v>
      </c>
      <c r="AO50" s="11"/>
    </row>
    <row r="51" spans="1:41" x14ac:dyDescent="0.35">
      <c r="A51" s="65" t="s">
        <v>3</v>
      </c>
      <c r="B51" s="66" t="str">
        <f>IF(_epmOfflineCondition_,"'BCC_Local'!$O$16:$AN$18",_xll.EVRNG($O$16:$AN$18))</f>
        <v>'BCC_Local'!$O$16:$AN$18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c r="P51" s="564"/>
      <c r="Q51" s="564">
        <v>500</v>
      </c>
      <c r="R51" s="564"/>
      <c r="S51" s="564"/>
      <c r="T51" s="564"/>
      <c r="U51" s="564"/>
      <c r="V51" s="564"/>
      <c r="W51" s="564"/>
      <c r="X51" s="564"/>
      <c r="Y51" s="564">
        <v>750</v>
      </c>
      <c r="Z51" s="564">
        <v>550</v>
      </c>
      <c r="AA51" s="250">
        <f t="shared" si="1"/>
        <v>1800</v>
      </c>
      <c r="AB51" s="565">
        <f t="shared" si="2"/>
        <v>0.20805736835170019</v>
      </c>
      <c r="AC51" s="437"/>
      <c r="AD51" s="564">
        <v>17000</v>
      </c>
      <c r="AE51" s="565">
        <f t="shared" si="3"/>
        <v>0.1227572928591274</v>
      </c>
      <c r="AF51" s="566">
        <f t="shared" si="4"/>
        <v>-15200</v>
      </c>
      <c r="AG51" s="564">
        <v>1250</v>
      </c>
      <c r="AH51" s="565">
        <f t="shared" si="5"/>
        <v>0.25477862794575046</v>
      </c>
      <c r="AI51" s="567">
        <f t="shared" si="6"/>
        <v>550</v>
      </c>
      <c r="AJ51" s="440">
        <f t="shared" si="7"/>
        <v>20.224719101123597</v>
      </c>
      <c r="AK51" s="441">
        <f t="shared" si="8"/>
        <v>11.879140229756548</v>
      </c>
      <c r="AL51" s="442">
        <f t="shared" si="9"/>
        <v>9.615384615384615</v>
      </c>
      <c r="AM51" s="443" t="str">
        <f t="shared" si="10"/>
        <v>8.53 pts.</v>
      </c>
      <c r="AN51" s="444" t="str">
        <f t="shared" si="11"/>
        <v>-4.67 pts.</v>
      </c>
      <c r="AO51" s="11"/>
    </row>
    <row r="52" spans="1:41" x14ac:dyDescent="0.35">
      <c r="A52" s="65" t="s">
        <v>4</v>
      </c>
      <c r="B52" s="66" t="str">
        <f>IF(_epmOfflineCondition_,"",_xll.EVRNG(#REF!))</f>
        <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c r="P52" s="564"/>
      <c r="Q52" s="564">
        <v>122.1</v>
      </c>
      <c r="R52" s="564"/>
      <c r="S52" s="564"/>
      <c r="T52" s="564"/>
      <c r="U52" s="564"/>
      <c r="V52" s="564"/>
      <c r="W52" s="564"/>
      <c r="X52" s="564"/>
      <c r="Y52" s="564">
        <v>1086.3599999999999</v>
      </c>
      <c r="Z52" s="564"/>
      <c r="AA52" s="250">
        <f t="shared" si="1"/>
        <v>1208.4599999999998</v>
      </c>
      <c r="AB52" s="565">
        <f t="shared" si="2"/>
        <v>0.13968278186571978</v>
      </c>
      <c r="AC52" s="437"/>
      <c r="AD52" s="564">
        <v>20464.444</v>
      </c>
      <c r="AE52" s="565">
        <f t="shared" si="3"/>
        <v>0.14777410266513014</v>
      </c>
      <c r="AF52" s="566">
        <f t="shared" si="4"/>
        <v>-19255.984</v>
      </c>
      <c r="AG52" s="564">
        <v>605.22</v>
      </c>
      <c r="AH52" s="565">
        <f t="shared" si="5"/>
        <v>0.12335769696426169</v>
      </c>
      <c r="AI52" s="567">
        <f t="shared" si="6"/>
        <v>603.23999999999978</v>
      </c>
      <c r="AJ52" s="440">
        <f t="shared" si="7"/>
        <v>13.578202247191008</v>
      </c>
      <c r="AK52" s="441">
        <f t="shared" si="8"/>
        <v>14.3</v>
      </c>
      <c r="AL52" s="442">
        <f t="shared" si="9"/>
        <v>4.6555384615384616</v>
      </c>
      <c r="AM52" s="443" t="str">
        <f t="shared" si="10"/>
        <v>-0.81 pts.</v>
      </c>
      <c r="AN52" s="444" t="str">
        <f t="shared" si="11"/>
        <v>1.63 pts.</v>
      </c>
      <c r="AO52" s="11"/>
    </row>
    <row r="53" spans="1:41" x14ac:dyDescent="0.3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c r="P53" s="564"/>
      <c r="Q53" s="564"/>
      <c r="R53" s="564"/>
      <c r="S53" s="564"/>
      <c r="T53" s="564"/>
      <c r="U53" s="564"/>
      <c r="V53" s="564"/>
      <c r="W53" s="564"/>
      <c r="X53" s="564"/>
      <c r="Y53" s="564">
        <v>150</v>
      </c>
      <c r="Z53" s="564"/>
      <c r="AA53" s="250">
        <f t="shared" si="1"/>
        <v>150</v>
      </c>
      <c r="AB53" s="565">
        <f t="shared" si="2"/>
        <v>1.7338114029308349E-2</v>
      </c>
      <c r="AC53" s="437"/>
      <c r="AD53" s="564"/>
      <c r="AE53" s="565" t="str">
        <f t="shared" si="3"/>
        <v/>
      </c>
      <c r="AF53" s="566">
        <f t="shared" si="4"/>
        <v>150</v>
      </c>
      <c r="AG53" s="564"/>
      <c r="AH53" s="565" t="str">
        <f t="shared" si="5"/>
        <v/>
      </c>
      <c r="AI53" s="567">
        <f t="shared" si="6"/>
        <v>150</v>
      </c>
      <c r="AJ53" s="440">
        <f t="shared" si="7"/>
        <v>1.6853932584269662</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45"/>
      <c r="P54" s="251"/>
      <c r="Q54" s="251"/>
      <c r="R54" s="251"/>
      <c r="S54" s="251"/>
      <c r="T54" s="251"/>
      <c r="U54" s="251"/>
      <c r="V54" s="251"/>
      <c r="W54" s="251"/>
      <c r="X54" s="251"/>
      <c r="Y54" s="251"/>
      <c r="Z54" s="251"/>
      <c r="AA54" s="251">
        <f t="shared" si="1"/>
        <v>0</v>
      </c>
      <c r="AB54" s="446" t="str">
        <f t="shared" si="2"/>
        <v/>
      </c>
      <c r="AC54" s="437"/>
      <c r="AD54" s="251"/>
      <c r="AE54" s="446" t="str">
        <f t="shared" si="3"/>
        <v/>
      </c>
      <c r="AF54" s="447">
        <f t="shared" si="4"/>
        <v>0</v>
      </c>
      <c r="AG54" s="251"/>
      <c r="AH54" s="446" t="str">
        <f t="shared" si="5"/>
        <v/>
      </c>
      <c r="AI54" s="448">
        <f t="shared" si="6"/>
        <v>0</v>
      </c>
      <c r="AJ54" s="449">
        <f t="shared" si="7"/>
        <v>0</v>
      </c>
      <c r="AK54" s="450">
        <f t="shared" si="8"/>
        <v>0</v>
      </c>
      <c r="AL54" s="451">
        <f t="shared" si="9"/>
        <v>0</v>
      </c>
      <c r="AM54" s="452">
        <f t="shared" si="10"/>
        <v>0</v>
      </c>
      <c r="AN54" s="453">
        <f t="shared" si="11"/>
        <v>0</v>
      </c>
      <c r="AO54" s="11"/>
    </row>
    <row r="55" spans="1:41" ht="15" thickBot="1" x14ac:dyDescent="0.4">
      <c r="A55" s="65" t="s">
        <v>7</v>
      </c>
      <c r="B55" s="66" t="str">
        <f>IF(_epmOfflineCondition_,"'BCC_Local'!$A$69:$F$77",_xll.EVRNG(A69:F77))</f>
        <v>'BCC_Local'!$A$69:$F$77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63"/>
      <c r="P55" s="238"/>
      <c r="Q55" s="238">
        <v>622.1</v>
      </c>
      <c r="R55" s="238"/>
      <c r="S55" s="238"/>
      <c r="T55" s="238"/>
      <c r="U55" s="238"/>
      <c r="V55" s="238"/>
      <c r="W55" s="238"/>
      <c r="X55" s="238"/>
      <c r="Y55" s="238">
        <v>1986.36</v>
      </c>
      <c r="Z55" s="238">
        <v>550</v>
      </c>
      <c r="AA55" s="238">
        <f t="shared" si="1"/>
        <v>3158.46</v>
      </c>
      <c r="AB55" s="239">
        <f t="shared" si="2"/>
        <v>0.36507826424672835</v>
      </c>
      <c r="AC55" s="240"/>
      <c r="AD55" s="238">
        <v>45464.444000000003</v>
      </c>
      <c r="AE55" s="239">
        <f t="shared" si="3"/>
        <v>0.32829953334031753</v>
      </c>
      <c r="AF55" s="241">
        <f t="shared" si="4"/>
        <v>-42305.984000000004</v>
      </c>
      <c r="AG55" s="238">
        <v>2155.2199999999998</v>
      </c>
      <c r="AH55" s="239">
        <f t="shared" si="5"/>
        <v>0.43928319561699225</v>
      </c>
      <c r="AI55" s="464">
        <f t="shared" si="6"/>
        <v>1003.2400000000002</v>
      </c>
      <c r="AJ55" s="242">
        <f t="shared" si="7"/>
        <v>35.488314606741575</v>
      </c>
      <c r="AK55" s="243">
        <f t="shared" si="8"/>
        <v>31.769323867289046</v>
      </c>
      <c r="AL55" s="245">
        <f t="shared" si="9"/>
        <v>16.578615384615382</v>
      </c>
      <c r="AM55" s="431" t="str">
        <f t="shared" si="10"/>
        <v>3.68 pts.</v>
      </c>
      <c r="AN55" s="465" t="str">
        <f t="shared" si="11"/>
        <v>-7.42 pts.</v>
      </c>
      <c r="AO55" s="11"/>
    </row>
    <row r="56" spans="1:41" ht="15.5" thickTop="1" thickBot="1" x14ac:dyDescent="0.4">
      <c r="A56" s="65" t="s">
        <v>47</v>
      </c>
      <c r="B56" s="66" t="str">
        <f>IF(_epmOfflineCondition_,"'BCC_Local'!$A$125:$B$146",_xll.EVRNG($A$125:$B$146))</f>
        <v>'BCC_Local'!$A$125:$B$146</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575"/>
      <c r="P56" s="576"/>
      <c r="Q56" s="576">
        <v>1177.0999999999999</v>
      </c>
      <c r="R56" s="576"/>
      <c r="S56" s="576"/>
      <c r="T56" s="576"/>
      <c r="U56" s="576"/>
      <c r="V56" s="576"/>
      <c r="W56" s="576"/>
      <c r="X56" s="576"/>
      <c r="Y56" s="576">
        <v>6924.36</v>
      </c>
      <c r="Z56" s="576">
        <v>550</v>
      </c>
      <c r="AA56" s="576">
        <f t="shared" si="1"/>
        <v>8651.4599999999991</v>
      </c>
      <c r="AB56" s="577">
        <f t="shared" si="2"/>
        <v>1</v>
      </c>
      <c r="AC56" s="578"/>
      <c r="AD56" s="576">
        <v>138484.644</v>
      </c>
      <c r="AE56" s="577">
        <f t="shared" si="3"/>
        <v>1</v>
      </c>
      <c r="AF56" s="579">
        <f t="shared" si="4"/>
        <v>-129833.18400000001</v>
      </c>
      <c r="AG56" s="576">
        <v>4906.22</v>
      </c>
      <c r="AH56" s="577">
        <f t="shared" si="5"/>
        <v>1</v>
      </c>
      <c r="AI56" s="580">
        <f t="shared" si="6"/>
        <v>3745.2399999999989</v>
      </c>
      <c r="AJ56" s="581">
        <f t="shared" si="7"/>
        <v>97.207415730337075</v>
      </c>
      <c r="AK56" s="582">
        <f t="shared" si="8"/>
        <v>96.769323867289046</v>
      </c>
      <c r="AL56" s="583">
        <f t="shared" si="9"/>
        <v>37.740153846153845</v>
      </c>
      <c r="AM56" s="584" t="str">
        <f t="shared" si="10"/>
        <v>0 pts.</v>
      </c>
      <c r="AN56" s="585" t="str">
        <f t="shared" si="11"/>
        <v>0 pts.</v>
      </c>
      <c r="AO56" s="11"/>
    </row>
    <row r="57" spans="1:41" ht="15" thickTop="1" x14ac:dyDescent="0.35">
      <c r="A57" s="65" t="s">
        <v>8</v>
      </c>
      <c r="B57" s="66"/>
      <c r="C57" s="11"/>
      <c r="D57" s="11"/>
      <c r="E57" s="11"/>
      <c r="F57" s="11"/>
      <c r="G57" s="11"/>
      <c r="H57" s="11"/>
      <c r="I57" s="59"/>
      <c r="J57" s="59"/>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11"/>
      <c r="B58" s="11"/>
      <c r="C58" s="11"/>
      <c r="D58" s="11"/>
      <c r="E58" s="11"/>
      <c r="F58" s="11"/>
      <c r="G58" s="76"/>
      <c r="H58" s="11"/>
      <c r="I58" s="59"/>
      <c r="J58" s="59"/>
      <c r="K58" s="11"/>
      <c r="L58" s="11"/>
      <c r="M58" s="11"/>
      <c r="N58" s="11"/>
      <c r="O58" s="137"/>
      <c r="P58" s="137"/>
      <c r="Q58" s="137"/>
      <c r="R58" s="137"/>
      <c r="S58" s="137"/>
      <c r="T58" s="137"/>
      <c r="U58" s="137"/>
      <c r="V58" s="137"/>
      <c r="W58" s="137"/>
      <c r="X58" s="137"/>
      <c r="Y58" s="137"/>
      <c r="Z58" s="137"/>
      <c r="AA58" s="137"/>
      <c r="AB58" s="11"/>
      <c r="AC58" s="11"/>
      <c r="AD58" s="137"/>
      <c r="AE58" s="11"/>
      <c r="AF58" s="11"/>
      <c r="AG58" s="137"/>
      <c r="AH58" s="11"/>
      <c r="AI58" s="11"/>
      <c r="AJ58" s="11"/>
      <c r="AK58" s="11"/>
      <c r="AL58" s="11"/>
      <c r="AM58" s="11"/>
      <c r="AN58" s="11"/>
      <c r="AO58" s="11"/>
    </row>
    <row r="59" spans="1:41" x14ac:dyDescent="0.35">
      <c r="A59" s="62" t="s">
        <v>9</v>
      </c>
      <c r="B59" s="63" t="s">
        <v>10</v>
      </c>
      <c r="C59" s="11"/>
      <c r="D59" s="11"/>
      <c r="E59" s="11"/>
      <c r="F59" s="11"/>
      <c r="G59" s="11"/>
      <c r="H59" s="11"/>
      <c r="I59" s="59"/>
      <c r="J59" s="59"/>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65" t="s">
        <v>11</v>
      </c>
      <c r="B60" s="66" t="s">
        <v>21</v>
      </c>
      <c r="C60" s="11"/>
      <c r="D60" s="11"/>
      <c r="E60" s="11"/>
      <c r="F60" s="11"/>
      <c r="G60" s="11"/>
      <c r="H60" s="11"/>
      <c r="I60" s="59"/>
      <c r="J60" s="59"/>
      <c r="K60" s="11"/>
      <c r="L60" s="11"/>
      <c r="M60" s="11"/>
      <c r="N60" s="11"/>
      <c r="O60" s="137"/>
      <c r="P60" s="137"/>
      <c r="Q60" s="137"/>
      <c r="R60" s="137"/>
      <c r="S60" s="137"/>
      <c r="T60" s="137"/>
      <c r="U60" s="137"/>
      <c r="V60" s="137"/>
      <c r="W60" s="137"/>
      <c r="X60" s="137"/>
      <c r="Y60" s="137"/>
      <c r="Z60" s="137"/>
      <c r="AA60" s="137"/>
      <c r="AB60" s="11"/>
      <c r="AC60" s="11"/>
      <c r="AD60" s="137"/>
      <c r="AE60" s="11"/>
      <c r="AF60" s="11"/>
      <c r="AG60" s="137"/>
      <c r="AH60" s="11"/>
      <c r="AI60" s="11"/>
      <c r="AJ60" s="11"/>
      <c r="AK60" s="11"/>
      <c r="AL60" s="11"/>
      <c r="AM60" s="11"/>
      <c r="AN60" s="11"/>
      <c r="AO60" s="11"/>
    </row>
    <row r="61" spans="1:41" x14ac:dyDescent="0.35">
      <c r="A61" s="65" t="s">
        <v>12</v>
      </c>
      <c r="B61" s="66" t="s">
        <v>22</v>
      </c>
      <c r="C61" s="11"/>
      <c r="D61" s="11"/>
      <c r="E61" s="11"/>
      <c r="F61" s="11"/>
      <c r="G61" s="11"/>
      <c r="H61" s="11"/>
      <c r="I61" s="59"/>
      <c r="J61" s="59"/>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13</v>
      </c>
      <c r="B62" s="66" t="str">
        <f>"DEP(COS_FB) AND "&amp;$E$6&amp;"=Y,COS_FB,COSOTH,DEP(COS_OTHR) AND "&amp;$E$6&amp;"=Y,COS_OTHR,500001"</f>
        <v>DEP(COS_FB) AND D2148=Y,COS_FB,COSOTH,DEP(COS_OTHR) AND D2148=Y,COS_OTHR,500001</v>
      </c>
      <c r="C62" s="11"/>
      <c r="D62" s="11"/>
      <c r="E62" s="11"/>
      <c r="F62" s="11"/>
      <c r="G62" s="11"/>
      <c r="H62" s="11"/>
      <c r="I62" s="59"/>
      <c r="J62" s="59"/>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14</v>
      </c>
      <c r="B63" s="66"/>
      <c r="C63" s="11"/>
      <c r="D63" s="11"/>
      <c r="E63" s="11"/>
      <c r="F63" s="11"/>
      <c r="G63" s="11"/>
      <c r="H63" s="59"/>
      <c r="I63" s="59"/>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15</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16</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17</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97" t="s">
        <v>92</v>
      </c>
      <c r="B68" s="98" t="s">
        <v>93</v>
      </c>
      <c r="C68" s="98" t="s">
        <v>94</v>
      </c>
      <c r="D68" s="98" t="s">
        <v>95</v>
      </c>
      <c r="E68" s="98" t="s">
        <v>96</v>
      </c>
      <c r="F68" s="99" t="s">
        <v>97</v>
      </c>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t="s">
        <v>209</v>
      </c>
      <c r="B70" s="11" t="s">
        <v>21</v>
      </c>
      <c r="C70" s="395"/>
      <c r="D70" s="11" t="s">
        <v>590</v>
      </c>
      <c r="E70" s="11"/>
      <c r="F70" s="11" t="s">
        <v>99</v>
      </c>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t="s">
        <v>105</v>
      </c>
      <c r="B71" s="11"/>
      <c r="C71" s="104" t="s">
        <v>101</v>
      </c>
      <c r="D71" s="11" t="s">
        <v>106</v>
      </c>
      <c r="E71" s="11"/>
      <c r="F71" s="11" t="s">
        <v>98</v>
      </c>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t="s">
        <v>104</v>
      </c>
      <c r="B72" s="11"/>
      <c r="C72" s="104" t="s">
        <v>101</v>
      </c>
      <c r="D72" s="11" t="s">
        <v>106</v>
      </c>
      <c r="E72" s="11"/>
      <c r="F72" s="11" t="s">
        <v>98</v>
      </c>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t="s">
        <v>100</v>
      </c>
      <c r="B73" s="11"/>
      <c r="C73" s="53" t="s">
        <v>101</v>
      </c>
      <c r="D73" s="11" t="s">
        <v>106</v>
      </c>
      <c r="E73" s="11"/>
      <c r="F73" s="11" t="s">
        <v>98</v>
      </c>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hidden="1" x14ac:dyDescent="0.35">
      <c r="A74" s="11" t="s">
        <v>102</v>
      </c>
      <c r="B74" s="11"/>
      <c r="C74" s="106" t="s">
        <v>101</v>
      </c>
      <c r="D74" s="11" t="s">
        <v>106</v>
      </c>
      <c r="E74" s="11"/>
      <c r="F74" s="11" t="s">
        <v>98</v>
      </c>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hidden="1" x14ac:dyDescent="0.35">
      <c r="A75" s="11" t="s">
        <v>102</v>
      </c>
      <c r="B75" s="11"/>
      <c r="C75" s="196" t="s">
        <v>101</v>
      </c>
      <c r="D75" s="11" t="s">
        <v>107</v>
      </c>
      <c r="E75" s="11"/>
      <c r="F75" s="11" t="s">
        <v>99</v>
      </c>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t="s">
        <v>108</v>
      </c>
      <c r="B76" s="11"/>
      <c r="C76" s="106" t="s">
        <v>101</v>
      </c>
      <c r="D76" s="11" t="s">
        <v>106</v>
      </c>
      <c r="E76" s="11"/>
      <c r="F76" s="11" t="s">
        <v>98</v>
      </c>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hidden="1" x14ac:dyDescent="0.35">
      <c r="A77" s="11" t="s">
        <v>108</v>
      </c>
      <c r="B77" s="11"/>
      <c r="C77" s="196" t="s">
        <v>101</v>
      </c>
      <c r="D77" s="11" t="s">
        <v>107</v>
      </c>
      <c r="E77" s="11"/>
      <c r="F77" s="11" t="s">
        <v>99</v>
      </c>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hidden="1"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208"/>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1"/>
      <c r="B80" s="11" t="s">
        <v>822</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hidden="1"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hidden="1" x14ac:dyDescent="0.35">
      <c r="A82" s="62" t="s">
        <v>0</v>
      </c>
      <c r="B82" s="63" t="s">
        <v>1</v>
      </c>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2</v>
      </c>
      <c r="B83" s="66" t="str">
        <f>IF(_epmOfflineCondition_,"'BCC_Local'!$B$2:$B$10",_xll.EVRNG($B$2:$B$10))</f>
        <v>'BCC_Local'!$B$2:$B$10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3</v>
      </c>
      <c r="B84" s="66" t="str">
        <f>IF(_epmOfflineCondition_,"'BCC_Local'!$O$16:$AN$18",_xll.EVRNG($O$16:$AN$18))</f>
        <v>'BCC_Local'!$O$16:$AN$18</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4</v>
      </c>
      <c r="B85" s="66" t="str">
        <f>IF(_epmOfflineCondition_,"",_xll.EVRNG(#REF!,#REF!,#REF!))</f>
        <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5</v>
      </c>
      <c r="B86" s="66"/>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6</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7</v>
      </c>
      <c r="B88" s="66" t="str">
        <f>IF(_epmOfflineCondition_,"'BCC_Local'!$A$102:$F$108",_xll.EVRNG(A102:F108))</f>
        <v>'BCC_Local'!$A$102:$F$108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47</v>
      </c>
      <c r="B89" s="66" t="str">
        <f>IF(_epmOfflineCondition_,"'BCC_Local'!$A$125:$B$146",_xll.EVRNG($A$125:$B$146))</f>
        <v>'BCC_Local'!$A$125:$B$146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76"/>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c r="B111" s="11" t="s">
        <v>736</v>
      </c>
      <c r="C111" s="11" t="s">
        <v>823</v>
      </c>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IF(_epmOfflineCondition_,"'BCC_Local'!$B$2:$B$10",_xll.EVRNG($B$2:$B$10))</f>
        <v>'BCC_Local'!$B$2:$B$10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IF(_epmOfflineCondition_,"'BCC_Local'!$O$16:$AN$18",_xll.EVRNG($O$16:$AN$18))</f>
        <v>'BCC_Local'!$O$16:$AN$18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IF(_epmOfflineCondition_,"",_xll.EVRNG(#REF!))</f>
        <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IF(_epmOfflineCondition_,"'BCC_Local'!$A$125:$B$146",_xll.EVRNG($A$125:$B$146))</f>
        <v>'BCC_Local'!$A$125:$B$146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267"/>
      <c r="J126" s="11"/>
      <c r="K126" s="267"/>
      <c r="L126" s="267"/>
      <c r="M126" s="267"/>
      <c r="N126" s="11"/>
      <c r="O126" s="267"/>
      <c r="P126" s="267"/>
      <c r="Q126" s="267"/>
      <c r="R126" s="267"/>
      <c r="S126" s="267"/>
      <c r="T126" s="267"/>
      <c r="U126" s="267"/>
      <c r="V126" s="267"/>
      <c r="W126" s="267"/>
      <c r="X126" s="267"/>
      <c r="Y126" s="267"/>
      <c r="Z126" s="267"/>
      <c r="AA126" s="267"/>
      <c r="AB126" s="11"/>
      <c r="AC126" s="11"/>
      <c r="AD126" s="267"/>
      <c r="AE126" s="11"/>
      <c r="AF126" s="267"/>
      <c r="AG126" s="11"/>
      <c r="AH126" s="267"/>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267"/>
      <c r="J130" s="11"/>
      <c r="K130" s="267"/>
      <c r="L130" s="267"/>
      <c r="M130" s="267"/>
      <c r="N130" s="11"/>
      <c r="O130" s="267"/>
      <c r="P130" s="267"/>
      <c r="Q130" s="267"/>
      <c r="R130" s="267"/>
      <c r="S130" s="267"/>
      <c r="T130" s="267"/>
      <c r="U130" s="267"/>
      <c r="V130" s="267"/>
      <c r="W130" s="267"/>
      <c r="X130" s="267"/>
      <c r="Y130" s="267"/>
      <c r="Z130" s="267"/>
      <c r="AA130" s="267"/>
      <c r="AB130" s="11"/>
      <c r="AC130" s="11"/>
      <c r="AD130" s="267"/>
      <c r="AE130" s="11"/>
      <c r="AF130" s="267"/>
      <c r="AG130" s="11"/>
      <c r="AH130" s="267"/>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267"/>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267"/>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sheetData>
  <sheetProtection algorithmName="SHA-512" hashValue="V7muWsgYKerx3iXPSDjfB8RbyRLfXyAJcbu6bgnG3puXy6o16p5E+fm6jgKi5Hi2yOAF//+5qLksUwH9lXAKaw==" saltValue="Rrz/Vx91c7M99oJYAJsejw==" spinCount="100000" sheet="1" scenarios="1"/>
  <mergeCells count="2">
    <mergeCell ref="AD31:AE31"/>
    <mergeCell ref="AG31:AH31"/>
  </mergeCells>
  <dataValidations count="2">
    <dataValidation type="list" allowBlank="1" sqref="B94 B28 B61" xr:uid="{00000000-0002-0000-1B00-000000000000}">
      <formula1>"ACCOUNT,BUSINESSUNIT,CATEGORY,DATASRC,DEPARTMENT,INTCO,MEASURES,RPTCURRENCY,TIME"</formula1>
    </dataValidation>
    <dataValidation type="list" allowBlank="1" sqref="B95 B29 B62" xr:uid="{00000000-0002-0000-1B00-000001000000}">
      <formula1>"SELF,ALL,BAS,DEP,BASMEMBERS,MEMBERS,NOEXPAND,GDEP"</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8225"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08225" r:id="rId7" name="FPMExcelClientSheetOptionstb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7">
    <tabColor theme="6" tint="0.39997558519241921"/>
    <pageSetUpPr fitToPage="1"/>
  </sheetPr>
  <dimension ref="A1:AI206"/>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806</v>
      </c>
      <c r="C6" s="11" t="str">
        <f>IF(_epmOfflineCondition_,"Banquet CS Local",_xll.EVDES(B6,$B$1))</f>
        <v>Banquet CS Local</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IF(_epmOfflineCondition_,"'BCC_KPI_Local'!$B$2:$B$10",_xll.EVRNG($B$2:$B$10))</f>
        <v>'BCC_KPI_Local'!$B$2:$B$10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IF(_epmOfflineCondition_,"'BCC_KPI_Local'!$O$16:$AI$18",_xll.EVRNG(O16:AI18))</f>
        <v>'BCC_KPI_Local'!$O$16:$AI$18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IF(_epmOfflineCondition_,"'BCC_KPI_Local'!$H$35:$H$118",_xll.EVRNG(H35:H118))</f>
        <v>'BCC_KPI_Local'!$H$35:$H$118</v>
      </c>
      <c r="C19" s="11"/>
      <c r="D19" s="11"/>
      <c r="E19" s="11"/>
      <c r="F19" s="11"/>
      <c r="G19" s="67" t="str">
        <f>$B$6</f>
        <v>D2348</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IF(_epmOfflineCondition_,555,_xll.EVGTS($B$1,1,$B$3,$B$5,$B$7,$B$9,Q$16,Q$17,Q$18,$G$19,$H$19))</f>
        <v>555</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IF(_epmOfflineCondition_,4938,_xll.EVGTS($B$1,1,$B$3,$B$5,$B$7,$B$9,Y$16,Y$17,Y$18,$G$19,$H$19))</f>
        <v>4938</v>
      </c>
      <c r="Z19" s="69">
        <f>IF(_epmOfflineCondition_,0,_xll.EVGTS($B$1,1,$B$3,$B$5,$B$7,$B$9,Z$16,Z$17,Z$18,$G$19,$H$19))</f>
        <v>0</v>
      </c>
      <c r="AA19" s="69">
        <f>SUM(O19:Z19)</f>
        <v>5493</v>
      </c>
      <c r="AB19" s="67"/>
      <c r="AC19" s="67"/>
      <c r="AD19" s="69">
        <f>IF(_epmOfflineCondition_,93020.2,_xll.EVGTS($B$1,1,$B$3,$B$5,$B$7,$B$9,AD$16,AD$17,AD$18,$G$19,$H$19))</f>
        <v>93020.2</v>
      </c>
      <c r="AE19" s="67"/>
      <c r="AF19" s="67"/>
      <c r="AG19" s="69">
        <f>IF(_epmOfflineCondition_,2751,_xll.EVGTS($B$1,1,$B$3,$B$5,$B$7,$B$9,AG$16,AG$17,AG$18,$G$19,$H$19))</f>
        <v>2751</v>
      </c>
      <c r="AH19" s="67"/>
      <c r="AI19" s="67"/>
    </row>
    <row r="20" spans="1:35" hidden="1" outlineLevel="1" x14ac:dyDescent="0.35">
      <c r="A20" s="65" t="s">
        <v>5</v>
      </c>
      <c r="B20" s="66"/>
      <c r="C20" s="11"/>
      <c r="D20" s="11"/>
      <c r="E20" s="11"/>
      <c r="F20" s="11"/>
      <c r="G20" s="67" t="str">
        <f>$B$6</f>
        <v>D2348</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IF(_epmOfflineCondition_,10,_xll.EVGTS($B$1,1,$B$3,$B$5,$B$7,$B$9,Q$16,Q$17,Q$18,$G$20,$H$20))</f>
        <v>10</v>
      </c>
      <c r="R20" s="69">
        <f>IF(_epmOfflineCondition_,0,_xll.EVGTS($B$1,1,$B$3,$B$5,$B$7,$B$9,R$16,R$17,R$18,$G$20,$H$20))</f>
        <v>0</v>
      </c>
      <c r="S20" s="69">
        <f>IF(_epmOfflineCondition_,0,_xll.EVGTS($B$1,1,$B$3,$B$5,$B$7,$B$9,S$16,S$17,S$18,$G$20,$H$20))</f>
        <v>0</v>
      </c>
      <c r="T20" s="69">
        <f>IF(_epmOfflineCondition_,0,_xll.EVGTS($B$1,1,$B$3,$B$5,$B$7,$B$9,T$16,T$17,T$18,$G$20,$H$20))</f>
        <v>0</v>
      </c>
      <c r="U20" s="69">
        <f>IF(_epmOfflineCondition_,5,_xll.EVGTS($B$1,1,$B$3,$B$5,$B$7,$B$9,U$16,U$17,U$18,$G$20,$H$20))</f>
        <v>5</v>
      </c>
      <c r="V20" s="69">
        <f>IF(_epmOfflineCondition_,0,_xll.EVGTS($B$1,1,$B$3,$B$5,$B$7,$B$9,V$16,V$17,V$18,$G$20,$H$20))</f>
        <v>0</v>
      </c>
      <c r="W20" s="69">
        <f>IF(_epmOfflineCondition_,0,_xll.EVGTS($B$1,1,$B$3,$B$5,$B$7,$B$9,W$16,W$17,W$18,$G$20,$H$20))</f>
        <v>0</v>
      </c>
      <c r="X20" s="69">
        <f>IF(_epmOfflineCondition_,0,_xll.EVGTS($B$1,1,$B$3,$B$5,$B$7,$B$9,X$16,X$17,X$18,$G$20,$H$20))</f>
        <v>0</v>
      </c>
      <c r="Y20" s="69">
        <f>IF(_epmOfflineCondition_,74,_xll.EVGTS($B$1,1,$B$3,$B$5,$B$7,$B$9,Y$16,Y$17,Y$18,$G$20,$H$20))</f>
        <v>74</v>
      </c>
      <c r="Z20" s="69">
        <f>IF(_epmOfflineCondition_,0,_xll.EVGTS($B$1,1,$B$3,$B$5,$B$7,$B$9,Z$16,Z$17,Z$18,$G$20,$H$20))</f>
        <v>0</v>
      </c>
      <c r="AA20" s="69">
        <f>SUM(O20:Z20)</f>
        <v>89</v>
      </c>
      <c r="AB20" s="67"/>
      <c r="AC20" s="67"/>
      <c r="AD20" s="69">
        <f>IF(_epmOfflineCondition_,1431.08,_xll.EVGTS($B$1,1,$B$3,$B$5,$B$7,$B$9,AD$16,AD$17,AD$18,$G$20,$H$20))</f>
        <v>1431.08</v>
      </c>
      <c r="AE20" s="67"/>
      <c r="AF20" s="67"/>
      <c r="AG20" s="69">
        <f>IF(_epmOfflineCondition_,130,_xll.EVGTS($B$1,1,$B$3,$B$5,$B$7,$B$9,AG$16,AG$17,AG$18,$G$20,$H$20))</f>
        <v>130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IF(_epmOfflineCondition_,"'BCC_KPI_Local'!$A$37:$B$58",_xll.EVRNG($A$37:$B$58))</f>
        <v>'BCC_KPI_Local'!$A$37:$B$58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IF(_epmOfflineCondition_,"Banquet CS Local Department",IF($N$1="",IF(_xll.EVDES(B6,$B$1)="#NODATA","",_xll.EVDES(B6,$B$1)&amp;" Department"),$N$1))</f>
        <v>Banquet CS Local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IF(AA41=0,"",IFERROR(AA41/AA$83,""))</f>
        <v/>
      </c>
      <c r="AC41" s="140"/>
      <c r="AD41" s="210"/>
      <c r="AE41" s="211" t="str">
        <f>IF(AD41=0,"",IFERROR(AD41/AD$83,""))</f>
        <v/>
      </c>
      <c r="AF41" s="253">
        <f t="shared" si="1"/>
        <v>0</v>
      </c>
      <c r="AG41" s="210"/>
      <c r="AH41" s="211" t="str">
        <f>IF(AG41=0,"",IFERROR(AG41/AG$83,""))</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11"/>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v>555</v>
      </c>
      <c r="R45" s="143"/>
      <c r="S45" s="143"/>
      <c r="T45" s="143"/>
      <c r="U45" s="143"/>
      <c r="V45" s="143"/>
      <c r="W45" s="143"/>
      <c r="X45" s="143"/>
      <c r="Y45" s="143">
        <v>948</v>
      </c>
      <c r="Z45" s="143"/>
      <c r="AA45" s="143">
        <f t="shared" ref="AA45:AA51" si="5">SUM(O45:Z45)</f>
        <v>1503</v>
      </c>
      <c r="AB45" s="144">
        <f>IF(AA45=0,"",IFERROR(AA45/AA$19,""))</f>
        <v>0.2736209721463681</v>
      </c>
      <c r="AC45" s="140"/>
      <c r="AD45" s="143"/>
      <c r="AE45" s="144" t="str">
        <f>IF(AD45=0,"",IFERROR(AD45/AD$19,""))</f>
        <v/>
      </c>
      <c r="AF45" s="145">
        <f t="shared" ref="AF45:AF52" si="6">IF(AND($AA45="",AD45=""),"",$AA45-AD45)</f>
        <v>1503</v>
      </c>
      <c r="AG45" s="143"/>
      <c r="AH45" s="144" t="str">
        <f>IF(AG45=0,"",IFERROR(AG45/AG$19,""))</f>
        <v/>
      </c>
      <c r="AI45" s="145">
        <f t="shared" ref="AI45:AI52" si="7">IF(AND($AA45="",AG45=""),"",$AA45-AG45)</f>
        <v>1503</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v>555</v>
      </c>
      <c r="R49" s="166"/>
      <c r="S49" s="166"/>
      <c r="T49" s="166"/>
      <c r="U49" s="166"/>
      <c r="V49" s="166"/>
      <c r="W49" s="166"/>
      <c r="X49" s="166"/>
      <c r="Y49" s="166">
        <v>948</v>
      </c>
      <c r="Z49" s="166"/>
      <c r="AA49" s="166">
        <f t="shared" si="5"/>
        <v>1503</v>
      </c>
      <c r="AB49" s="167">
        <f>IF(AA49=0,"",IFERROR(AA49/AA$19,""))</f>
        <v>0.2736209721463681</v>
      </c>
      <c r="AC49" s="140"/>
      <c r="AD49" s="166"/>
      <c r="AE49" s="167" t="str">
        <f>IF(AD49=0,"",IFERROR(AD49/AD$19,""))</f>
        <v/>
      </c>
      <c r="AF49" s="168">
        <f t="shared" si="6"/>
        <v>1503</v>
      </c>
      <c r="AG49" s="166"/>
      <c r="AH49" s="167" t="str">
        <f>IF(AG49=0,"",IFERROR(AG49/AG$19,""))</f>
        <v/>
      </c>
      <c r="AI49" s="168">
        <f t="shared" si="7"/>
        <v>1503</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v>10</v>
      </c>
      <c r="R51" s="210"/>
      <c r="S51" s="210"/>
      <c r="T51" s="210"/>
      <c r="U51" s="210">
        <v>1</v>
      </c>
      <c r="V51" s="210"/>
      <c r="W51" s="210"/>
      <c r="X51" s="210"/>
      <c r="Y51" s="210">
        <v>36</v>
      </c>
      <c r="Z51" s="210"/>
      <c r="AA51" s="210">
        <f t="shared" si="5"/>
        <v>47</v>
      </c>
      <c r="AB51" s="211">
        <f>IF(AA51=0,"",IFERROR(AA51/AA$83,""))</f>
        <v>0.5280898876404494</v>
      </c>
      <c r="AC51" s="140"/>
      <c r="AD51" s="210"/>
      <c r="AE51" s="211" t="str">
        <f>IF(AD51=0,"",IFERROR(AD51/AD$83,""))</f>
        <v/>
      </c>
      <c r="AF51" s="253">
        <f t="shared" si="6"/>
        <v>47</v>
      </c>
      <c r="AG51" s="210">
        <v>10</v>
      </c>
      <c r="AH51" s="211">
        <f>IF(AG51=0,"",IFERROR(AG51/AG$83,""))</f>
        <v>7.6923076923076927E-2</v>
      </c>
      <c r="AI51" s="253">
        <f t="shared" si="7"/>
        <v>37</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v>55.5</v>
      </c>
      <c r="R52" s="495"/>
      <c r="S52" s="495"/>
      <c r="T52" s="495"/>
      <c r="U52" s="495"/>
      <c r="V52" s="495"/>
      <c r="W52" s="495"/>
      <c r="X52" s="495"/>
      <c r="Y52" s="495">
        <v>26.3333333333333</v>
      </c>
      <c r="Z52" s="495"/>
      <c r="AA52" s="495">
        <f>IFERROR(AA49/AA51,"")</f>
        <v>31.978723404255319</v>
      </c>
      <c r="AB52" s="495"/>
      <c r="AC52" s="140"/>
      <c r="AD52" s="495"/>
      <c r="AE52" s="495"/>
      <c r="AF52" s="496">
        <f t="shared" si="6"/>
        <v>31.978723404255319</v>
      </c>
      <c r="AG52" s="495"/>
      <c r="AH52" s="495"/>
      <c r="AI52" s="496">
        <f t="shared" si="7"/>
        <v>31.978723404255319</v>
      </c>
    </row>
    <row r="53" spans="1:35" x14ac:dyDescent="0.35">
      <c r="A53" s="65" t="s">
        <v>41</v>
      </c>
      <c r="B53" s="66"/>
      <c r="C53" s="11"/>
      <c r="D53" s="11"/>
      <c r="E53" s="11"/>
      <c r="F53" s="11"/>
      <c r="G53" s="11"/>
      <c r="H53" s="88"/>
      <c r="I53" s="122"/>
      <c r="J53" s="122"/>
      <c r="K53" s="90"/>
      <c r="L53" s="90"/>
      <c r="M53" s="90"/>
      <c r="N53" s="491" t="s">
        <v>345</v>
      </c>
      <c r="O53" s="497">
        <f t="shared" ref="O53:AA53" si="8">ROUND(IFERROR(O49/O51,0),2)</f>
        <v>0</v>
      </c>
      <c r="P53" s="498">
        <f t="shared" si="8"/>
        <v>0</v>
      </c>
      <c r="Q53" s="498">
        <f t="shared" si="8"/>
        <v>55.5</v>
      </c>
      <c r="R53" s="498">
        <f t="shared" si="8"/>
        <v>0</v>
      </c>
      <c r="S53" s="498">
        <f t="shared" si="8"/>
        <v>0</v>
      </c>
      <c r="T53" s="498">
        <f t="shared" si="8"/>
        <v>0</v>
      </c>
      <c r="U53" s="498">
        <f t="shared" si="8"/>
        <v>0</v>
      </c>
      <c r="V53" s="498">
        <f t="shared" si="8"/>
        <v>0</v>
      </c>
      <c r="W53" s="498">
        <f t="shared" si="8"/>
        <v>0</v>
      </c>
      <c r="X53" s="498">
        <f t="shared" si="8"/>
        <v>0</v>
      </c>
      <c r="Y53" s="498">
        <f t="shared" si="8"/>
        <v>26.33</v>
      </c>
      <c r="Z53" s="498">
        <f t="shared" si="8"/>
        <v>0</v>
      </c>
      <c r="AA53" s="498">
        <f t="shared" si="8"/>
        <v>31.98</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v>3990</v>
      </c>
      <c r="Z55" s="143"/>
      <c r="AA55" s="143">
        <f t="shared" ref="AA55:AA61" si="10">SUM(O55:Z55)</f>
        <v>3990</v>
      </c>
      <c r="AB55" s="144">
        <f>IF(AA55=0,"",IFERROR(AA55/AA$19,""))</f>
        <v>0.72637902785363184</v>
      </c>
      <c r="AC55" s="140"/>
      <c r="AD55" s="143">
        <v>48370.504000000001</v>
      </c>
      <c r="AE55" s="144">
        <f>IF(AD55=0,"",IFERROR(AD55/AD$19,""))</f>
        <v>0.52</v>
      </c>
      <c r="AF55" s="145">
        <f t="shared" ref="AF55:AF62" si="11">IF(AND($AA55="",AD55=""),"",$AA55-AD55)</f>
        <v>-44380.504000000001</v>
      </c>
      <c r="AG55" s="143"/>
      <c r="AH55" s="144" t="str">
        <f>IF(AG55=0,"",IFERROR(AG55/AG$19,""))</f>
        <v/>
      </c>
      <c r="AI55" s="145">
        <f t="shared" ref="AI55:AI62" si="12">IF(AND($AA55="",AG55=""),"",$AA55-AG55)</f>
        <v>3990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v>20464.444</v>
      </c>
      <c r="AE56" s="144">
        <f>IF(AD56=0,"",IFERROR(AD56/AD$19,""))</f>
        <v>0.22</v>
      </c>
      <c r="AF56" s="145">
        <f t="shared" si="11"/>
        <v>-20464.444</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v>3720.808</v>
      </c>
      <c r="AE57" s="144">
        <f>IF(AD57=0,"",IFERROR(AD57/AD$19,""))</f>
        <v>0.04</v>
      </c>
      <c r="AF57" s="145">
        <f t="shared" si="11"/>
        <v>-3720.808</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v>20464.444</v>
      </c>
      <c r="AE58" s="219">
        <f>IF(AD58=0,"",IFERROR(AD58/AD$19,""))</f>
        <v>0.22</v>
      </c>
      <c r="AF58" s="220">
        <f t="shared" si="11"/>
        <v>-20464.444</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v>3990</v>
      </c>
      <c r="Z59" s="166"/>
      <c r="AA59" s="166">
        <f t="shared" si="10"/>
        <v>3990</v>
      </c>
      <c r="AB59" s="167">
        <f>IF(AA59=0,"",IFERROR(AA59/AA$19,""))</f>
        <v>0.72637902785363184</v>
      </c>
      <c r="AC59" s="140"/>
      <c r="AD59" s="166">
        <v>93020.2</v>
      </c>
      <c r="AE59" s="167">
        <f>IF(AD59=0,"",IFERROR(AD59/AD$19,""))</f>
        <v>1</v>
      </c>
      <c r="AF59" s="168">
        <f t="shared" si="11"/>
        <v>-89030.2</v>
      </c>
      <c r="AG59" s="166"/>
      <c r="AH59" s="167" t="str">
        <f>IF(AG59=0,"",IFERROR(AG59/AG$19,""))</f>
        <v/>
      </c>
      <c r="AI59" s="168">
        <f t="shared" si="12"/>
        <v>3990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v>4</v>
      </c>
      <c r="V61" s="210"/>
      <c r="W61" s="210"/>
      <c r="X61" s="210"/>
      <c r="Y61" s="210">
        <v>38</v>
      </c>
      <c r="Z61" s="210"/>
      <c r="AA61" s="210">
        <f t="shared" si="10"/>
        <v>42</v>
      </c>
      <c r="AB61" s="211">
        <f>IF(AA61=0,"",IFERROR(AA61/AA$83,""))</f>
        <v>0.47191011235955055</v>
      </c>
      <c r="AC61" s="140"/>
      <c r="AD61" s="210">
        <v>1431.08</v>
      </c>
      <c r="AE61" s="211">
        <f>IF(AD61=0,"",IFERROR(AD61/AD$83,""))</f>
        <v>1</v>
      </c>
      <c r="AF61" s="253">
        <f t="shared" si="11"/>
        <v>-1389.08</v>
      </c>
      <c r="AG61" s="210"/>
      <c r="AH61" s="211" t="str">
        <f>IF(AG61=0,"",IFERROR(AG61/AG$83,""))</f>
        <v/>
      </c>
      <c r="AI61" s="253">
        <f t="shared" si="12"/>
        <v>42</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v>105</v>
      </c>
      <c r="Z62" s="495"/>
      <c r="AA62" s="495">
        <f>IFERROR(AA59/AA61,"")</f>
        <v>95</v>
      </c>
      <c r="AB62" s="495"/>
      <c r="AC62" s="140"/>
      <c r="AD62" s="495">
        <v>65</v>
      </c>
      <c r="AE62" s="495"/>
      <c r="AF62" s="496">
        <f t="shared" si="11"/>
        <v>30</v>
      </c>
      <c r="AG62" s="495"/>
      <c r="AH62" s="495"/>
      <c r="AI62" s="496">
        <f t="shared" si="12"/>
        <v>95</v>
      </c>
    </row>
    <row r="63" spans="1:35" x14ac:dyDescent="0.35">
      <c r="A63" s="11"/>
      <c r="B63" s="11"/>
      <c r="C63" s="11"/>
      <c r="D63" s="11"/>
      <c r="E63" s="11"/>
      <c r="F63" s="11"/>
      <c r="G63" s="11"/>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105</v>
      </c>
      <c r="Z63" s="498">
        <f t="shared" si="13"/>
        <v>0</v>
      </c>
      <c r="AA63" s="498">
        <f t="shared" si="13"/>
        <v>95</v>
      </c>
      <c r="AB63" s="499"/>
      <c r="AC63" s="140"/>
      <c r="AD63" s="497">
        <f>ROUND(IFERROR(AD59/AD61,0),2)</f>
        <v>65</v>
      </c>
      <c r="AE63" s="498"/>
      <c r="AF63" s="159"/>
      <c r="AG63" s="497">
        <f>ROUND(IFERROR(AG59/AG61,0),2)</f>
        <v>0</v>
      </c>
      <c r="AH63" s="498"/>
      <c r="AI63" s="159"/>
    </row>
    <row r="64" spans="1:35" x14ac:dyDescent="0.3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43"/>
      <c r="P65" s="143"/>
      <c r="Q65" s="143"/>
      <c r="R65" s="143"/>
      <c r="S65" s="143"/>
      <c r="T65" s="143"/>
      <c r="U65" s="143"/>
      <c r="V65" s="143"/>
      <c r="W65" s="143"/>
      <c r="X65" s="143"/>
      <c r="Y65" s="143"/>
      <c r="Z65" s="143"/>
      <c r="AA65" s="143">
        <f t="shared" ref="AA65:AA70" si="15">SUM(O65:Z65)</f>
        <v>0</v>
      </c>
      <c r="AB65" s="144" t="str">
        <f>IF(AA65=0,"",IFERROR(AA65/AA$19,""))</f>
        <v/>
      </c>
      <c r="AC65" s="140"/>
      <c r="AD65" s="143"/>
      <c r="AE65" s="144" t="str">
        <f>IF(AD65=0,"",IFERROR(AD65/AD$19,""))</f>
        <v/>
      </c>
      <c r="AF65" s="145">
        <f t="shared" ref="AF65:AF71" si="16">IF(AND($AA65="",AD65=""),"",$AA65-AD65)</f>
        <v>0</v>
      </c>
      <c r="AG65" s="143"/>
      <c r="AH65" s="144" t="str">
        <f>IF(AG65=0,"",IFERROR(AG65/AG$19,""))</f>
        <v/>
      </c>
      <c r="AI65" s="145">
        <f t="shared" ref="AI65:AI71" si="17">IF(AND($AA65="",AG65=""),"",$AA65-AG65)</f>
        <v>0</v>
      </c>
    </row>
    <row r="66" spans="1:35" x14ac:dyDescent="0.3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10"/>
      <c r="P70" s="210"/>
      <c r="Q70" s="210"/>
      <c r="R70" s="210"/>
      <c r="S70" s="210"/>
      <c r="T70" s="210"/>
      <c r="U70" s="210"/>
      <c r="V70" s="210"/>
      <c r="W70" s="210"/>
      <c r="X70" s="210"/>
      <c r="Y70" s="210"/>
      <c r="Z70" s="210"/>
      <c r="AA70" s="210">
        <f t="shared" si="15"/>
        <v>0</v>
      </c>
      <c r="AB70" s="211" t="str">
        <f>IF(AA70=0,"",IFERROR(AA70/AA$83,""))</f>
        <v/>
      </c>
      <c r="AC70" s="140"/>
      <c r="AD70" s="210"/>
      <c r="AE70" s="211" t="str">
        <f>IF(AD70=0,"",IFERROR(AD70/AD$83,""))</f>
        <v/>
      </c>
      <c r="AF70" s="253">
        <f t="shared" si="16"/>
        <v>0</v>
      </c>
      <c r="AG70" s="210"/>
      <c r="AH70" s="211" t="str">
        <f>IF(AG70=0,"",IFERROR(AG70/AG$83,""))</f>
        <v/>
      </c>
      <c r="AI70" s="253">
        <f t="shared" si="17"/>
        <v>0</v>
      </c>
    </row>
    <row r="71" spans="1:35" x14ac:dyDescent="0.3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c r="P71" s="495"/>
      <c r="Q71" s="495"/>
      <c r="R71" s="495"/>
      <c r="S71" s="495"/>
      <c r="T71" s="495"/>
      <c r="U71" s="495"/>
      <c r="V71" s="495"/>
      <c r="W71" s="495"/>
      <c r="X71" s="495"/>
      <c r="Y71" s="495"/>
      <c r="Z71" s="495"/>
      <c r="AA71" s="495" t="str">
        <f>IFERROR(AA69/AA70,"")</f>
        <v/>
      </c>
      <c r="AB71" s="495"/>
      <c r="AC71" s="140"/>
      <c r="AD71" s="495"/>
      <c r="AE71" s="495"/>
      <c r="AF71" s="496" t="str">
        <f t="shared" si="16"/>
        <v/>
      </c>
      <c r="AG71" s="495"/>
      <c r="AH71" s="495"/>
      <c r="AI71" s="496" t="str">
        <f t="shared" si="17"/>
        <v/>
      </c>
    </row>
    <row r="72" spans="1:35" x14ac:dyDescent="0.35">
      <c r="A72" s="11"/>
      <c r="B72" s="11"/>
      <c r="C72" s="11"/>
      <c r="D72" s="11"/>
      <c r="E72" s="11"/>
      <c r="F72" s="11"/>
      <c r="G72" s="11"/>
      <c r="H72" s="88"/>
      <c r="I72" s="122"/>
      <c r="J72" s="122"/>
      <c r="K72" s="90"/>
      <c r="L72" s="90"/>
      <c r="M72" s="90"/>
      <c r="N72" s="491" t="s">
        <v>345</v>
      </c>
      <c r="O72" s="497">
        <f t="shared" ref="O72:AA72" si="18">ROUND(IFERROR(O69/O70,0),2)</f>
        <v>0</v>
      </c>
      <c r="P72" s="498">
        <f t="shared" si="18"/>
        <v>0</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0</v>
      </c>
      <c r="Z72" s="498">
        <f t="shared" si="18"/>
        <v>0</v>
      </c>
      <c r="AA72" s="498">
        <f t="shared" si="18"/>
        <v>0</v>
      </c>
      <c r="AB72" s="499"/>
      <c r="AC72" s="140"/>
      <c r="AD72" s="497">
        <f>ROUND(IFERROR(AD69/AD70,0),2)</f>
        <v>0</v>
      </c>
      <c r="AE72" s="498"/>
      <c r="AF72" s="159"/>
      <c r="AG72" s="497">
        <f>ROUND(IFERROR(AG69/AG70,0),2)</f>
        <v>0</v>
      </c>
      <c r="AH72" s="498"/>
      <c r="AI72" s="159"/>
    </row>
    <row r="73" spans="1:35" x14ac:dyDescent="0.3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e">
        <f t="shared" si="19"/>
        <v>#VALUE!</v>
      </c>
      <c r="AB73" s="502"/>
      <c r="AC73" s="503"/>
      <c r="AD73" s="500"/>
      <c r="AE73" s="501" t="b">
        <f>ROUND(AD71,2)=ROUND(AD72,2)</f>
        <v>1</v>
      </c>
      <c r="AF73" s="502"/>
      <c r="AG73" s="500"/>
      <c r="AH73" s="501" t="b">
        <f>ROUND(AG71,2)=ROUND(AG72,2)</f>
        <v>1</v>
      </c>
      <c r="AI73" s="502"/>
    </row>
    <row r="74" spans="1:35" x14ac:dyDescent="0.3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43"/>
      <c r="P74" s="143"/>
      <c r="Q74" s="143"/>
      <c r="R74" s="143"/>
      <c r="S74" s="143"/>
      <c r="T74" s="143"/>
      <c r="U74" s="143"/>
      <c r="V74" s="143"/>
      <c r="W74" s="143"/>
      <c r="X74" s="143"/>
      <c r="Y74" s="143"/>
      <c r="Z74" s="143"/>
      <c r="AA74" s="143">
        <f>SUM(O74:Z74)</f>
        <v>0</v>
      </c>
      <c r="AB74" s="144" t="str">
        <f>IF(AA74=0,"",IFERROR(AA74/AA$19,""))</f>
        <v/>
      </c>
      <c r="AC74" s="140"/>
      <c r="AD74" s="143"/>
      <c r="AE74" s="144" t="str">
        <f>IF(AD74=0,"",IFERROR(AD74/AD$19,""))</f>
        <v/>
      </c>
      <c r="AF74" s="145">
        <f>IF(AND($AA74="",AD74=""),"",$AA74-AD74)</f>
        <v>0</v>
      </c>
      <c r="AG74" s="143">
        <v>2751</v>
      </c>
      <c r="AH74" s="144">
        <f>IF(AG74=0,"",IFERROR(AG74/AG$19,""))</f>
        <v>1</v>
      </c>
      <c r="AI74" s="145">
        <f>IF(AND($AA74="",AG74=""),"",$AA74-AG74)</f>
        <v>-2751</v>
      </c>
    </row>
    <row r="75" spans="1:35" x14ac:dyDescent="0.3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6"/>
      <c r="P75" s="166"/>
      <c r="Q75" s="166"/>
      <c r="R75" s="166"/>
      <c r="S75" s="166"/>
      <c r="T75" s="166"/>
      <c r="U75" s="166"/>
      <c r="V75" s="166"/>
      <c r="W75" s="166"/>
      <c r="X75" s="166"/>
      <c r="Y75" s="166"/>
      <c r="Z75" s="166"/>
      <c r="AA75" s="166">
        <f>SUM(O75:Z75)</f>
        <v>0</v>
      </c>
      <c r="AB75" s="167" t="str">
        <f>IF(AA75=0,"",IFERROR(AA75/AA$19,""))</f>
        <v/>
      </c>
      <c r="AC75" s="140"/>
      <c r="AD75" s="166"/>
      <c r="AE75" s="167" t="str">
        <f>IF(AD75=0,"",IFERROR(AD75/AD$19,""))</f>
        <v/>
      </c>
      <c r="AF75" s="168">
        <f>IF(AND($AA75="",AD75=""),"",$AA75-AD75)</f>
        <v>0</v>
      </c>
      <c r="AG75" s="166">
        <v>2751</v>
      </c>
      <c r="AH75" s="167">
        <f>IF(AG75=0,"",IFERROR(AG75/AG$19,""))</f>
        <v>1</v>
      </c>
      <c r="AI75" s="168">
        <f>IF(AND($AA75="",AG75=""),"",$AA75-AG75)</f>
        <v>-2751</v>
      </c>
    </row>
    <row r="76" spans="1:35" x14ac:dyDescent="0.3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10"/>
      <c r="P76" s="210"/>
      <c r="Q76" s="210"/>
      <c r="R76" s="210"/>
      <c r="S76" s="210"/>
      <c r="T76" s="210"/>
      <c r="U76" s="210"/>
      <c r="V76" s="210"/>
      <c r="W76" s="210"/>
      <c r="X76" s="210"/>
      <c r="Y76" s="210"/>
      <c r="Z76" s="210"/>
      <c r="AA76" s="210">
        <f>SUM(O76:Z76)</f>
        <v>0</v>
      </c>
      <c r="AB76" s="211" t="str">
        <f>IF(AA76=0,"",IFERROR(AA76/AA$83,""))</f>
        <v/>
      </c>
      <c r="AC76" s="140"/>
      <c r="AD76" s="210"/>
      <c r="AE76" s="211" t="str">
        <f>IF(AD76=0,"",IFERROR(AD76/AD$83,""))</f>
        <v/>
      </c>
      <c r="AF76" s="253">
        <f>IF(AND($AA76="",AD76=""),"",$AA76-AD76)</f>
        <v>0</v>
      </c>
      <c r="AG76" s="210">
        <v>120</v>
      </c>
      <c r="AH76" s="211">
        <f>IF(AG76=0,"",IFERROR(AG76/AG$83,""))</f>
        <v>0.92307692307692313</v>
      </c>
      <c r="AI76" s="253">
        <f>IF(AND($AA76="",AG76=""),"",$AA76-AG76)</f>
        <v>-120</v>
      </c>
    </row>
    <row r="77" spans="1:35" x14ac:dyDescent="0.3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c r="P77" s="495"/>
      <c r="Q77" s="495"/>
      <c r="R77" s="495"/>
      <c r="S77" s="495"/>
      <c r="T77" s="495"/>
      <c r="U77" s="495"/>
      <c r="V77" s="495"/>
      <c r="W77" s="495"/>
      <c r="X77" s="495"/>
      <c r="Y77" s="495"/>
      <c r="Z77" s="495"/>
      <c r="AA77" s="495" t="str">
        <f>IFERROR(AA75/AA76,"")</f>
        <v/>
      </c>
      <c r="AB77" s="495"/>
      <c r="AC77" s="140"/>
      <c r="AD77" s="495"/>
      <c r="AE77" s="495"/>
      <c r="AF77" s="496" t="str">
        <f>IF(AND($AA77="",AD77=""),"",$AA77-AD77)</f>
        <v/>
      </c>
      <c r="AG77" s="495">
        <v>22.925000000000001</v>
      </c>
      <c r="AH77" s="495"/>
      <c r="AI77" s="496" t="e">
        <f>IF(AND($AA77="",AG77=""),"",$AA77-AG77)</f>
        <v>#VALUE!</v>
      </c>
    </row>
    <row r="78" spans="1:35" x14ac:dyDescent="0.35">
      <c r="A78" s="11"/>
      <c r="B78" s="11"/>
      <c r="C78" s="208"/>
      <c r="D78" s="11"/>
      <c r="E78" s="11"/>
      <c r="F78" s="11"/>
      <c r="G78" s="11"/>
      <c r="H78" s="88"/>
      <c r="I78" s="122"/>
      <c r="J78" s="122"/>
      <c r="K78" s="90"/>
      <c r="L78" s="90"/>
      <c r="M78" s="90"/>
      <c r="N78" s="491" t="s">
        <v>345</v>
      </c>
      <c r="O78" s="497">
        <f t="shared" ref="O78:AA78" si="20">ROUND(IFERROR(O75/O76,0),2)</f>
        <v>0</v>
      </c>
      <c r="P78" s="498">
        <f t="shared" si="20"/>
        <v>0</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0</v>
      </c>
      <c r="AB78" s="499"/>
      <c r="AC78" s="140"/>
      <c r="AD78" s="497">
        <f>ROUND(IFERROR(AD75/AD76,0),2)</f>
        <v>0</v>
      </c>
      <c r="AE78" s="498"/>
      <c r="AF78" s="159"/>
      <c r="AG78" s="497">
        <f>ROUND(IFERROR(AG75/AG76,0),2)</f>
        <v>22.93</v>
      </c>
      <c r="AH78" s="498"/>
      <c r="AI78" s="159"/>
    </row>
    <row r="79" spans="1:35" x14ac:dyDescent="0.3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e">
        <f t="shared" si="21"/>
        <v>#VALUE!</v>
      </c>
      <c r="AB79" s="502"/>
      <c r="AC79" s="503"/>
      <c r="AD79" s="500"/>
      <c r="AE79" s="501" t="b">
        <f>ROUND(AD77,2)=ROUND(AD78,2)</f>
        <v>1</v>
      </c>
      <c r="AF79" s="502"/>
      <c r="AG79" s="500"/>
      <c r="AH79" s="501" t="b">
        <f>ROUND(AG77,2)=ROUND(AG78,2)</f>
        <v>1</v>
      </c>
      <c r="AI79" s="502"/>
    </row>
    <row r="80" spans="1:35" x14ac:dyDescent="0.3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43"/>
      <c r="P80" s="143"/>
      <c r="Q80" s="143"/>
      <c r="R80" s="143"/>
      <c r="S80" s="143"/>
      <c r="T80" s="143"/>
      <c r="U80" s="143"/>
      <c r="V80" s="143"/>
      <c r="W80" s="143"/>
      <c r="X80" s="143"/>
      <c r="Y80" s="143"/>
      <c r="Z80" s="143"/>
      <c r="AA80" s="143">
        <f>SUM(O80:Z80)</f>
        <v>0</v>
      </c>
      <c r="AB80" s="144" t="str">
        <f>IF(AA80=0,"",IFERROR(AA80/AA$19,""))</f>
        <v/>
      </c>
      <c r="AC80" s="140"/>
      <c r="AD80" s="143"/>
      <c r="AE80" s="144" t="str">
        <f>IF(AD80=0,"",IFERROR(AD80/AD$19,""))</f>
        <v/>
      </c>
      <c r="AF80" s="145">
        <f>IF(AND($AA80="",AD80=""),"",$AA80-AD80)</f>
        <v>0</v>
      </c>
      <c r="AG80" s="143"/>
      <c r="AH80" s="144" t="str">
        <f>IF(AG80=0,"",IFERROR(AG80/AG$19,""))</f>
        <v/>
      </c>
      <c r="AI80" s="145">
        <f>IF(AND($AA80="",AG80=""),"",$AA80-AG80)</f>
        <v>0</v>
      </c>
    </row>
    <row r="81" spans="1:35" x14ac:dyDescent="0.3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3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c r="P82" s="507"/>
      <c r="Q82" s="507">
        <v>555</v>
      </c>
      <c r="R82" s="507"/>
      <c r="S82" s="507"/>
      <c r="T82" s="507"/>
      <c r="U82" s="507"/>
      <c r="V82" s="507"/>
      <c r="W82" s="507"/>
      <c r="X82" s="507"/>
      <c r="Y82" s="507">
        <v>4938</v>
      </c>
      <c r="Z82" s="507"/>
      <c r="AA82" s="507">
        <f>SUM(O82:Z82)</f>
        <v>5493</v>
      </c>
      <c r="AB82" s="508">
        <f>IF(AA82=0,"",IFERROR(AA82/AA$19,""))</f>
        <v>1</v>
      </c>
      <c r="AC82" s="140"/>
      <c r="AD82" s="507">
        <v>93020.2</v>
      </c>
      <c r="AE82" s="508">
        <f>IF(AD82=0,"",IFERROR(AD82/AD$19,""))</f>
        <v>1</v>
      </c>
      <c r="AF82" s="509">
        <f>IF(AND($AA82="",AD82=""),"",$AA82-AD82)</f>
        <v>-87527.2</v>
      </c>
      <c r="AG82" s="507">
        <v>2751</v>
      </c>
      <c r="AH82" s="508">
        <f>IF(AG82=0,"",IFERROR(AG82/AG$19,""))</f>
        <v>1</v>
      </c>
      <c r="AI82" s="509">
        <f>IF(AND($AA82="",AG82=""),"",$AA82-AG82)</f>
        <v>2742</v>
      </c>
    </row>
    <row r="83" spans="1:35" x14ac:dyDescent="0.35">
      <c r="A83" s="11"/>
      <c r="B83" s="11"/>
      <c r="C83" s="208"/>
      <c r="D83" s="11"/>
      <c r="E83" s="11"/>
      <c r="F83" s="11"/>
      <c r="G83" s="11"/>
      <c r="H83" s="185" t="s">
        <v>331</v>
      </c>
      <c r="I83" s="122" t="str">
        <f>IF(_epmOfflineCondition_,"T2",_xll.EVPRO($B$1,$H83,"STYLE"))</f>
        <v>T2</v>
      </c>
      <c r="J83" s="122" t="str">
        <f>IF(_epmOfflineCondition_,"Y",_xll.EVPRO($B$1,$H83,"CALC"))</f>
        <v>Y</v>
      </c>
      <c r="K83" s="11"/>
      <c r="L83" s="90" t="str">
        <f>IF(_epmOfflineCondition_,"946000",_xll.EVPRO($B$1,H83,"JDEID"))</f>
        <v>946000</v>
      </c>
      <c r="M83" s="90" t="str">
        <f>IF(_epmOfflineCondition_,"",IF(AND(I83="N",J83="N"),_xll.EVPRO($B$1,H83,"PSFTID"),""))</f>
        <v/>
      </c>
      <c r="N83" s="90" t="str">
        <f>IF(_epmOfflineCondition_,"Total Customers",IF(_xll.EVDES(H83,$B$1)="#NODATA","",_xll.EVDES(H83,$B$1)))</f>
        <v>Total Customers</v>
      </c>
      <c r="O83" s="507"/>
      <c r="P83" s="507"/>
      <c r="Q83" s="507">
        <v>10</v>
      </c>
      <c r="R83" s="507"/>
      <c r="S83" s="507"/>
      <c r="T83" s="507"/>
      <c r="U83" s="507">
        <v>5</v>
      </c>
      <c r="V83" s="507"/>
      <c r="W83" s="507"/>
      <c r="X83" s="507"/>
      <c r="Y83" s="507">
        <v>74</v>
      </c>
      <c r="Z83" s="507"/>
      <c r="AA83" s="507">
        <f>SUM(O83:Z83)</f>
        <v>89</v>
      </c>
      <c r="AB83" s="508">
        <f>IF(AA83=0,"",IFERROR(AA83/AA$20,""))</f>
        <v>1</v>
      </c>
      <c r="AC83" s="140"/>
      <c r="AD83" s="507">
        <v>1431.08</v>
      </c>
      <c r="AE83" s="508">
        <f>IF(AD83=0,"",IFERROR(AD83/AD$20,""))</f>
        <v>1</v>
      </c>
      <c r="AF83" s="509">
        <f>IF(AND($AA83="",AD83=""),"",$AA83-AD83)</f>
        <v>-1342.08</v>
      </c>
      <c r="AG83" s="507">
        <v>130</v>
      </c>
      <c r="AH83" s="508">
        <f>IF(AG83=0,"",IFERROR(AG83/AG$20,""))</f>
        <v>1</v>
      </c>
      <c r="AI83" s="509">
        <f>IF(AND($AA83="",AG83=""),"",$AA83-AG83)</f>
        <v>-41</v>
      </c>
    </row>
    <row r="84" spans="1:35" x14ac:dyDescent="0.35">
      <c r="A84" s="11"/>
      <c r="B84" s="11"/>
      <c r="C84" s="208"/>
      <c r="D84" s="11"/>
      <c r="E84" s="11"/>
      <c r="F84" s="11"/>
      <c r="G84" s="11"/>
      <c r="H84" s="185" t="s">
        <v>311</v>
      </c>
      <c r="I84" s="122" t="str">
        <f>IF(_epmOfflineCondition_,"N",_xll.EVPRO($B$1,$H84,"STYLE"))</f>
        <v>N</v>
      </c>
      <c r="J84" s="122" t="str">
        <f>IF(_epmOfflineCondition_,"Y",_xll.EVPRO($B$1,$H84,"CALC"))</f>
        <v>Y</v>
      </c>
      <c r="K84" s="11"/>
      <c r="L84" s="90"/>
      <c r="M84" s="90"/>
      <c r="N84" s="90" t="str">
        <f>IF(_epmOfflineCondition_,"Total Average Check",IF(_xll.EVDES(H84,$B$1)="#NODATA","",_xll.EVDES(H84,$B$1)))</f>
        <v>Total Average Check</v>
      </c>
      <c r="O84" s="495"/>
      <c r="P84" s="495"/>
      <c r="Q84" s="495">
        <v>55.5</v>
      </c>
      <c r="R84" s="495"/>
      <c r="S84" s="495"/>
      <c r="T84" s="495"/>
      <c r="U84" s="495"/>
      <c r="V84" s="495"/>
      <c r="W84" s="495"/>
      <c r="X84" s="495"/>
      <c r="Y84" s="495">
        <v>66.729729729729698</v>
      </c>
      <c r="Z84" s="495"/>
      <c r="AA84" s="495">
        <f>IFERROR(AA82/AA83,"")</f>
        <v>61.719101123595507</v>
      </c>
      <c r="AB84" s="495"/>
      <c r="AC84" s="140"/>
      <c r="AD84" s="495">
        <v>65</v>
      </c>
      <c r="AE84" s="495"/>
      <c r="AF84" s="496">
        <f>IF(AND($AA84="",AD84=""),"",$AA84-AD84)</f>
        <v>-3.2808988764044926</v>
      </c>
      <c r="AG84" s="495">
        <v>21.161538461538498</v>
      </c>
      <c r="AH84" s="495"/>
      <c r="AI84" s="496">
        <f>IF(AND($AA84="",AG84=""),"",$AA84-AG84)</f>
        <v>40.557562662057009</v>
      </c>
    </row>
    <row r="85" spans="1:35" x14ac:dyDescent="0.35">
      <c r="A85" s="11"/>
      <c r="B85" s="11"/>
      <c r="C85" s="208"/>
      <c r="D85" s="11"/>
      <c r="E85" s="11"/>
      <c r="F85" s="11"/>
      <c r="G85" s="11"/>
      <c r="H85" s="185"/>
      <c r="I85" s="122"/>
      <c r="J85" s="122"/>
      <c r="K85" s="11"/>
      <c r="L85" s="90"/>
      <c r="M85" s="90"/>
      <c r="N85" s="90"/>
      <c r="O85" s="174"/>
      <c r="P85" s="175"/>
      <c r="Q85" s="175"/>
      <c r="R85" s="175"/>
      <c r="S85" s="175"/>
      <c r="T85" s="175"/>
      <c r="U85" s="175"/>
      <c r="V85" s="175"/>
      <c r="W85" s="175"/>
      <c r="X85" s="175"/>
      <c r="Y85" s="175"/>
      <c r="Z85" s="175"/>
      <c r="AA85" s="175"/>
      <c r="AB85" s="176"/>
      <c r="AC85" s="140"/>
      <c r="AD85" s="174"/>
      <c r="AE85" s="175"/>
      <c r="AF85" s="176"/>
      <c r="AG85" s="174"/>
      <c r="AH85" s="175"/>
      <c r="AI85" s="176"/>
    </row>
    <row r="86" spans="1:35" x14ac:dyDescent="0.35">
      <c r="A86" s="11"/>
      <c r="B86" s="11"/>
      <c r="C86" s="208"/>
      <c r="D86" s="11"/>
      <c r="E86" s="11"/>
      <c r="F86" s="11"/>
      <c r="G86" s="11"/>
      <c r="H86" s="185"/>
      <c r="I86" s="122"/>
      <c r="J86" s="122"/>
      <c r="K86" s="11"/>
      <c r="L86" s="90"/>
      <c r="M86" s="90"/>
      <c r="N86" s="53" t="s">
        <v>343</v>
      </c>
      <c r="O86" s="514"/>
      <c r="P86" s="459"/>
      <c r="Q86" s="459"/>
      <c r="R86" s="459"/>
      <c r="S86" s="459"/>
      <c r="T86" s="459"/>
      <c r="U86" s="459"/>
      <c r="V86" s="459"/>
      <c r="W86" s="459"/>
      <c r="X86" s="459"/>
      <c r="Y86" s="459"/>
      <c r="Z86" s="459"/>
      <c r="AA86" s="459"/>
      <c r="AB86" s="515"/>
      <c r="AC86" s="140"/>
      <c r="AD86" s="516"/>
      <c r="AE86" s="517"/>
      <c r="AF86" s="161"/>
      <c r="AG86" s="459"/>
      <c r="AH86" s="517"/>
      <c r="AI86" s="161"/>
    </row>
    <row r="87" spans="1:35" x14ac:dyDescent="0.35">
      <c r="A87" s="11"/>
      <c r="B87" s="11"/>
      <c r="C87" s="208"/>
      <c r="D87" s="11"/>
      <c r="E87" s="11"/>
      <c r="F87" s="11"/>
      <c r="G87" s="11"/>
      <c r="H87" s="185"/>
      <c r="I87" s="122"/>
      <c r="J87" s="122"/>
      <c r="K87" s="11"/>
      <c r="L87" s="90"/>
      <c r="M87" s="90"/>
      <c r="N87" s="53" t="s">
        <v>337</v>
      </c>
      <c r="O87" s="162"/>
      <c r="P87" s="163"/>
      <c r="Q87" s="163"/>
      <c r="R87" s="163"/>
      <c r="S87" s="163"/>
      <c r="T87" s="163"/>
      <c r="U87" s="163"/>
      <c r="V87" s="163"/>
      <c r="W87" s="163"/>
      <c r="X87" s="163"/>
      <c r="Y87" s="163"/>
      <c r="Z87" s="163"/>
      <c r="AA87" s="163"/>
      <c r="AB87" s="164"/>
      <c r="AC87" s="140"/>
      <c r="AD87" s="162"/>
      <c r="AE87" s="163"/>
      <c r="AF87" s="164"/>
      <c r="AG87" s="163"/>
      <c r="AH87" s="163"/>
      <c r="AI87" s="164"/>
    </row>
    <row r="88" spans="1:35" x14ac:dyDescent="0.35">
      <c r="A88" s="11"/>
      <c r="B88" s="11"/>
      <c r="C88" s="208"/>
      <c r="D88" s="11"/>
      <c r="E88" s="11"/>
      <c r="F88" s="11"/>
      <c r="G88" s="11"/>
      <c r="H88" s="185" t="s">
        <v>294</v>
      </c>
      <c r="I88" s="122"/>
      <c r="J88" s="122"/>
      <c r="K88" s="11"/>
      <c r="L88" s="90" t="str">
        <f>IF(_epmOfflineCondition_,"461200",_xll.EVPRO($B$1,H88,"JDEID"))</f>
        <v>461200</v>
      </c>
      <c r="M88" s="90" t="str">
        <f>IF(_epmOfflineCondition_,"",IF(AND(I88="N",J88="N"),_xll.EVPRO($B$1,H88,"PSFTID"),""))</f>
        <v/>
      </c>
      <c r="N88" s="90" t="str">
        <f>IF(_epmOfflineCondition_,"Breakfast Liquor",IF(_xll.EVDES(H88,$B$1)="#NODATA","",_xll.EVDES(H88,$B$1)))</f>
        <v>Breakfast Liquor</v>
      </c>
      <c r="O88" s="143"/>
      <c r="P88" s="143"/>
      <c r="Q88" s="143"/>
      <c r="R88" s="143"/>
      <c r="S88" s="143"/>
      <c r="T88" s="143"/>
      <c r="U88" s="143"/>
      <c r="V88" s="143"/>
      <c r="W88" s="143"/>
      <c r="X88" s="143"/>
      <c r="Y88" s="143"/>
      <c r="Z88" s="143"/>
      <c r="AA88" s="143">
        <f>SUM(O88:Z88)</f>
        <v>0</v>
      </c>
      <c r="AB88" s="144" t="str">
        <f>IF(AA88=0,"",IFERROR(AA88/AA$19,""))</f>
        <v/>
      </c>
      <c r="AC88" s="140"/>
      <c r="AD88" s="143"/>
      <c r="AE88" s="144" t="str">
        <f>IF(AD88=0,"",IFERROR(AD88/AD$19,""))</f>
        <v/>
      </c>
      <c r="AF88" s="145">
        <f>IF(AND($AA88="",AD88=""),"",$AA88-AD88)</f>
        <v>0</v>
      </c>
      <c r="AG88" s="143"/>
      <c r="AH88" s="144" t="str">
        <f>IF(AG88=0,"",IFERROR(AG88/AG$19,""))</f>
        <v/>
      </c>
      <c r="AI88" s="145">
        <f>IF(AND($AA88="",AG88=""),"",$AA88-AG88)</f>
        <v>0</v>
      </c>
    </row>
    <row r="89" spans="1:35" x14ac:dyDescent="0.35">
      <c r="A89" s="11"/>
      <c r="B89" s="11"/>
      <c r="C89" s="208"/>
      <c r="D89" s="11"/>
      <c r="E89" s="11"/>
      <c r="F89" s="11"/>
      <c r="G89" s="11"/>
      <c r="H89" s="185" t="s">
        <v>301</v>
      </c>
      <c r="I89" s="122"/>
      <c r="J89" s="122"/>
      <c r="K89" s="11"/>
      <c r="L89" s="90" t="str">
        <f>IF(_epmOfflineCondition_,"462200",_xll.EVPRO($B$1,H89,"JDEID"))</f>
        <v>462200</v>
      </c>
      <c r="M89" s="90" t="str">
        <f>IF(_epmOfflineCondition_,"",IF(AND(I89="N",J89="N"),_xll.EVPRO($B$1,H89,"PSFTID"),""))</f>
        <v/>
      </c>
      <c r="N89" s="90" t="str">
        <f>IF(_epmOfflineCondition_,"Lunch Liquor",IF(_xll.EVDES(H89,$B$1)="#NODATA","",_xll.EVDES(H89,$B$1)))</f>
        <v>Lunch Liquor</v>
      </c>
      <c r="O89" s="143"/>
      <c r="P89" s="143"/>
      <c r="Q89" s="143"/>
      <c r="R89" s="143"/>
      <c r="S89" s="143"/>
      <c r="T89" s="143"/>
      <c r="U89" s="143"/>
      <c r="V89" s="143"/>
      <c r="W89" s="143"/>
      <c r="X89" s="143"/>
      <c r="Y89" s="143"/>
      <c r="Z89" s="143"/>
      <c r="AA89" s="143">
        <f>SUM(O89:Z89)</f>
        <v>0</v>
      </c>
      <c r="AB89" s="144" t="str">
        <f>IF(AA89=0,"",IFERROR(AA89/AA$19,""))</f>
        <v/>
      </c>
      <c r="AC89" s="140"/>
      <c r="AD89" s="143"/>
      <c r="AE89" s="144" t="str">
        <f>IF(AD89=0,"",IFERROR(AD89/AD$19,""))</f>
        <v/>
      </c>
      <c r="AF89" s="145">
        <f>IF(AND($AA89="",AD89=""),"",$AA89-AD89)</f>
        <v>0</v>
      </c>
      <c r="AG89" s="143"/>
      <c r="AH89" s="144" t="str">
        <f>IF(AG89=0,"",IFERROR(AG89/AG$19,""))</f>
        <v/>
      </c>
      <c r="AI89" s="145">
        <f>IF(AND($AA89="",AG89=""),"",$AA89-AG89)</f>
        <v>0</v>
      </c>
    </row>
    <row r="90" spans="1:35" x14ac:dyDescent="0.35">
      <c r="A90" s="11"/>
      <c r="B90" s="11"/>
      <c r="C90" s="208"/>
      <c r="D90" s="11"/>
      <c r="E90" s="11"/>
      <c r="F90" s="11"/>
      <c r="G90" s="11"/>
      <c r="H90" s="185" t="s">
        <v>302</v>
      </c>
      <c r="I90" s="122"/>
      <c r="J90" s="122"/>
      <c r="K90" s="11"/>
      <c r="L90" s="90" t="str">
        <f>IF(_epmOfflineCondition_,"463200",_xll.EVPRO($B$1,H90,"JDEID"))</f>
        <v>463200</v>
      </c>
      <c r="M90" s="90" t="str">
        <f>IF(_epmOfflineCondition_,"",IF(AND(I90="N",J90="N"),_xll.EVPRO($B$1,H90,"PSFTID"),""))</f>
        <v/>
      </c>
      <c r="N90" s="90" t="str">
        <f>IF(_epmOfflineCondition_,"Dinner Liquor",IF(_xll.EVDES(H90,$B$1)="#NODATA","",_xll.EVDES(H90,$B$1)))</f>
        <v>Dinner Liquor</v>
      </c>
      <c r="O90" s="143"/>
      <c r="P90" s="143"/>
      <c r="Q90" s="143"/>
      <c r="R90" s="143"/>
      <c r="S90" s="143"/>
      <c r="T90" s="143"/>
      <c r="U90" s="143"/>
      <c r="V90" s="143"/>
      <c r="W90" s="143"/>
      <c r="X90" s="143"/>
      <c r="Y90" s="143"/>
      <c r="Z90" s="143"/>
      <c r="AA90" s="143">
        <f>SUM(O90:Z90)</f>
        <v>0</v>
      </c>
      <c r="AB90" s="144" t="str">
        <f>IF(AA90=0,"",IFERROR(AA90/AA$19,""))</f>
        <v/>
      </c>
      <c r="AC90" s="140"/>
      <c r="AD90" s="143">
        <v>20464.444</v>
      </c>
      <c r="AE90" s="144">
        <f>IF(AD90=0,"",IFERROR(AD90/AD$19,""))</f>
        <v>0.22</v>
      </c>
      <c r="AF90" s="145">
        <f>IF(AND($AA90="",AD90=""),"",$AA90-AD90)</f>
        <v>-20464.444</v>
      </c>
      <c r="AG90" s="143"/>
      <c r="AH90" s="144" t="str">
        <f>IF(AG90=0,"",IFERROR(AG90/AG$19,""))</f>
        <v/>
      </c>
      <c r="AI90" s="145">
        <f>IF(AND($AA90="",AG90=""),"",$AA90-AG90)</f>
        <v>0</v>
      </c>
    </row>
    <row r="91" spans="1:35" collapsed="1" x14ac:dyDescent="0.35">
      <c r="A91" s="11"/>
      <c r="B91" s="11"/>
      <c r="C91" s="208"/>
      <c r="D91" s="11"/>
      <c r="E91" s="11"/>
      <c r="F91" s="11"/>
      <c r="G91" s="11"/>
      <c r="H91" s="185" t="s">
        <v>808</v>
      </c>
      <c r="I91" s="122"/>
      <c r="J91" s="122"/>
      <c r="K91" s="11"/>
      <c r="L91" s="90" t="str">
        <f>IF(_epmOfflineCondition_,"471210",_xll.EVPRO($B$1,H91,"JDEID"))</f>
        <v>471210</v>
      </c>
      <c r="M91" s="90" t="str">
        <f>IF(_epmOfflineCondition_,"",IF(AND(I91="N",J91="N"),_xll.EVPRO($B$1,H91,"PSFTID"),""))</f>
        <v/>
      </c>
      <c r="N91" s="90" t="str">
        <f>IF(_epmOfflineCondition_,"Reception Liquor",IF(_xll.EVDES(H91,$B$1)="#NODATA","",_xll.EVDES(H91,$B$1)))</f>
        <v>Reception Liquor</v>
      </c>
      <c r="O91" s="143"/>
      <c r="P91" s="143"/>
      <c r="Q91" s="143"/>
      <c r="R91" s="143"/>
      <c r="S91" s="143"/>
      <c r="T91" s="143"/>
      <c r="U91" s="143"/>
      <c r="V91" s="143"/>
      <c r="W91" s="143"/>
      <c r="X91" s="143"/>
      <c r="Y91" s="143"/>
      <c r="Z91" s="143"/>
      <c r="AA91" s="143">
        <f>SUM(O91:Z91)</f>
        <v>0</v>
      </c>
      <c r="AB91" s="144" t="str">
        <f>IF(AA91=0,"",IFERROR(AA91/AA$19,""))</f>
        <v/>
      </c>
      <c r="AC91" s="140"/>
      <c r="AD91" s="143"/>
      <c r="AE91" s="144" t="str">
        <f>IF(AD91=0,"",IFERROR(AD91/AD$19,""))</f>
        <v/>
      </c>
      <c r="AF91" s="145">
        <f>IF(AND($AA91="",AD91=""),"",$AA91-AD91)</f>
        <v>0</v>
      </c>
      <c r="AG91" s="143"/>
      <c r="AH91" s="144" t="str">
        <f>IF(AG91=0,"",IFERROR(AG91/AG$19,""))</f>
        <v/>
      </c>
      <c r="AI91" s="145">
        <f>IF(AND($AA91="",AG91=""),"",$AA91-AG91)</f>
        <v>0</v>
      </c>
    </row>
    <row r="92" spans="1:35" x14ac:dyDescent="0.35">
      <c r="A92" s="11"/>
      <c r="B92" s="11"/>
      <c r="C92" s="208"/>
      <c r="D92" s="11"/>
      <c r="E92" s="11"/>
      <c r="F92" s="11"/>
      <c r="G92" s="11"/>
      <c r="H92" s="185" t="s">
        <v>340</v>
      </c>
      <c r="I92" s="122"/>
      <c r="J92" s="122"/>
      <c r="K92" s="11"/>
      <c r="L92" s="90" t="str">
        <f>IF(_epmOfflineCondition_,"",_xll.EVPRO($B$1,H92,"JDEID"))</f>
        <v/>
      </c>
      <c r="M92" s="90" t="str">
        <f>IF(_epmOfflineCondition_,"",IF(AND(I92="N",J92="N"),_xll.EVPRO($B$1,H92,"PSFTID"),""))</f>
        <v/>
      </c>
      <c r="N92" s="106" t="str">
        <f>IF(_epmOfflineCondition_,"Liquor Revenue ",IF(_xll.EVDES(H92,$B$1)="#NODATA","",_xll.EVDES(H92,$B$1)))</f>
        <v xml:space="preserve">Liquor Revenue </v>
      </c>
      <c r="O92" s="166"/>
      <c r="P92" s="166"/>
      <c r="Q92" s="166"/>
      <c r="R92" s="166"/>
      <c r="S92" s="166"/>
      <c r="T92" s="166"/>
      <c r="U92" s="166"/>
      <c r="V92" s="166"/>
      <c r="W92" s="166"/>
      <c r="X92" s="166"/>
      <c r="Y92" s="166"/>
      <c r="Z92" s="166"/>
      <c r="AA92" s="166">
        <f>SUM(O92:Z92)</f>
        <v>0</v>
      </c>
      <c r="AB92" s="167" t="str">
        <f>IF(AA92=0,"",IFERROR(AA92/AA$19,""))</f>
        <v/>
      </c>
      <c r="AC92" s="140"/>
      <c r="AD92" s="166">
        <v>20464.444</v>
      </c>
      <c r="AE92" s="167">
        <f>IF(AD92=0,"",IFERROR(AD92/AD$19,""))</f>
        <v>0.22</v>
      </c>
      <c r="AF92" s="168">
        <f>IF(AND($AA92="",AD92=""),"",$AA92-AD92)</f>
        <v>-20464.444</v>
      </c>
      <c r="AG92" s="166"/>
      <c r="AH92" s="167" t="str">
        <f>IF(AG92=0,"",IFERROR(AG92/AG$19,""))</f>
        <v/>
      </c>
      <c r="AI92" s="168">
        <f>IF(AND($AA92="",AG92=""),"",$AA92-AG92)</f>
        <v>0</v>
      </c>
    </row>
    <row r="93" spans="1:35" x14ac:dyDescent="0.35">
      <c r="A93" s="11"/>
      <c r="B93" s="11"/>
      <c r="C93" s="208"/>
      <c r="D93" s="11"/>
      <c r="E93" s="11"/>
      <c r="F93" s="11"/>
      <c r="G93" s="11"/>
      <c r="H93" s="185"/>
      <c r="I93" s="122"/>
      <c r="J93" s="122"/>
      <c r="K93" s="11"/>
      <c r="L93" s="90"/>
      <c r="M93" s="90"/>
      <c r="N93" s="53"/>
      <c r="O93" s="174"/>
      <c r="P93" s="175"/>
      <c r="Q93" s="175"/>
      <c r="R93" s="175"/>
      <c r="S93" s="175"/>
      <c r="T93" s="175"/>
      <c r="U93" s="175"/>
      <c r="V93" s="175"/>
      <c r="W93" s="175"/>
      <c r="X93" s="175"/>
      <c r="Y93" s="175"/>
      <c r="Z93" s="175"/>
      <c r="AA93" s="175"/>
      <c r="AB93" s="176"/>
      <c r="AC93" s="140"/>
      <c r="AD93" s="174"/>
      <c r="AE93" s="175"/>
      <c r="AF93" s="176"/>
      <c r="AG93" s="174"/>
      <c r="AH93" s="175"/>
      <c r="AI93" s="176"/>
    </row>
    <row r="94" spans="1:35" x14ac:dyDescent="0.35">
      <c r="A94" s="11"/>
      <c r="B94" s="11"/>
      <c r="C94" s="208"/>
      <c r="D94" s="11"/>
      <c r="E94" s="11"/>
      <c r="F94" s="11"/>
      <c r="G94" s="11"/>
      <c r="H94" s="185"/>
      <c r="I94" s="122"/>
      <c r="J94" s="122"/>
      <c r="K94" s="11"/>
      <c r="L94" s="90"/>
      <c r="M94" s="90"/>
      <c r="N94" s="53" t="s">
        <v>339</v>
      </c>
      <c r="O94" s="162"/>
      <c r="P94" s="163"/>
      <c r="Q94" s="163"/>
      <c r="R94" s="163"/>
      <c r="S94" s="163"/>
      <c r="T94" s="163"/>
      <c r="U94" s="163"/>
      <c r="V94" s="163"/>
      <c r="W94" s="163"/>
      <c r="X94" s="163"/>
      <c r="Y94" s="163"/>
      <c r="Z94" s="163"/>
      <c r="AA94" s="163"/>
      <c r="AB94" s="164"/>
      <c r="AC94" s="140"/>
      <c r="AD94" s="162"/>
      <c r="AE94" s="163"/>
      <c r="AF94" s="164"/>
      <c r="AG94" s="162"/>
      <c r="AH94" s="163"/>
      <c r="AI94" s="164"/>
    </row>
    <row r="95" spans="1:35" x14ac:dyDescent="0.35">
      <c r="A95" s="11"/>
      <c r="B95" s="11"/>
      <c r="C95" s="208"/>
      <c r="D95" s="11"/>
      <c r="E95" s="11"/>
      <c r="F95" s="11"/>
      <c r="G95" s="11"/>
      <c r="H95" s="185" t="s">
        <v>295</v>
      </c>
      <c r="I95" s="122"/>
      <c r="J95" s="122"/>
      <c r="K95" s="11"/>
      <c r="L95" s="90" t="str">
        <f>IF(_epmOfflineCondition_,"461300",_xll.EVPRO($B$1,H95,"JDEID"))</f>
        <v>461300</v>
      </c>
      <c r="M95" s="90" t="str">
        <f>IF(_epmOfflineCondition_,"",IF(AND(I95="N",J95="N"),_xll.EVPRO($B$1,H95,"PSFTID"),""))</f>
        <v/>
      </c>
      <c r="N95" s="90" t="str">
        <f>IF(_epmOfflineCondition_,"Breakfast Beer",IF(_xll.EVDES(H95,$B$1)="#NODATA","",_xll.EVDES(H95,$B$1)))</f>
        <v>Breakfast Beer</v>
      </c>
      <c r="O95" s="143"/>
      <c r="P95" s="143"/>
      <c r="Q95" s="143"/>
      <c r="R95" s="143"/>
      <c r="S95" s="143"/>
      <c r="T95" s="143"/>
      <c r="U95" s="143"/>
      <c r="V95" s="143"/>
      <c r="W95" s="143"/>
      <c r="X95" s="143"/>
      <c r="Y95" s="143"/>
      <c r="Z95" s="143"/>
      <c r="AA95" s="143">
        <f>SUM(O95:Z95)</f>
        <v>0</v>
      </c>
      <c r="AB95" s="144" t="str">
        <f>IF(AA95=0,"",IFERROR(AA95/AA$19,""))</f>
        <v/>
      </c>
      <c r="AC95" s="140"/>
      <c r="AD95" s="143"/>
      <c r="AE95" s="144" t="str">
        <f>IF(AD95=0,"",IFERROR(AD95/AD$19,""))</f>
        <v/>
      </c>
      <c r="AF95" s="145">
        <f>IF(AND($AA95="",AD95=""),"",$AA95-AD95)</f>
        <v>0</v>
      </c>
      <c r="AG95" s="143"/>
      <c r="AH95" s="144" t="str">
        <f>IF(AG95=0,"",IFERROR(AG95/AG$19,""))</f>
        <v/>
      </c>
      <c r="AI95" s="145">
        <f>IF(AND($AA95="",AG95=""),"",$AA95-AG95)</f>
        <v>0</v>
      </c>
    </row>
    <row r="96" spans="1:35" x14ac:dyDescent="0.35">
      <c r="A96" s="11"/>
      <c r="B96" s="11"/>
      <c r="C96" s="208"/>
      <c r="D96" s="11"/>
      <c r="E96" s="11"/>
      <c r="F96" s="11"/>
      <c r="G96" s="11"/>
      <c r="H96" s="185" t="s">
        <v>305</v>
      </c>
      <c r="I96" s="122"/>
      <c r="J96" s="122"/>
      <c r="K96" s="11"/>
      <c r="L96" s="90" t="str">
        <f>IF(_epmOfflineCondition_,"462300",_xll.EVPRO($B$1,H96,"JDEID"))</f>
        <v>462300</v>
      </c>
      <c r="M96" s="90" t="str">
        <f>IF(_epmOfflineCondition_,"",IF(AND(I96="N",J96="N"),_xll.EVPRO($B$1,H96,"PSFTID"),""))</f>
        <v/>
      </c>
      <c r="N96" s="90" t="str">
        <f>IF(_epmOfflineCondition_,"Lunch Beer",IF(_xll.EVDES(H96,$B$1)="#NODATA","",_xll.EVDES(H96,$B$1)))</f>
        <v>Lunch Beer</v>
      </c>
      <c r="O96" s="143"/>
      <c r="P96" s="143"/>
      <c r="Q96" s="143"/>
      <c r="R96" s="143"/>
      <c r="S96" s="143"/>
      <c r="T96" s="143"/>
      <c r="U96" s="143"/>
      <c r="V96" s="143"/>
      <c r="W96" s="143"/>
      <c r="X96" s="143"/>
      <c r="Y96" s="143"/>
      <c r="Z96" s="143"/>
      <c r="AA96" s="143">
        <f>SUM(O96:Z96)</f>
        <v>0</v>
      </c>
      <c r="AB96" s="144" t="str">
        <f>IF(AA96=0,"",IFERROR(AA96/AA$19,""))</f>
        <v/>
      </c>
      <c r="AC96" s="140"/>
      <c r="AD96" s="143"/>
      <c r="AE96" s="144" t="str">
        <f>IF(AD96=0,"",IFERROR(AD96/AD$19,""))</f>
        <v/>
      </c>
      <c r="AF96" s="145">
        <f>IF(AND($AA96="",AD96=""),"",$AA96-AD96)</f>
        <v>0</v>
      </c>
      <c r="AG96" s="143"/>
      <c r="AH96" s="144" t="str">
        <f>IF(AG96=0,"",IFERROR(AG96/AG$19,""))</f>
        <v/>
      </c>
      <c r="AI96" s="145">
        <f>IF(AND($AA96="",AG96=""),"",$AA96-AG96)</f>
        <v>0</v>
      </c>
    </row>
    <row r="97" spans="1:35" x14ac:dyDescent="0.35">
      <c r="A97" s="11"/>
      <c r="B97" s="11"/>
      <c r="C97" s="208"/>
      <c r="D97" s="11"/>
      <c r="E97" s="11"/>
      <c r="F97" s="11"/>
      <c r="G97" s="11"/>
      <c r="H97" s="185" t="s">
        <v>306</v>
      </c>
      <c r="I97" s="122"/>
      <c r="J97" s="122"/>
      <c r="K97" s="11"/>
      <c r="L97" s="90" t="str">
        <f>IF(_epmOfflineCondition_,"463300",_xll.EVPRO($B$1,H97,"JDEID"))</f>
        <v>463300</v>
      </c>
      <c r="M97" s="90" t="str">
        <f>IF(_epmOfflineCondition_,"",IF(AND(I97="N",J97="N"),_xll.EVPRO($B$1,H97,"PSFTID"),""))</f>
        <v/>
      </c>
      <c r="N97" s="90" t="str">
        <f>IF(_epmOfflineCondition_,"Dinner Beer",IF(_xll.EVDES(H97,$B$1)="#NODATA","",_xll.EVDES(H97,$B$1)))</f>
        <v>Dinner Beer</v>
      </c>
      <c r="O97" s="143"/>
      <c r="P97" s="143"/>
      <c r="Q97" s="143"/>
      <c r="R97" s="143"/>
      <c r="S97" s="143"/>
      <c r="T97" s="143"/>
      <c r="U97" s="143"/>
      <c r="V97" s="143"/>
      <c r="W97" s="143"/>
      <c r="X97" s="143"/>
      <c r="Y97" s="143"/>
      <c r="Z97" s="143"/>
      <c r="AA97" s="143">
        <f>SUM(O97:Z97)</f>
        <v>0</v>
      </c>
      <c r="AB97" s="144" t="str">
        <f>IF(AA97=0,"",IFERROR(AA97/AA$19,""))</f>
        <v/>
      </c>
      <c r="AC97" s="140"/>
      <c r="AD97" s="143">
        <v>3720.808</v>
      </c>
      <c r="AE97" s="144">
        <f>IF(AD97=0,"",IFERROR(AD97/AD$19,""))</f>
        <v>0.04</v>
      </c>
      <c r="AF97" s="145">
        <f>IF(AND($AA97="",AD97=""),"",$AA97-AD97)</f>
        <v>-3720.808</v>
      </c>
      <c r="AG97" s="143"/>
      <c r="AH97" s="144" t="str">
        <f>IF(AG97=0,"",IFERROR(AG97/AG$19,""))</f>
        <v/>
      </c>
      <c r="AI97" s="145">
        <f>IF(AND($AA97="",AG97=""),"",$AA97-AG97)</f>
        <v>0</v>
      </c>
    </row>
    <row r="98" spans="1:35" x14ac:dyDescent="0.35">
      <c r="A98" s="11"/>
      <c r="B98" s="11"/>
      <c r="C98" s="208"/>
      <c r="D98" s="11"/>
      <c r="E98" s="11"/>
      <c r="F98" s="11"/>
      <c r="G98" s="11"/>
      <c r="H98" s="185" t="s">
        <v>809</v>
      </c>
      <c r="I98" s="122"/>
      <c r="J98" s="122"/>
      <c r="K98" s="11"/>
      <c r="L98" s="90" t="str">
        <f>IF(_epmOfflineCondition_,"471310",_xll.EVPRO($B$1,H98,"JDEID"))</f>
        <v>471310</v>
      </c>
      <c r="M98" s="90" t="str">
        <f>IF(_epmOfflineCondition_,"",IF(AND(I98="N",J98="N"),_xll.EVPRO($B$1,H98,"PSFTID"),""))</f>
        <v/>
      </c>
      <c r="N98" s="90" t="str">
        <f>IF(_epmOfflineCondition_,"Reception Beer",IF(_xll.EVDES(H98,$B$1)="#NODATA","",_xll.EVDES(H98,$B$1)))</f>
        <v>Reception Beer</v>
      </c>
      <c r="O98" s="143"/>
      <c r="P98" s="143"/>
      <c r="Q98" s="143"/>
      <c r="R98" s="143"/>
      <c r="S98" s="143"/>
      <c r="T98" s="143"/>
      <c r="U98" s="143"/>
      <c r="V98" s="143"/>
      <c r="W98" s="143"/>
      <c r="X98" s="143"/>
      <c r="Y98" s="143"/>
      <c r="Z98" s="143"/>
      <c r="AA98" s="143">
        <f>SUM(O98:Z98)</f>
        <v>0</v>
      </c>
      <c r="AB98" s="144" t="str">
        <f>IF(AA98=0,"",IFERROR(AA98/AA$19,""))</f>
        <v/>
      </c>
      <c r="AC98" s="140"/>
      <c r="AD98" s="143"/>
      <c r="AE98" s="144" t="str">
        <f>IF(AD98=0,"",IFERROR(AD98/AD$19,""))</f>
        <v/>
      </c>
      <c r="AF98" s="145">
        <f>IF(AND($AA98="",AD98=""),"",$AA98-AD98)</f>
        <v>0</v>
      </c>
      <c r="AG98" s="143"/>
      <c r="AH98" s="144" t="str">
        <f>IF(AG98=0,"",IFERROR(AG98/AG$19,""))</f>
        <v/>
      </c>
      <c r="AI98" s="145">
        <f>IF(AND($AA98="",AG98=""),"",$AA98-AG98)</f>
        <v>0</v>
      </c>
    </row>
    <row r="99" spans="1:35" x14ac:dyDescent="0.35">
      <c r="A99" s="11"/>
      <c r="B99" s="11"/>
      <c r="C99" s="208"/>
      <c r="D99" s="11"/>
      <c r="E99" s="11"/>
      <c r="F99" s="11"/>
      <c r="G99" s="11"/>
      <c r="H99" s="185" t="s">
        <v>342</v>
      </c>
      <c r="I99" s="122"/>
      <c r="J99" s="122"/>
      <c r="K99" s="11"/>
      <c r="L99" s="90" t="str">
        <f>IF(_epmOfflineCondition_,"",_xll.EVPRO($B$1,H99,"JDEID"))</f>
        <v/>
      </c>
      <c r="M99" s="90" t="str">
        <f>IF(_epmOfflineCondition_,"",IF(AND(I99="N",J99="N"),_xll.EVPRO($B$1,H99,"PSFTID"),""))</f>
        <v/>
      </c>
      <c r="N99" s="106" t="str">
        <f>IF(_epmOfflineCondition_,"Beer Revenue",IF(_xll.EVDES(H99,$B$1)="#NODATA","",_xll.EVDES(H99,$B$1)))</f>
        <v>Beer Revenue</v>
      </c>
      <c r="O99" s="166"/>
      <c r="P99" s="166"/>
      <c r="Q99" s="166"/>
      <c r="R99" s="166"/>
      <c r="S99" s="166"/>
      <c r="T99" s="166"/>
      <c r="U99" s="166"/>
      <c r="V99" s="166"/>
      <c r="W99" s="166"/>
      <c r="X99" s="166"/>
      <c r="Y99" s="166"/>
      <c r="Z99" s="166"/>
      <c r="AA99" s="166">
        <f>SUM(O99:Z99)</f>
        <v>0</v>
      </c>
      <c r="AB99" s="167" t="str">
        <f>IF(AA99=0,"",IFERROR(AA99/AA$19,""))</f>
        <v/>
      </c>
      <c r="AC99" s="140"/>
      <c r="AD99" s="166">
        <v>3720.808</v>
      </c>
      <c r="AE99" s="167">
        <f>IF(AD99=0,"",IFERROR(AD99/AD$19,""))</f>
        <v>0.04</v>
      </c>
      <c r="AF99" s="168">
        <f>IF(AND($AA99="",AD99=""),"",$AA99-AD99)</f>
        <v>-3720.808</v>
      </c>
      <c r="AG99" s="166"/>
      <c r="AH99" s="167" t="str">
        <f>IF(AG99=0,"",IFERROR(AG99/AG$19,""))</f>
        <v/>
      </c>
      <c r="AI99" s="168">
        <f>IF(AND($AA99="",AG99=""),"",$AA99-AG99)</f>
        <v>0</v>
      </c>
    </row>
    <row r="100" spans="1:35" x14ac:dyDescent="0.35">
      <c r="A100" s="11"/>
      <c r="B100" s="11"/>
      <c r="C100" s="208"/>
      <c r="D100" s="11"/>
      <c r="E100" s="11"/>
      <c r="F100" s="11"/>
      <c r="G100" s="11"/>
      <c r="H100" s="185"/>
      <c r="I100" s="122"/>
      <c r="J100" s="122"/>
      <c r="K100" s="11"/>
      <c r="L100" s="90"/>
      <c r="M100" s="90"/>
      <c r="N100" s="53"/>
      <c r="O100" s="174"/>
      <c r="P100" s="175"/>
      <c r="Q100" s="175"/>
      <c r="R100" s="175"/>
      <c r="S100" s="175"/>
      <c r="T100" s="175"/>
      <c r="U100" s="175"/>
      <c r="V100" s="175"/>
      <c r="W100" s="175"/>
      <c r="X100" s="175"/>
      <c r="Y100" s="175"/>
      <c r="Z100" s="175"/>
      <c r="AA100" s="175"/>
      <c r="AB100" s="176"/>
      <c r="AC100" s="140"/>
      <c r="AD100" s="174"/>
      <c r="AE100" s="175"/>
      <c r="AF100" s="176"/>
      <c r="AG100" s="174"/>
      <c r="AH100" s="175"/>
      <c r="AI100" s="176"/>
    </row>
    <row r="101" spans="1:35" x14ac:dyDescent="0.35">
      <c r="A101" s="11"/>
      <c r="B101" s="11"/>
      <c r="C101" s="208"/>
      <c r="D101" s="11"/>
      <c r="E101" s="11"/>
      <c r="F101" s="11"/>
      <c r="G101" s="11"/>
      <c r="H101" s="185"/>
      <c r="I101" s="122"/>
      <c r="J101" s="122"/>
      <c r="K101" s="11"/>
      <c r="L101" s="90"/>
      <c r="M101" s="90"/>
      <c r="N101" s="53" t="s">
        <v>338</v>
      </c>
      <c r="O101" s="162"/>
      <c r="P101" s="163"/>
      <c r="Q101" s="163"/>
      <c r="R101" s="163"/>
      <c r="S101" s="163"/>
      <c r="T101" s="163"/>
      <c r="U101" s="163"/>
      <c r="V101" s="163"/>
      <c r="W101" s="163"/>
      <c r="X101" s="163"/>
      <c r="Y101" s="163"/>
      <c r="Z101" s="163"/>
      <c r="AA101" s="163"/>
      <c r="AB101" s="164"/>
      <c r="AC101" s="140"/>
      <c r="AD101" s="162"/>
      <c r="AE101" s="163"/>
      <c r="AF101" s="164"/>
      <c r="AG101" s="162"/>
      <c r="AH101" s="163"/>
      <c r="AI101" s="164"/>
    </row>
    <row r="102" spans="1:35" x14ac:dyDescent="0.35">
      <c r="A102" s="11"/>
      <c r="B102" s="11"/>
      <c r="C102" s="208"/>
      <c r="D102" s="11"/>
      <c r="E102" s="11"/>
      <c r="F102" s="11"/>
      <c r="G102" s="11"/>
      <c r="H102" s="185" t="s">
        <v>296</v>
      </c>
      <c r="I102" s="122"/>
      <c r="J102" s="122"/>
      <c r="K102" s="11"/>
      <c r="L102" s="90" t="str">
        <f>IF(_epmOfflineCondition_,"461400",_xll.EVPRO($B$1,H102,"JDEID"))</f>
        <v>461400</v>
      </c>
      <c r="M102" s="90" t="str">
        <f>IF(_epmOfflineCondition_,"",IF(AND(I102="N",J102="N"),_xll.EVPRO($B$1,H102,"PSFTID"),""))</f>
        <v/>
      </c>
      <c r="N102" s="90" t="str">
        <f>IF(_epmOfflineCondition_,"Breakfast Wine",IF(_xll.EVDES(H102,$B$1)="#NODATA","",_xll.EVDES(H102,$B$1)))</f>
        <v>Breakfast Wine</v>
      </c>
      <c r="O102" s="143"/>
      <c r="P102" s="143"/>
      <c r="Q102" s="143"/>
      <c r="R102" s="143"/>
      <c r="S102" s="143"/>
      <c r="T102" s="143"/>
      <c r="U102" s="143"/>
      <c r="V102" s="143"/>
      <c r="W102" s="143"/>
      <c r="X102" s="143"/>
      <c r="Y102" s="143"/>
      <c r="Z102" s="143"/>
      <c r="AA102" s="143">
        <f>SUM(O102:Z102)</f>
        <v>0</v>
      </c>
      <c r="AB102" s="144" t="str">
        <f>IF(AA102=0,"",IFERROR(AA102/AA$19,""))</f>
        <v/>
      </c>
      <c r="AC102" s="140"/>
      <c r="AD102" s="143"/>
      <c r="AE102" s="144" t="str">
        <f>IF(AD102=0,"",IFERROR(AD102/AD$19,""))</f>
        <v/>
      </c>
      <c r="AF102" s="145">
        <f>IF(AND($AA102="",AD102=""),"",$AA102-AD102)</f>
        <v>0</v>
      </c>
      <c r="AG102" s="143"/>
      <c r="AH102" s="144" t="str">
        <f>IF(AG102=0,"",IFERROR(AG102/AG$19,""))</f>
        <v/>
      </c>
      <c r="AI102" s="145">
        <f>IF(AND($AA102="",AG102=""),"",$AA102-AG102)</f>
        <v>0</v>
      </c>
    </row>
    <row r="103" spans="1:35" x14ac:dyDescent="0.35">
      <c r="A103" s="11"/>
      <c r="B103" s="11"/>
      <c r="C103" s="208"/>
      <c r="D103" s="11"/>
      <c r="E103" s="11"/>
      <c r="F103" s="11"/>
      <c r="G103" s="11"/>
      <c r="H103" s="185" t="s">
        <v>303</v>
      </c>
      <c r="I103" s="122"/>
      <c r="J103" s="122"/>
      <c r="K103" s="11"/>
      <c r="L103" s="90" t="str">
        <f>IF(_epmOfflineCondition_,"462400",_xll.EVPRO($B$1,H103,"JDEID"))</f>
        <v>462400</v>
      </c>
      <c r="M103" s="90" t="str">
        <f>IF(_epmOfflineCondition_,"",IF(AND(I103="N",J103="N"),_xll.EVPRO($B$1,H103,"PSFTID"),""))</f>
        <v/>
      </c>
      <c r="N103" s="90" t="str">
        <f>IF(_epmOfflineCondition_,"Lunch Wine",IF(_xll.EVDES(H103,$B$1)="#NODATA","",_xll.EVDES(H103,$B$1)))</f>
        <v>Lunch Wine</v>
      </c>
      <c r="O103" s="143"/>
      <c r="P103" s="143"/>
      <c r="Q103" s="143"/>
      <c r="R103" s="143"/>
      <c r="S103" s="143"/>
      <c r="T103" s="143"/>
      <c r="U103" s="143"/>
      <c r="V103" s="143"/>
      <c r="W103" s="143"/>
      <c r="X103" s="143"/>
      <c r="Y103" s="143"/>
      <c r="Z103" s="143"/>
      <c r="AA103" s="143">
        <f>SUM(O103:Z103)</f>
        <v>0</v>
      </c>
      <c r="AB103" s="144" t="str">
        <f>IF(AA103=0,"",IFERROR(AA103/AA$19,""))</f>
        <v/>
      </c>
      <c r="AC103" s="140"/>
      <c r="AD103" s="143"/>
      <c r="AE103" s="144" t="str">
        <f>IF(AD103=0,"",IFERROR(AD103/AD$19,""))</f>
        <v/>
      </c>
      <c r="AF103" s="145">
        <f>IF(AND($AA103="",AD103=""),"",$AA103-AD103)</f>
        <v>0</v>
      </c>
      <c r="AG103" s="143"/>
      <c r="AH103" s="144" t="str">
        <f>IF(AG103=0,"",IFERROR(AG103/AG$19,""))</f>
        <v/>
      </c>
      <c r="AI103" s="145">
        <f>IF(AND($AA103="",AG103=""),"",$AA103-AG103)</f>
        <v>0</v>
      </c>
    </row>
    <row r="104" spans="1:35" x14ac:dyDescent="0.35">
      <c r="A104" s="11"/>
      <c r="B104" s="11"/>
      <c r="C104" s="208"/>
      <c r="D104" s="11"/>
      <c r="E104" s="11"/>
      <c r="F104" s="11"/>
      <c r="G104" s="11"/>
      <c r="H104" s="185" t="s">
        <v>304</v>
      </c>
      <c r="I104" s="122"/>
      <c r="J104" s="122"/>
      <c r="K104" s="11"/>
      <c r="L104" s="90" t="str">
        <f>IF(_epmOfflineCondition_,"463400",_xll.EVPRO($B$1,H104,"JDEID"))</f>
        <v>463400</v>
      </c>
      <c r="M104" s="90" t="str">
        <f>IF(_epmOfflineCondition_,"",IF(AND(I104="N",J104="N"),_xll.EVPRO($B$1,H104,"PSFTID"),""))</f>
        <v/>
      </c>
      <c r="N104" s="90" t="str">
        <f>IF(_epmOfflineCondition_,"Dinner Wine",IF(_xll.EVDES(H104,$B$1)="#NODATA","",_xll.EVDES(H104,$B$1)))</f>
        <v>Dinner Wine</v>
      </c>
      <c r="O104" s="143"/>
      <c r="P104" s="143"/>
      <c r="Q104" s="143"/>
      <c r="R104" s="143"/>
      <c r="S104" s="143"/>
      <c r="T104" s="143"/>
      <c r="U104" s="143"/>
      <c r="V104" s="143"/>
      <c r="W104" s="143"/>
      <c r="X104" s="143"/>
      <c r="Y104" s="143"/>
      <c r="Z104" s="143"/>
      <c r="AA104" s="143">
        <f>SUM(O104:Z104)</f>
        <v>0</v>
      </c>
      <c r="AB104" s="144" t="str">
        <f>IF(AA104=0,"",IFERROR(AA104/AA$19,""))</f>
        <v/>
      </c>
      <c r="AC104" s="140"/>
      <c r="AD104" s="143">
        <v>20464.444</v>
      </c>
      <c r="AE104" s="144">
        <f>IF(AD104=0,"",IFERROR(AD104/AD$19,""))</f>
        <v>0.22</v>
      </c>
      <c r="AF104" s="145">
        <f>IF(AND($AA104="",AD104=""),"",$AA104-AD104)</f>
        <v>-20464.444</v>
      </c>
      <c r="AG104" s="143"/>
      <c r="AH104" s="144" t="str">
        <f>IF(AG104=0,"",IFERROR(AG104/AG$19,""))</f>
        <v/>
      </c>
      <c r="AI104" s="145">
        <f>IF(AND($AA104="",AG104=""),"",$AA104-AG104)</f>
        <v>0</v>
      </c>
    </row>
    <row r="105" spans="1:35" x14ac:dyDescent="0.35">
      <c r="A105" s="11"/>
      <c r="B105" s="11"/>
      <c r="C105" s="208"/>
      <c r="D105" s="11"/>
      <c r="E105" s="11"/>
      <c r="F105" s="11"/>
      <c r="G105" s="11"/>
      <c r="H105" s="185" t="s">
        <v>810</v>
      </c>
      <c r="I105" s="122"/>
      <c r="J105" s="122"/>
      <c r="K105" s="11"/>
      <c r="L105" s="90" t="str">
        <f>IF(_epmOfflineCondition_,"471410",_xll.EVPRO($B$1,H105,"JDEID"))</f>
        <v>471410</v>
      </c>
      <c r="M105" s="90" t="str">
        <f>IF(_epmOfflineCondition_,"",IF(AND(I105="N",J105="N"),_xll.EVPRO($B$1,H105,"PSFTID"),""))</f>
        <v/>
      </c>
      <c r="N105" s="90" t="str">
        <f>IF(_epmOfflineCondition_,"Reception Wine",IF(_xll.EVDES(H105,$B$1)="#NODATA","",_xll.EVDES(H105,$B$1)))</f>
        <v>Reception Wine</v>
      </c>
      <c r="O105" s="143"/>
      <c r="P105" s="143"/>
      <c r="Q105" s="143"/>
      <c r="R105" s="143"/>
      <c r="S105" s="143"/>
      <c r="T105" s="143"/>
      <c r="U105" s="143"/>
      <c r="V105" s="143"/>
      <c r="W105" s="143"/>
      <c r="X105" s="143"/>
      <c r="Y105" s="143"/>
      <c r="Z105" s="143"/>
      <c r="AA105" s="143">
        <f>SUM(O105:Z105)</f>
        <v>0</v>
      </c>
      <c r="AB105" s="144" t="str">
        <f>IF(AA105=0,"",IFERROR(AA105/AA$19,""))</f>
        <v/>
      </c>
      <c r="AC105" s="140"/>
      <c r="AD105" s="143"/>
      <c r="AE105" s="144" t="str">
        <f>IF(AD105=0,"",IFERROR(AD105/AD$19,""))</f>
        <v/>
      </c>
      <c r="AF105" s="145">
        <f>IF(AND($AA105="",AD105=""),"",$AA105-AD105)</f>
        <v>0</v>
      </c>
      <c r="AG105" s="143"/>
      <c r="AH105" s="144" t="str">
        <f>IF(AG105=0,"",IFERROR(AG105/AG$19,""))</f>
        <v/>
      </c>
      <c r="AI105" s="145">
        <f>IF(AND($AA105="",AG105=""),"",$AA105-AG105)</f>
        <v>0</v>
      </c>
    </row>
    <row r="106" spans="1:35" x14ac:dyDescent="0.35">
      <c r="A106" s="11"/>
      <c r="B106" s="11"/>
      <c r="C106" s="208"/>
      <c r="D106" s="11"/>
      <c r="E106" s="11"/>
      <c r="F106" s="11"/>
      <c r="G106" s="11"/>
      <c r="H106" s="185" t="s">
        <v>341</v>
      </c>
      <c r="I106" s="122"/>
      <c r="J106" s="122"/>
      <c r="K106" s="11"/>
      <c r="L106" s="90" t="str">
        <f>IF(_epmOfflineCondition_,"",_xll.EVPRO($B$1,H106,"JDEID"))</f>
        <v/>
      </c>
      <c r="M106" s="90" t="str">
        <f>IF(_epmOfflineCondition_,"",IF(AND(I106="N",J106="N"),_xll.EVPRO($B$1,H106,"PSFTID"),""))</f>
        <v/>
      </c>
      <c r="N106" s="106" t="str">
        <f>IF(_epmOfflineCondition_,"Wine Revenue",IF(_xll.EVDES(H106,$B$1)="#NODATA","",_xll.EVDES(H106,$B$1)))</f>
        <v>Wine Revenue</v>
      </c>
      <c r="O106" s="166"/>
      <c r="P106" s="166"/>
      <c r="Q106" s="166"/>
      <c r="R106" s="166"/>
      <c r="S106" s="166"/>
      <c r="T106" s="166"/>
      <c r="U106" s="166"/>
      <c r="V106" s="166"/>
      <c r="W106" s="166"/>
      <c r="X106" s="166"/>
      <c r="Y106" s="166"/>
      <c r="Z106" s="166"/>
      <c r="AA106" s="166">
        <f>SUM(O106:Z106)</f>
        <v>0</v>
      </c>
      <c r="AB106" s="167" t="str">
        <f>IF(AA106=0,"",IFERROR(AA106/AA$19,""))</f>
        <v/>
      </c>
      <c r="AC106" s="140"/>
      <c r="AD106" s="166">
        <v>20464.444</v>
      </c>
      <c r="AE106" s="167">
        <f>IF(AD106=0,"",IFERROR(AD106/AD$19,""))</f>
        <v>0.22</v>
      </c>
      <c r="AF106" s="168">
        <f>IF(AND($AA106="",AD106=""),"",$AA106-AD106)</f>
        <v>-20464.444</v>
      </c>
      <c r="AG106" s="166"/>
      <c r="AH106" s="167" t="str">
        <f>IF(AG106=0,"",IFERROR(AG106/AG$19,""))</f>
        <v/>
      </c>
      <c r="AI106" s="168">
        <f>IF(AND($AA106="",AG106=""),"",$AA106-AG106)</f>
        <v>0</v>
      </c>
    </row>
    <row r="107" spans="1:35" x14ac:dyDescent="0.35">
      <c r="A107" s="11"/>
      <c r="B107" s="11"/>
      <c r="C107" s="208"/>
      <c r="D107" s="11"/>
      <c r="E107" s="11"/>
      <c r="F107" s="11"/>
      <c r="G107" s="11"/>
      <c r="H107" s="185"/>
      <c r="I107" s="122"/>
      <c r="J107" s="122"/>
      <c r="K107" s="11"/>
      <c r="L107" s="90"/>
      <c r="M107" s="90"/>
      <c r="N107" s="11"/>
      <c r="O107" s="174"/>
      <c r="P107" s="175"/>
      <c r="Q107" s="175"/>
      <c r="R107" s="175"/>
      <c r="S107" s="175"/>
      <c r="T107" s="175"/>
      <c r="U107" s="175"/>
      <c r="V107" s="175"/>
      <c r="W107" s="175"/>
      <c r="X107" s="175"/>
      <c r="Y107" s="175"/>
      <c r="Z107" s="175"/>
      <c r="AA107" s="175"/>
      <c r="AB107" s="176"/>
      <c r="AC107" s="140"/>
      <c r="AD107" s="174"/>
      <c r="AE107" s="175"/>
      <c r="AF107" s="176"/>
      <c r="AG107" s="174"/>
      <c r="AH107" s="175"/>
      <c r="AI107" s="176"/>
    </row>
    <row r="108" spans="1:35" x14ac:dyDescent="0.35">
      <c r="A108" s="11"/>
      <c r="B108" s="11"/>
      <c r="C108" s="208"/>
      <c r="D108" s="11"/>
      <c r="E108" s="11"/>
      <c r="F108" s="11"/>
      <c r="G108" s="11"/>
      <c r="H108" s="88" t="s">
        <v>267</v>
      </c>
      <c r="I108" s="122"/>
      <c r="J108" s="122"/>
      <c r="K108" s="11"/>
      <c r="L108" s="90" t="str">
        <f>IF(_epmOfflineCondition_,"",_xll.EVPRO($B$1,H108,"JDEID"))</f>
        <v/>
      </c>
      <c r="M108" s="90" t="str">
        <f>IF(_epmOfflineCondition_,"",IF(AND(I108="N",J108="N"),_xll.EVPRO($B$1,H108,"PSFTID"),""))</f>
        <v/>
      </c>
      <c r="N108" s="90" t="str">
        <f>IF(_epmOfflineCondition_,"Breakfast  Beverage Revenue",IF(_xll.EVDES(H108,$B$1)="#NODATA","",_xll.EVDES(H108,$B$1)))</f>
        <v>Breakfast  Beverage Revenue</v>
      </c>
      <c r="O108" s="143">
        <f t="shared" ref="O108:Z108" si="22">O88+O95+O102</f>
        <v>0</v>
      </c>
      <c r="P108" s="143">
        <f t="shared" si="22"/>
        <v>0</v>
      </c>
      <c r="Q108" s="143">
        <f t="shared" si="22"/>
        <v>0</v>
      </c>
      <c r="R108" s="143">
        <f t="shared" si="22"/>
        <v>0</v>
      </c>
      <c r="S108" s="143">
        <f t="shared" si="22"/>
        <v>0</v>
      </c>
      <c r="T108" s="143">
        <f t="shared" si="22"/>
        <v>0</v>
      </c>
      <c r="U108" s="143">
        <f t="shared" si="22"/>
        <v>0</v>
      </c>
      <c r="V108" s="143">
        <f t="shared" si="22"/>
        <v>0</v>
      </c>
      <c r="W108" s="143">
        <f t="shared" si="22"/>
        <v>0</v>
      </c>
      <c r="X108" s="143">
        <f t="shared" si="22"/>
        <v>0</v>
      </c>
      <c r="Y108" s="143">
        <f t="shared" si="22"/>
        <v>0</v>
      </c>
      <c r="Z108" s="143">
        <f t="shared" si="22"/>
        <v>0</v>
      </c>
      <c r="AA108" s="143">
        <f>SUM(O108:Z108)</f>
        <v>0</v>
      </c>
      <c r="AB108" s="144" t="str">
        <f>IF(AA108=0,"",IFERROR(AA108/AA$19,""))</f>
        <v/>
      </c>
      <c r="AC108" s="140"/>
      <c r="AD108" s="143">
        <f>AD88+AD95+AD102</f>
        <v>0</v>
      </c>
      <c r="AE108" s="144" t="str">
        <f>IF(AD108=0,"",IFERROR(AD108/AD$19,""))</f>
        <v/>
      </c>
      <c r="AF108" s="145">
        <f>IF(AND($AA108="",AD108=""),"",$AA108-AD108)</f>
        <v>0</v>
      </c>
      <c r="AG108" s="143">
        <f>AG88+AG95+AG102</f>
        <v>0</v>
      </c>
      <c r="AH108" s="144" t="str">
        <f>IF(AG108=0,"",IFERROR(AG108/AG$19,""))</f>
        <v/>
      </c>
      <c r="AI108" s="145">
        <f>IF(AND($AA108="",AG108=""),"",$AA108-AG108)</f>
        <v>0</v>
      </c>
    </row>
    <row r="109" spans="1:35" x14ac:dyDescent="0.35">
      <c r="A109" s="11"/>
      <c r="B109" s="11"/>
      <c r="C109" s="208"/>
      <c r="D109" s="11"/>
      <c r="E109" s="11"/>
      <c r="F109" s="11"/>
      <c r="G109" s="11"/>
      <c r="H109" s="88" t="s">
        <v>268</v>
      </c>
      <c r="I109" s="122"/>
      <c r="J109" s="122"/>
      <c r="K109" s="11"/>
      <c r="L109" s="90" t="str">
        <f>IF(_epmOfflineCondition_,"",_xll.EVPRO($B$1,H109,"JDEID"))</f>
        <v/>
      </c>
      <c r="M109" s="90" t="str">
        <f>IF(_epmOfflineCondition_,"",IF(AND(I109="N",J109="N"),_xll.EVPRO($B$1,H109,"PSFTID"),""))</f>
        <v/>
      </c>
      <c r="N109" s="90" t="str">
        <f>IF(_epmOfflineCondition_,"Lunch Beverage Revenue",IF(_xll.EVDES(H109,$B$1)="#NODATA","",_xll.EVDES(H109,$B$1)))</f>
        <v>Lunch Beverage Revenue</v>
      </c>
      <c r="O109" s="143">
        <f t="shared" ref="O109:Z109" si="23">O89+O96+O103</f>
        <v>0</v>
      </c>
      <c r="P109" s="143">
        <f t="shared" si="23"/>
        <v>0</v>
      </c>
      <c r="Q109" s="143">
        <f t="shared" si="23"/>
        <v>0</v>
      </c>
      <c r="R109" s="143">
        <f t="shared" si="23"/>
        <v>0</v>
      </c>
      <c r="S109" s="143">
        <f t="shared" si="23"/>
        <v>0</v>
      </c>
      <c r="T109" s="143">
        <f t="shared" si="23"/>
        <v>0</v>
      </c>
      <c r="U109" s="143">
        <f t="shared" si="23"/>
        <v>0</v>
      </c>
      <c r="V109" s="143">
        <f t="shared" si="23"/>
        <v>0</v>
      </c>
      <c r="W109" s="143">
        <f t="shared" si="23"/>
        <v>0</v>
      </c>
      <c r="X109" s="143">
        <f t="shared" si="23"/>
        <v>0</v>
      </c>
      <c r="Y109" s="143">
        <f t="shared" si="23"/>
        <v>0</v>
      </c>
      <c r="Z109" s="143">
        <f t="shared" si="23"/>
        <v>0</v>
      </c>
      <c r="AA109" s="143">
        <f>SUM(O109:Z109)</f>
        <v>0</v>
      </c>
      <c r="AB109" s="144" t="str">
        <f>IF(AA109=0,"",IFERROR(AA109/AA$19,""))</f>
        <v/>
      </c>
      <c r="AC109" s="140"/>
      <c r="AD109" s="143">
        <f>AD89+AD96+AD103</f>
        <v>0</v>
      </c>
      <c r="AE109" s="144" t="str">
        <f>IF(AD109=0,"",IFERROR(AD109/AD$19,""))</f>
        <v/>
      </c>
      <c r="AF109" s="145">
        <f>IF(AND($AA109="",AD109=""),"",$AA109-AD109)</f>
        <v>0</v>
      </c>
      <c r="AG109" s="143">
        <f>AG89+AG96+AG103</f>
        <v>0</v>
      </c>
      <c r="AH109" s="144" t="str">
        <f>IF(AG109=0,"",IFERROR(AG109/AG$19,""))</f>
        <v/>
      </c>
      <c r="AI109" s="145">
        <f>IF(AND($AA109="",AG109=""),"",$AA109-AG109)</f>
        <v>0</v>
      </c>
    </row>
    <row r="110" spans="1:35" x14ac:dyDescent="0.35">
      <c r="A110" s="11"/>
      <c r="B110" s="11"/>
      <c r="C110" s="208"/>
      <c r="D110" s="11"/>
      <c r="E110" s="11"/>
      <c r="F110" s="11"/>
      <c r="G110" s="11"/>
      <c r="H110" s="185" t="s">
        <v>269</v>
      </c>
      <c r="I110" s="122"/>
      <c r="J110" s="122"/>
      <c r="K110" s="11"/>
      <c r="L110" s="90" t="str">
        <f>IF(_epmOfflineCondition_,"",_xll.EVPRO($B$1,H110,"JDEID"))</f>
        <v/>
      </c>
      <c r="M110" s="90" t="str">
        <f>IF(_epmOfflineCondition_,"",IF(AND(I110="N",J110="N"),_xll.EVPRO($B$1,H110,"PSFTID"),""))</f>
        <v/>
      </c>
      <c r="N110" s="90" t="str">
        <f>IF(_epmOfflineCondition_,"Dinner Beverage Revenue",IF(_xll.EVDES(H110,$B$1)="#NODATA","",_xll.EVDES(H110,$B$1)))</f>
        <v>Dinner Beverage Revenue</v>
      </c>
      <c r="O110" s="143">
        <f t="shared" ref="O110:Z110" si="24">O90+O97+O104</f>
        <v>0</v>
      </c>
      <c r="P110" s="143">
        <f t="shared" si="24"/>
        <v>0</v>
      </c>
      <c r="Q110" s="143">
        <f t="shared" si="24"/>
        <v>0</v>
      </c>
      <c r="R110" s="143">
        <f t="shared" si="24"/>
        <v>0</v>
      </c>
      <c r="S110" s="143">
        <f t="shared" si="24"/>
        <v>0</v>
      </c>
      <c r="T110" s="143">
        <f t="shared" si="24"/>
        <v>0</v>
      </c>
      <c r="U110" s="143">
        <f t="shared" si="24"/>
        <v>0</v>
      </c>
      <c r="V110" s="143">
        <f t="shared" si="24"/>
        <v>0</v>
      </c>
      <c r="W110" s="143">
        <f t="shared" si="24"/>
        <v>0</v>
      </c>
      <c r="X110" s="143">
        <f t="shared" si="24"/>
        <v>0</v>
      </c>
      <c r="Y110" s="143">
        <f t="shared" si="24"/>
        <v>0</v>
      </c>
      <c r="Z110" s="143">
        <f t="shared" si="24"/>
        <v>0</v>
      </c>
      <c r="AA110" s="143">
        <f>SUM(O110:Z110)</f>
        <v>0</v>
      </c>
      <c r="AB110" s="144" t="str">
        <f>IF(AA110=0,"",IFERROR(AA110/AA$19,""))</f>
        <v/>
      </c>
      <c r="AC110" s="140"/>
      <c r="AD110" s="143">
        <f>AD90+AD97+AD104</f>
        <v>44649.695999999996</v>
      </c>
      <c r="AE110" s="144">
        <f>IF(AD110=0,"",IFERROR(AD110/AD$19,""))</f>
        <v>0.48</v>
      </c>
      <c r="AF110" s="145">
        <f>IF(AND($AA110="",AD110=""),"",$AA110-AD110)</f>
        <v>-44649.695999999996</v>
      </c>
      <c r="AG110" s="143">
        <f>AG90+AG97+AG104</f>
        <v>0</v>
      </c>
      <c r="AH110" s="144" t="str">
        <f>IF(AG110=0,"",IFERROR(AG110/AG$19,""))</f>
        <v/>
      </c>
      <c r="AI110" s="145">
        <f>IF(AND($AA110="",AG110=""),"",$AA110-AG110)</f>
        <v>0</v>
      </c>
    </row>
    <row r="111" spans="1:35" x14ac:dyDescent="0.35">
      <c r="A111" s="11"/>
      <c r="B111" s="11"/>
      <c r="C111" s="208"/>
      <c r="D111" s="11"/>
      <c r="E111" s="11"/>
      <c r="F111" s="11"/>
      <c r="G111" s="11"/>
      <c r="H111" s="185" t="s">
        <v>791</v>
      </c>
      <c r="I111" s="122"/>
      <c r="J111" s="122"/>
      <c r="K111" s="11"/>
      <c r="L111" s="90" t="str">
        <f>IF(_epmOfflineCondition_,"",_xll.EVPRO($B$1,H111,"JDEID"))</f>
        <v/>
      </c>
      <c r="M111" s="90" t="str">
        <f>IF(_epmOfflineCondition_,"",IF(AND(I111="N",J111="N"),_xll.EVPRO($B$1,H111,"PSFTID"),""))</f>
        <v/>
      </c>
      <c r="N111" s="90" t="str">
        <f>IF(_epmOfflineCondition_,"Reception Beverage Revenue",IF(_xll.EVDES(H111,$B$1)="#NODATA","",_xll.EVDES(H111,$B$1)))</f>
        <v>Reception Beverage Revenue</v>
      </c>
      <c r="O111" s="143">
        <f t="shared" ref="O111:Z111" si="25">O91+O98+O105</f>
        <v>0</v>
      </c>
      <c r="P111" s="143">
        <f t="shared" si="25"/>
        <v>0</v>
      </c>
      <c r="Q111" s="143">
        <f t="shared" si="25"/>
        <v>0</v>
      </c>
      <c r="R111" s="143">
        <f t="shared" si="25"/>
        <v>0</v>
      </c>
      <c r="S111" s="143">
        <f t="shared" si="25"/>
        <v>0</v>
      </c>
      <c r="T111" s="143">
        <f t="shared" si="25"/>
        <v>0</v>
      </c>
      <c r="U111" s="143">
        <f t="shared" si="25"/>
        <v>0</v>
      </c>
      <c r="V111" s="143">
        <f t="shared" si="25"/>
        <v>0</v>
      </c>
      <c r="W111" s="143">
        <f t="shared" si="25"/>
        <v>0</v>
      </c>
      <c r="X111" s="143">
        <f t="shared" si="25"/>
        <v>0</v>
      </c>
      <c r="Y111" s="143">
        <f t="shared" si="25"/>
        <v>0</v>
      </c>
      <c r="Z111" s="143">
        <f t="shared" si="25"/>
        <v>0</v>
      </c>
      <c r="AA111" s="143">
        <f>SUM(O111:Z111)</f>
        <v>0</v>
      </c>
      <c r="AB111" s="144" t="str">
        <f>IF(AA111=0,"",IFERROR(AA111/AA$19,""))</f>
        <v/>
      </c>
      <c r="AC111" s="140"/>
      <c r="AD111" s="143">
        <f>AD91+AD98+AD105</f>
        <v>0</v>
      </c>
      <c r="AE111" s="144" t="str">
        <f>IF(AD111=0,"",IFERROR(AD111/AD$19,""))</f>
        <v/>
      </c>
      <c r="AF111" s="145">
        <f>IF(AND($AA111="",AD111=""),"",$AA111-AD111)</f>
        <v>0</v>
      </c>
      <c r="AG111" s="143">
        <f>AG91+AG98+AG105</f>
        <v>0</v>
      </c>
      <c r="AH111" s="144" t="str">
        <f>IF(AG111=0,"",IFERROR(AG111/AG$19,""))</f>
        <v/>
      </c>
      <c r="AI111" s="145">
        <f>IF(AND($AA111="",AG111=""),"",$AA111-AG111)</f>
        <v>0</v>
      </c>
    </row>
    <row r="112" spans="1:35" x14ac:dyDescent="0.35">
      <c r="A112" s="11"/>
      <c r="B112" s="11"/>
      <c r="C112" s="208"/>
      <c r="D112" s="11"/>
      <c r="E112" s="11"/>
      <c r="F112" s="11"/>
      <c r="G112" s="11"/>
      <c r="H112" s="88" t="s">
        <v>272</v>
      </c>
      <c r="I112" s="122"/>
      <c r="J112" s="122"/>
      <c r="K112" s="11"/>
      <c r="L112" s="90" t="str">
        <f>IF(_epmOfflineCondition_,"",_xll.EVPRO($B$1,H112,"JDEID"))</f>
        <v/>
      </c>
      <c r="M112" s="90" t="str">
        <f>IF(_epmOfflineCondition_,"",IF(AND(I112="N",J112="N"),_xll.EVPRO($B$1,H112,"PSFTID"),""))</f>
        <v/>
      </c>
      <c r="N112" s="106" t="str">
        <f>IF(_epmOfflineCondition_,"Total Beverage Revenue",IF(_xll.EVDES(H112,$B$1)="#NODATA","",_xll.EVDES(H112,$B$1)))</f>
        <v>Total Beverage Revenue</v>
      </c>
      <c r="O112" s="166">
        <f t="shared" ref="O112:Z112" si="26">SUM(O108:O111)</f>
        <v>0</v>
      </c>
      <c r="P112" s="166">
        <f t="shared" si="26"/>
        <v>0</v>
      </c>
      <c r="Q112" s="166">
        <f t="shared" si="26"/>
        <v>0</v>
      </c>
      <c r="R112" s="166">
        <f t="shared" si="26"/>
        <v>0</v>
      </c>
      <c r="S112" s="166">
        <f t="shared" si="26"/>
        <v>0</v>
      </c>
      <c r="T112" s="166">
        <f t="shared" si="26"/>
        <v>0</v>
      </c>
      <c r="U112" s="166">
        <f t="shared" si="26"/>
        <v>0</v>
      </c>
      <c r="V112" s="166">
        <f t="shared" si="26"/>
        <v>0</v>
      </c>
      <c r="W112" s="166">
        <f t="shared" si="26"/>
        <v>0</v>
      </c>
      <c r="X112" s="166">
        <f t="shared" si="26"/>
        <v>0</v>
      </c>
      <c r="Y112" s="166">
        <f t="shared" si="26"/>
        <v>0</v>
      </c>
      <c r="Z112" s="166">
        <f t="shared" si="26"/>
        <v>0</v>
      </c>
      <c r="AA112" s="166">
        <f>SUM(O112:Z112)</f>
        <v>0</v>
      </c>
      <c r="AB112" s="167" t="str">
        <f>IF(AA112=0,"",IFERROR(AA112/AA$19,""))</f>
        <v/>
      </c>
      <c r="AC112" s="140"/>
      <c r="AD112" s="166">
        <f>SUM(AD108:AD111)</f>
        <v>44649.695999999996</v>
      </c>
      <c r="AE112" s="167">
        <f>IF(AD112=0,"",IFERROR(AD112/AD$19,""))</f>
        <v>0.48</v>
      </c>
      <c r="AF112" s="168">
        <f>IF(AND($AA112="",AD112=""),"",$AA112-AD112)</f>
        <v>-44649.695999999996</v>
      </c>
      <c r="AG112" s="166">
        <f>SUM(AG108:AG111)</f>
        <v>0</v>
      </c>
      <c r="AH112" s="167" t="str">
        <f>IF(AG112=0,"",IFERROR(AG112/AG$19,""))</f>
        <v/>
      </c>
      <c r="AI112" s="168">
        <f>IF(AND($AA112="",AG112=""),"",$AA112-AG112)</f>
        <v>0</v>
      </c>
    </row>
    <row r="113" spans="1:35" x14ac:dyDescent="0.35">
      <c r="A113" s="11"/>
      <c r="B113" s="11"/>
      <c r="C113" s="208"/>
      <c r="D113" s="11"/>
      <c r="E113" s="11"/>
      <c r="F113" s="11"/>
      <c r="G113" s="11"/>
      <c r="H113" s="185"/>
      <c r="I113" s="122"/>
      <c r="J113" s="122"/>
      <c r="K113" s="11"/>
      <c r="L113" s="11"/>
      <c r="M113" s="11"/>
      <c r="N113" s="11"/>
      <c r="O113" s="511">
        <f t="shared" ref="O113:AA113" si="27">O92+O99+O106-O112</f>
        <v>0</v>
      </c>
      <c r="P113" s="511">
        <f t="shared" si="27"/>
        <v>0</v>
      </c>
      <c r="Q113" s="511">
        <f t="shared" si="27"/>
        <v>0</v>
      </c>
      <c r="R113" s="511">
        <f t="shared" si="27"/>
        <v>0</v>
      </c>
      <c r="S113" s="511">
        <f t="shared" si="27"/>
        <v>0</v>
      </c>
      <c r="T113" s="511">
        <f t="shared" si="27"/>
        <v>0</v>
      </c>
      <c r="U113" s="511">
        <f t="shared" si="27"/>
        <v>0</v>
      </c>
      <c r="V113" s="511">
        <f t="shared" si="27"/>
        <v>0</v>
      </c>
      <c r="W113" s="511">
        <f t="shared" si="27"/>
        <v>0</v>
      </c>
      <c r="X113" s="511">
        <f t="shared" si="27"/>
        <v>0</v>
      </c>
      <c r="Y113" s="511">
        <f t="shared" si="27"/>
        <v>0</v>
      </c>
      <c r="Z113" s="511">
        <f t="shared" si="27"/>
        <v>0</v>
      </c>
      <c r="AA113" s="511">
        <f t="shared" si="27"/>
        <v>0</v>
      </c>
      <c r="AB113" s="144"/>
      <c r="AC113" s="140"/>
      <c r="AD113" s="511">
        <f>AD92+AD99+AD106-AD112</f>
        <v>0</v>
      </c>
      <c r="AE113" s="144"/>
      <c r="AF113" s="143"/>
      <c r="AG113" s="511">
        <f>AG92+AG99+AG106-AG112</f>
        <v>0</v>
      </c>
      <c r="AH113" s="144"/>
      <c r="AI113" s="143"/>
    </row>
    <row r="114" spans="1:35" x14ac:dyDescent="0.35">
      <c r="A114" s="11"/>
      <c r="B114" s="11"/>
      <c r="C114" s="208"/>
      <c r="D114" s="11"/>
      <c r="E114" s="11"/>
      <c r="F114" s="11"/>
      <c r="G114" s="11"/>
      <c r="H114" s="185"/>
      <c r="I114" s="122"/>
      <c r="J114" s="122"/>
      <c r="K114" s="11"/>
      <c r="L114" s="11"/>
      <c r="M114" s="11"/>
      <c r="N114" s="11"/>
      <c r="O114" s="174"/>
      <c r="P114" s="175"/>
      <c r="Q114" s="175"/>
      <c r="R114" s="175"/>
      <c r="S114" s="175"/>
      <c r="T114" s="175"/>
      <c r="U114" s="175"/>
      <c r="V114" s="175"/>
      <c r="W114" s="175"/>
      <c r="X114" s="175"/>
      <c r="Y114" s="175"/>
      <c r="Z114" s="175"/>
      <c r="AA114" s="175"/>
      <c r="AB114" s="176"/>
      <c r="AC114" s="140"/>
      <c r="AD114" s="174"/>
      <c r="AE114" s="175"/>
      <c r="AF114" s="176"/>
      <c r="AG114" s="174"/>
      <c r="AH114" s="175"/>
      <c r="AI114" s="176"/>
    </row>
    <row r="115" spans="1:35" x14ac:dyDescent="0.35">
      <c r="A115" s="11"/>
      <c r="B115" s="11"/>
      <c r="C115" s="208"/>
      <c r="D115" s="11"/>
      <c r="E115" s="11"/>
      <c r="F115" s="11"/>
      <c r="G115" s="11"/>
      <c r="H115" s="11"/>
      <c r="I115" s="59"/>
      <c r="J115" s="59"/>
      <c r="K115" s="11"/>
      <c r="L115" s="11"/>
      <c r="M115" s="11"/>
      <c r="N115" s="11"/>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row>
    <row r="116" spans="1:35" x14ac:dyDescent="0.35">
      <c r="A116" s="11"/>
      <c r="B116" s="11"/>
      <c r="C116" s="208"/>
      <c r="D116" s="11"/>
      <c r="E116" s="11"/>
      <c r="F116" s="11"/>
      <c r="G116" s="11"/>
      <c r="H116" s="185"/>
      <c r="I116" s="122"/>
      <c r="J116" s="122"/>
      <c r="K116" s="11"/>
      <c r="L116" s="11"/>
      <c r="M116" s="11"/>
      <c r="N116" s="104" t="str">
        <f>N82&amp;" - Check"</f>
        <v>Total Food &amp; Beverage Revenue - Check</v>
      </c>
      <c r="O116" s="511">
        <f t="shared" ref="O116:AA116" si="28">O39+O49+O59+O69+O75+O80-O82</f>
        <v>0</v>
      </c>
      <c r="P116" s="511">
        <f t="shared" si="28"/>
        <v>0</v>
      </c>
      <c r="Q116" s="511">
        <f t="shared" si="28"/>
        <v>0</v>
      </c>
      <c r="R116" s="511">
        <f t="shared" si="28"/>
        <v>0</v>
      </c>
      <c r="S116" s="511">
        <f t="shared" si="28"/>
        <v>0</v>
      </c>
      <c r="T116" s="511">
        <f t="shared" si="28"/>
        <v>0</v>
      </c>
      <c r="U116" s="511">
        <f t="shared" si="28"/>
        <v>0</v>
      </c>
      <c r="V116" s="511">
        <f t="shared" si="28"/>
        <v>0</v>
      </c>
      <c r="W116" s="511">
        <f t="shared" si="28"/>
        <v>0</v>
      </c>
      <c r="X116" s="511">
        <f t="shared" si="28"/>
        <v>0</v>
      </c>
      <c r="Y116" s="511">
        <f t="shared" si="28"/>
        <v>0</v>
      </c>
      <c r="Z116" s="511">
        <f t="shared" si="28"/>
        <v>0</v>
      </c>
      <c r="AA116" s="511">
        <f t="shared" si="28"/>
        <v>0</v>
      </c>
      <c r="AB116" s="144"/>
      <c r="AC116" s="140"/>
      <c r="AD116" s="511">
        <f>AD39+AD49+AD59+AD69+AD75+AD80-AD82</f>
        <v>0</v>
      </c>
      <c r="AE116" s="144"/>
      <c r="AF116" s="143"/>
      <c r="AG116" s="511">
        <f>AG39+AG49+AG59+AG69+AG75+AG80-AG82</f>
        <v>0</v>
      </c>
      <c r="AH116" s="144"/>
      <c r="AI116" s="143"/>
    </row>
    <row r="117" spans="1:35" x14ac:dyDescent="0.35">
      <c r="A117" s="11"/>
      <c r="B117" s="11"/>
      <c r="C117" s="208"/>
      <c r="D117" s="11"/>
      <c r="E117" s="11"/>
      <c r="F117" s="11"/>
      <c r="G117" s="11"/>
      <c r="H117" s="185"/>
      <c r="I117" s="122"/>
      <c r="J117" s="122"/>
      <c r="K117" s="11"/>
      <c r="L117" s="11"/>
      <c r="M117" s="11"/>
      <c r="N117" s="104" t="str">
        <f>N83&amp;" - Check"</f>
        <v>Total Customers - Check</v>
      </c>
      <c r="O117" s="511">
        <f t="shared" ref="O117:AA117" si="29">O41+O51+O61+O70+O76-O83</f>
        <v>0</v>
      </c>
      <c r="P117" s="511">
        <f t="shared" si="29"/>
        <v>0</v>
      </c>
      <c r="Q117" s="511">
        <f t="shared" si="29"/>
        <v>0</v>
      </c>
      <c r="R117" s="511">
        <f t="shared" si="29"/>
        <v>0</v>
      </c>
      <c r="S117" s="511">
        <f t="shared" si="29"/>
        <v>0</v>
      </c>
      <c r="T117" s="511">
        <f t="shared" si="29"/>
        <v>0</v>
      </c>
      <c r="U117" s="511">
        <f t="shared" si="29"/>
        <v>0</v>
      </c>
      <c r="V117" s="511">
        <f t="shared" si="29"/>
        <v>0</v>
      </c>
      <c r="W117" s="511">
        <f t="shared" si="29"/>
        <v>0</v>
      </c>
      <c r="X117" s="511">
        <f t="shared" si="29"/>
        <v>0</v>
      </c>
      <c r="Y117" s="511">
        <f t="shared" si="29"/>
        <v>0</v>
      </c>
      <c r="Z117" s="511">
        <f t="shared" si="29"/>
        <v>0</v>
      </c>
      <c r="AA117" s="511">
        <f t="shared" si="29"/>
        <v>0</v>
      </c>
      <c r="AB117" s="144"/>
      <c r="AC117" s="140"/>
      <c r="AD117" s="511">
        <f>AD41+AD51+AD61+AD70+AD76-AD83</f>
        <v>0</v>
      </c>
      <c r="AE117" s="144"/>
      <c r="AF117" s="143"/>
      <c r="AG117" s="511">
        <f>AG41+AG51+AG61+AG70+AG76-AG83</f>
        <v>0</v>
      </c>
      <c r="AH117" s="144"/>
      <c r="AI117" s="143"/>
    </row>
    <row r="118" spans="1:35" x14ac:dyDescent="0.35">
      <c r="A118" s="11"/>
      <c r="B118" s="11"/>
      <c r="C118" s="208"/>
      <c r="D118" s="11"/>
      <c r="E118" s="11"/>
      <c r="F118" s="11"/>
      <c r="G118" s="11"/>
      <c r="H118" s="185"/>
      <c r="I118" s="122"/>
      <c r="J118" s="122"/>
      <c r="K118" s="11"/>
      <c r="L118" s="11"/>
      <c r="M118" s="11"/>
      <c r="N118" s="104" t="str">
        <f>N84&amp;" - Check"</f>
        <v>Total Average Check - Check</v>
      </c>
      <c r="O118" s="510" t="e">
        <f t="shared" ref="O118:AA118" si="30">IFERROR(O$82/O83,"")-O84</f>
        <v>#VALUE!</v>
      </c>
      <c r="P118" s="510" t="e">
        <f t="shared" si="30"/>
        <v>#VALUE!</v>
      </c>
      <c r="Q118" s="510">
        <f t="shared" si="30"/>
        <v>0</v>
      </c>
      <c r="R118" s="510" t="e">
        <f t="shared" si="30"/>
        <v>#VALUE!</v>
      </c>
      <c r="S118" s="510" t="e">
        <f t="shared" si="30"/>
        <v>#VALUE!</v>
      </c>
      <c r="T118" s="510" t="e">
        <f t="shared" si="30"/>
        <v>#VALUE!</v>
      </c>
      <c r="U118" s="510">
        <f t="shared" si="30"/>
        <v>0</v>
      </c>
      <c r="V118" s="510" t="e">
        <f t="shared" si="30"/>
        <v>#VALUE!</v>
      </c>
      <c r="W118" s="510" t="e">
        <f t="shared" si="30"/>
        <v>#VALUE!</v>
      </c>
      <c r="X118" s="510" t="e">
        <f t="shared" si="30"/>
        <v>#VALUE!</v>
      </c>
      <c r="Y118" s="510">
        <f t="shared" si="30"/>
        <v>0</v>
      </c>
      <c r="Z118" s="510" t="e">
        <f t="shared" si="30"/>
        <v>#VALUE!</v>
      </c>
      <c r="AA118" s="510">
        <f t="shared" si="30"/>
        <v>0</v>
      </c>
      <c r="AB118" s="144"/>
      <c r="AC118" s="140"/>
      <c r="AD118" s="510">
        <f>IFERROR(AD$82/AD83,"")-AD84</f>
        <v>0</v>
      </c>
      <c r="AE118" s="144"/>
      <c r="AF118" s="143"/>
      <c r="AG118" s="510">
        <f>IFERROR(AG$82/AG83,"")-AG84</f>
        <v>-3.5527136788005009E-14</v>
      </c>
      <c r="AH118" s="144"/>
      <c r="AI118" s="143"/>
    </row>
    <row r="119" spans="1:35" x14ac:dyDescent="0.35">
      <c r="A119" s="11"/>
      <c r="B119" s="11"/>
      <c r="C119" s="208"/>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35">
      <c r="A120" s="11"/>
      <c r="B120" s="11"/>
      <c r="C120" s="208"/>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35">
      <c r="A121" s="11"/>
      <c r="B121" s="11"/>
      <c r="C121" s="208"/>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35">
      <c r="A122" s="11"/>
      <c r="B122" s="11"/>
      <c r="C122" s="208"/>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35">
      <c r="A123" s="11"/>
      <c r="B123" s="11"/>
      <c r="C123" s="208"/>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35">
      <c r="A124" s="11"/>
      <c r="B124" s="11"/>
      <c r="C124" s="208"/>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35">
      <c r="A125" s="11"/>
      <c r="B125" s="11"/>
      <c r="C125" s="208"/>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35">
      <c r="A126" s="11"/>
      <c r="B126" s="11"/>
      <c r="C126" s="208"/>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35">
      <c r="A127" s="11"/>
      <c r="B127" s="11"/>
      <c r="C127" s="208"/>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35">
      <c r="A128" s="11"/>
      <c r="B128" s="11"/>
      <c r="C128" s="208"/>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35">
      <c r="A129" s="11"/>
      <c r="B129" s="11"/>
      <c r="C129" s="208"/>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35">
      <c r="A130" s="11"/>
      <c r="B130" s="11"/>
      <c r="C130" s="208"/>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35">
      <c r="A131" s="11"/>
      <c r="B131" s="11"/>
      <c r="C131" s="208"/>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35">
      <c r="A132" s="11"/>
      <c r="B132" s="11"/>
      <c r="C132" s="208"/>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35">
      <c r="A134" s="11"/>
      <c r="B134" s="11"/>
      <c r="C134" s="208"/>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35">
      <c r="A135" s="11"/>
      <c r="B135" s="11"/>
      <c r="C135" s="208"/>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35">
      <c r="A136" s="11"/>
      <c r="B136" s="11"/>
      <c r="C136" s="208"/>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35">
      <c r="A137" s="11"/>
      <c r="B137" s="11"/>
      <c r="C137" s="208"/>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35">
      <c r="A138" s="11"/>
      <c r="B138" s="11"/>
      <c r="C138" s="208"/>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35">
      <c r="A139" s="11"/>
      <c r="B139" s="11"/>
      <c r="C139" s="208"/>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35">
      <c r="A140" s="11"/>
      <c r="B140" s="11"/>
      <c r="C140" s="208"/>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35">
      <c r="A141" s="11"/>
      <c r="B141" s="11"/>
      <c r="C141" s="208"/>
      <c r="D141" s="11"/>
      <c r="E141" s="11"/>
      <c r="F141" s="11"/>
      <c r="G141" s="11"/>
      <c r="H141" s="11"/>
      <c r="I141" s="267"/>
      <c r="J141" s="11"/>
      <c r="K141" s="267"/>
      <c r="L141" s="267"/>
      <c r="M141" s="267"/>
      <c r="N141" s="11"/>
      <c r="O141" s="267"/>
      <c r="P141" s="267"/>
      <c r="Q141" s="267"/>
      <c r="R141" s="267"/>
      <c r="S141" s="267"/>
      <c r="T141" s="267"/>
      <c r="U141" s="267"/>
      <c r="V141" s="267"/>
      <c r="W141" s="267"/>
      <c r="X141" s="267"/>
      <c r="Y141" s="267"/>
      <c r="Z141" s="267"/>
      <c r="AA141" s="267"/>
      <c r="AB141" s="11"/>
      <c r="AC141" s="11"/>
      <c r="AD141" s="267"/>
      <c r="AE141" s="11"/>
      <c r="AF141" s="267"/>
      <c r="AG141" s="11"/>
      <c r="AH141" s="267"/>
      <c r="AI141" s="11"/>
    </row>
    <row r="142" spans="1:35" x14ac:dyDescent="0.35">
      <c r="A142" s="11"/>
      <c r="B142" s="11"/>
      <c r="C142" s="208"/>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35">
      <c r="A143" s="11"/>
      <c r="B143" s="11"/>
      <c r="C143" s="208"/>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3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208"/>
      <c r="D145" s="11"/>
      <c r="E145" s="11"/>
      <c r="F145" s="11"/>
      <c r="G145" s="11"/>
      <c r="H145" s="11"/>
      <c r="I145" s="267"/>
      <c r="J145" s="11"/>
      <c r="K145" s="267"/>
      <c r="L145" s="267"/>
      <c r="M145" s="267"/>
      <c r="N145" s="11"/>
      <c r="O145" s="267"/>
      <c r="P145" s="267"/>
      <c r="Q145" s="267"/>
      <c r="R145" s="267"/>
      <c r="S145" s="267"/>
      <c r="T145" s="267"/>
      <c r="U145" s="267"/>
      <c r="V145" s="267"/>
      <c r="W145" s="267"/>
      <c r="X145" s="267"/>
      <c r="Y145" s="267"/>
      <c r="Z145" s="267"/>
      <c r="AA145" s="267"/>
      <c r="AB145" s="11"/>
      <c r="AC145" s="11"/>
      <c r="AD145" s="267"/>
      <c r="AE145" s="11"/>
      <c r="AF145" s="267"/>
      <c r="AG145" s="11"/>
      <c r="AH145" s="267"/>
      <c r="AI145" s="11"/>
    </row>
    <row r="146" spans="1:35" x14ac:dyDescent="0.3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267"/>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267"/>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sheetData>
  <sheetProtection algorithmName="SHA-512" hashValue="o783S2mjdTPwNSU+sIXaKq1msyq2HMf8igLu0pfLdIzQ+51/1As9NmImZcAEirl6wABHIXtk1eGmzygse+dZSA==" saltValue="gWCi4DFB+tVU2jYD4WKlfA==" spinCount="100000" sheet="1" scenarios="1"/>
  <mergeCells count="2">
    <mergeCell ref="AD31:AE31"/>
    <mergeCell ref="AG31:AH31"/>
  </mergeCells>
  <conditionalFormatting sqref="AD43 AF43:AG43 O43:AA43">
    <cfRule type="expression" dxfId="11" priority="10">
      <formula>ROUND(O42,2)&lt;&gt;ROUND(O43,2)</formula>
    </cfRule>
  </conditionalFormatting>
  <conditionalFormatting sqref="O53:AA53 AD53 AF53:AG53">
    <cfRule type="expression" dxfId="10" priority="9">
      <formula>ROUND(O52,2)&lt;&gt;ROUND(O53,2)</formula>
    </cfRule>
  </conditionalFormatting>
  <conditionalFormatting sqref="O63:AA63 AD63 AF63:AG63">
    <cfRule type="expression" dxfId="9" priority="8">
      <formula>ROUND(O62,2)&lt;&gt;ROUND(O63,2)</formula>
    </cfRule>
  </conditionalFormatting>
  <conditionalFormatting sqref="O72:AA72 AD72 AF72:AG72">
    <cfRule type="expression" dxfId="8" priority="7">
      <formula>ROUND(O71,2)&lt;&gt;ROUND(O72,2)</formula>
    </cfRule>
  </conditionalFormatting>
  <conditionalFormatting sqref="AD78 AF78:AG78 O78:AA78">
    <cfRule type="expression" dxfId="7" priority="6">
      <formula>ROUND(O77,2)&lt;&gt;ROUND(O78,2)</formula>
    </cfRule>
  </conditionalFormatting>
  <conditionalFormatting sqref="AI43">
    <cfRule type="expression" dxfId="6" priority="5">
      <formula>ROUND(AI42,2)&lt;&gt;ROUND(AI43,2)</formula>
    </cfRule>
  </conditionalFormatting>
  <conditionalFormatting sqref="AI53">
    <cfRule type="expression" dxfId="5" priority="4">
      <formula>ROUND(AI52,2)&lt;&gt;ROUND(AI53,2)</formula>
    </cfRule>
  </conditionalFormatting>
  <conditionalFormatting sqref="AI63">
    <cfRule type="expression" dxfId="4" priority="3">
      <formula>ROUND(AI62,2)&lt;&gt;ROUND(AI63,2)</formula>
    </cfRule>
  </conditionalFormatting>
  <conditionalFormatting sqref="AI72">
    <cfRule type="expression" dxfId="3" priority="2">
      <formula>ROUND(AI71,2)&lt;&gt;ROUND(AI72,2)</formula>
    </cfRule>
  </conditionalFormatting>
  <conditionalFormatting sqref="AI78">
    <cfRule type="expression" dxfId="2" priority="1">
      <formula>ROUND(AI77,2)&lt;&gt;ROUND(AI78,2)</formula>
    </cfRule>
  </conditionalFormatting>
  <conditionalFormatting sqref="N43 N53 N63 N72 N78">
    <cfRule type="expression" dxfId="1" priority="11">
      <formula>$G44&lt;&gt;0</formula>
    </cfRule>
  </conditionalFormatting>
  <conditionalFormatting sqref="N79">
    <cfRule type="expression" dxfId="0" priority="12">
      <formula>#REF!&lt;&gt;0</formula>
    </cfRule>
  </conditionalFormatting>
  <dataValidations count="2">
    <dataValidation type="list" allowBlank="1" sqref="B29" xr:uid="{00000000-0002-0000-1C00-000000000000}">
      <formula1>"SELF,ALL,BAS,DEP,BASMEMBERS,MEMBERS,NOEXPAND,GDEP"</formula1>
    </dataValidation>
    <dataValidation type="list" allowBlank="1" sqref="B28" xr:uid="{00000000-0002-0000-1C00-000001000000}">
      <formula1>"ACCOUNT,BUSINESSUNIT,CATEGORY,DATASRC,DEPARTMENT,INTCO,MEASURES,RPTCURRENCY,TIME"</formula1>
    </dataValidation>
  </dataValidations>
  <pageMargins left="0.25" right="0.25" top="0.5" bottom="0.5" header="0.3" footer="0.3"/>
  <pageSetup scale="50"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9249"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9249" r:id="rId7" name="FPMExcelClientSheetOptionstb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349</v>
      </c>
      <c r="C6" s="11" t="str">
        <f>IF(_epmOfflineCondition_,"Mini Bar",_xll.EVDES(B6,$B$1))</f>
        <v>Mini Bar</v>
      </c>
      <c r="D6" s="11"/>
      <c r="E6" s="58" t="str">
        <f>IF(_epmOfflineCondition_,"D1149",_xll.EVPRO($B$1,$B$6,$F$6))</f>
        <v>D1149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IF(_epmOfflineCondition_,"'Mini_Bar'!$B$2:$B$10",_xll.EVRNG($B$2:$B$10))</f>
        <v>'Mini_Bar'!$B$2:$B$10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IF(_epmOfflineCondition_,"'Mini_Bar'!$O$16:$AN$18",_xll.EVRNG($O$16:$AN$18))</f>
        <v>'Mini_Bar'!$O$16:$AN$18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IF(_epmOfflineCondition_,"'Mini_Bar'!$H$35:$H$41",_xll.EVRNG(H35:H41))</f>
        <v>'Mini_Bar'!$H$35:$H$41</v>
      </c>
      <c r="C19" s="11"/>
      <c r="D19" s="11"/>
      <c r="E19" s="11"/>
      <c r="F19" s="11"/>
      <c r="G19" s="67" t="str">
        <f>$B$6</f>
        <v>D1149</v>
      </c>
      <c r="H19" s="67">
        <v>400000</v>
      </c>
      <c r="I19" s="68"/>
      <c r="J19" s="68"/>
      <c r="K19" s="67"/>
      <c r="L19" s="67"/>
      <c r="M19" s="67"/>
      <c r="N19" s="67" t="str">
        <f>IF(_epmOfflineCondition_,"Total Revenue",_xll.EVDES(H19))</f>
        <v>Total Revenue</v>
      </c>
      <c r="O19" s="69">
        <f>IF(_epmOfflineCondition_,3040,_xll.EVGTS($B$1,1,$B$3,$B$5,$B$7,$B$9,O$16,O$17,O$18,$G$19,$H$19))</f>
        <v>3040</v>
      </c>
      <c r="P19" s="69">
        <f>IF(_epmOfflineCondition_,2352,_xll.EVGTS($B$1,1,$B$3,$B$5,$B$7,$B$9,P$16,P$17,P$18,$G$19,$H$19))</f>
        <v>2352</v>
      </c>
      <c r="Q19" s="69">
        <f>IF(_epmOfflineCondition_,2909.87,_xll.EVGTS($B$1,1,$B$3,$B$5,$B$7,$B$9,Q$16,Q$17,Q$18,$G$19,$H$19))</f>
        <v>2909.87</v>
      </c>
      <c r="R19" s="69">
        <f>IF(_epmOfflineCondition_,3110.59,_xll.EVGTS($B$1,1,$B$3,$B$5,$B$7,$B$9,R$16,R$17,R$18,$G$19,$H$19))</f>
        <v>3110.59</v>
      </c>
      <c r="S19" s="69">
        <f>IF(_epmOfflineCondition_,2161,_xll.EVGTS($B$1,1,$B$3,$B$5,$B$7,$B$9,S$16,S$17,S$18,$G$19,$H$19))</f>
        <v>2161</v>
      </c>
      <c r="T19" s="69">
        <f>IF(_epmOfflineCondition_,4214.01,_xll.EVGTS($B$1,1,$B$3,$B$5,$B$7,$B$9,T$16,T$17,T$18,$G$19,$H$19))</f>
        <v>4214.01</v>
      </c>
      <c r="U19" s="69">
        <f>IF(_epmOfflineCondition_,7013.28,_xll.EVGTS($B$1,1,$B$3,$B$5,$B$7,$B$9,U$16,U$17,U$18,$G$19,$H$19))</f>
        <v>7013.28</v>
      </c>
      <c r="V19" s="69">
        <f>IF(_epmOfflineCondition_,4930,_xll.EVGTS($B$1,1,$B$3,$B$5,$B$7,$B$9,V$16,V$17,V$18,$G$19,$H$19))</f>
        <v>4930</v>
      </c>
      <c r="W19" s="69">
        <f>IF(_epmOfflineCondition_,4112,_xll.EVGTS($B$1,1,$B$3,$B$5,$B$7,$B$9,W$16,W$17,W$18,$G$19,$H$19))</f>
        <v>4112</v>
      </c>
      <c r="X19" s="69">
        <f>IF(_epmOfflineCondition_,4345,_xll.EVGTS($B$1,1,$B$3,$B$5,$B$7,$B$9,X$16,X$17,X$18,$G$19,$H$19))</f>
        <v>4345</v>
      </c>
      <c r="Y19" s="69">
        <f>IF(_epmOfflineCondition_,6678,_xll.EVGTS($B$1,1,$B$3,$B$5,$B$7,$B$9,Y$16,Y$17,Y$18,$G$19,$H$19))</f>
        <v>6678</v>
      </c>
      <c r="Z19" s="69">
        <f>IF(_epmOfflineCondition_,7797,_xll.EVGTS($B$1,1,$B$3,$B$5,$B$7,$B$9,Z$16,Z$17,Z$18,$G$19,$H$19))</f>
        <v>7797</v>
      </c>
      <c r="AA19" s="69">
        <f>SUM(O19:Z19)</f>
        <v>52662.75</v>
      </c>
      <c r="AB19" s="67"/>
      <c r="AC19" s="67"/>
      <c r="AD19" s="69">
        <f>IF(_epmOfflineCondition_,88934.25,_xll.EVGTS($B$1,1,$B$3,$B$5,$B$7,$B$9,AD$16,AD$17,AD$18,$G$19,$H$19))</f>
        <v>88934.25</v>
      </c>
      <c r="AE19" s="67"/>
      <c r="AF19" s="67"/>
      <c r="AG19" s="69">
        <f>IF(_epmOfflineCondition_,52637.84,_xll.EVGTS($B$1,1,$B$3,$B$5,$B$7,$B$9,AG$16,AG$17,AG$18,$G$19,$H$19))</f>
        <v>52637.84</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IF(_epmOfflineCondition_,"'Mini_Bar'!$A$36:$F$43",_xll.EVRNG(A36:F43))</f>
        <v>'Mini_Bar'!$A$36:$F$43</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IF(_epmOfflineCondition_,"'Mini_Bar'!$A$123:$B$144",_xll.EVRNG($A$123:$B$144))</f>
        <v>'Mini_Bar'!$A$123:$B$144</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IF(_epmOfflineCondition_,"Mini Bar Department",IF(_xll.EVDES(B6,$B$1)="#NODATA","",_xll.EVDES(B6,$B$1)&amp;" Department"))</f>
        <v>Mini Bar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"&amp;$E$6&amp;"=Y,DEP(REV_BEV) AND "&amp;$E$6&amp;"=Y,ALLOW_FB,REV_FB,DEP(REV_MISC_OTHR) AND "&amp;$E$6&amp;"=Y,468990,400000"</f>
        <v>DEP(REV_F) AND D1149=Y,DEP(REV_BEV) AND D1149=Y,ALLOW_FB,REV_FB,DEP(REV_MISC_OTHR) AND D1149=Y,468990,400000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c r="I34" s="59"/>
      <c r="J34" s="59"/>
      <c r="K34" s="11"/>
      <c r="L34" s="133" t="s">
        <v>364</v>
      </c>
      <c r="M34" s="133" t="s">
        <v>782</v>
      </c>
      <c r="N34" s="53" t="s">
        <v>356</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350</v>
      </c>
      <c r="I35" s="122" t="str">
        <f>IF(_epmOfflineCondition_,"T5",_xll.EVPRO($B$1,$H35,"STYLE"))</f>
        <v>T5</v>
      </c>
      <c r="J35" s="122" t="str">
        <f>IF(_epmOfflineCondition_,"Y",_xll.EVPRO($B$1,$H35,"CALC"))</f>
        <v>Y</v>
      </c>
      <c r="K35" s="179" t="str">
        <f t="shared" ref="K35:K41" si="0">IF(AND(I35&gt;="T5"),"&gt;","")</f>
        <v>&gt;</v>
      </c>
      <c r="L35" s="90" t="str">
        <f>IF(_epmOfflineCondition_,"467100",_xll.EVPRO($B$1,H35,"JDEID"))</f>
        <v>467100</v>
      </c>
      <c r="M35" s="90" t="str">
        <f>IF(_epmOfflineCondition_,"",IF(AND(I35="N",J35="N"),_xll.EVPRO($B$1,H35,"PSFTID"),""))</f>
        <v/>
      </c>
      <c r="N35" s="90" t="str">
        <f>IF(_epmOfflineCondition_,"Mini Bar Food",IF(_xll.EVDES(H35,$B$1)="#NODATA","",_xll.EVDES(H35,$B$1)))</f>
        <v>Mini Bar Food</v>
      </c>
      <c r="O35" s="601">
        <v>820</v>
      </c>
      <c r="P35" s="601">
        <v>601</v>
      </c>
      <c r="Q35" s="601">
        <v>860.87</v>
      </c>
      <c r="R35" s="601">
        <v>921.59</v>
      </c>
      <c r="S35" s="601">
        <v>1003</v>
      </c>
      <c r="T35" s="143">
        <v>3701</v>
      </c>
      <c r="U35" s="143">
        <v>5354.28</v>
      </c>
      <c r="V35" s="143">
        <v>4288</v>
      </c>
      <c r="W35" s="143">
        <v>3492</v>
      </c>
      <c r="X35" s="143">
        <v>3601</v>
      </c>
      <c r="Y35" s="143">
        <v>5439</v>
      </c>
      <c r="Z35" s="143">
        <v>7092</v>
      </c>
      <c r="AA35" s="250">
        <f t="shared" ref="AA35:AA41" si="1">IF($I35="B1","",SUM(O35:Z35))</f>
        <v>37173.74</v>
      </c>
      <c r="AB35" s="144">
        <f t="shared" ref="AB35:AB41" si="2">IF(AA35=0,"",IFERROR(AA35/AA$19,""))</f>
        <v>0.70588300079278044</v>
      </c>
      <c r="AC35" s="140"/>
      <c r="AD35" s="143">
        <v>37525</v>
      </c>
      <c r="AE35" s="144">
        <f t="shared" ref="AE35:AE41" si="3">IF(AD35=0,"",IFERROR(AD35/AD$19,""))</f>
        <v>0.4219409282700422</v>
      </c>
      <c r="AF35" s="145">
        <f t="shared" ref="AF35:AF41" si="4">IF(AND($AA35="",AD35=""),"",$AA35-AD35)</f>
        <v>-351.26000000000204</v>
      </c>
      <c r="AG35" s="143">
        <v>23660.79</v>
      </c>
      <c r="AH35" s="144">
        <f t="shared" ref="AH35:AH41" si="5">IF(AG35=0,"",IFERROR(AG35/AG$19,""))</f>
        <v>0.44950153729712317</v>
      </c>
      <c r="AI35" s="145">
        <f t="shared" ref="AI35:AI41" si="6">IF(AND($AA35="",AG35=""),"",$AA35-AG35)</f>
        <v>13512.949999999997</v>
      </c>
      <c r="AJ35" s="440">
        <f t="shared" ref="AJ35:AJ41" si="7">IFERROR(AA35/AA$20,0)</f>
        <v>0.92428305029960955</v>
      </c>
      <c r="AK35" s="441">
        <f t="shared" ref="AK35:AK41" si="8">IFERROR(AD35/AD$20,0)</f>
        <v>1</v>
      </c>
      <c r="AL35" s="442">
        <f t="shared" ref="AL35:AL41" si="9">IFERROR(AG35/AG$20,0)</f>
        <v>1.18008927680798</v>
      </c>
      <c r="AM35" s="443" t="str">
        <f t="shared" ref="AM35:AM41" si="10">+IFERROR(ROUND(($AB35-AE35)*100,2)&amp;" pts.",0)</f>
        <v>28.39 pts.</v>
      </c>
      <c r="AN35" s="444" t="str">
        <f t="shared" ref="AN35:AN41" si="11">+IFERROR(ROUND(($AB35-AH35)*100,2)&amp;" pts.",0)</f>
        <v>25.64 pts.</v>
      </c>
      <c r="AO35" s="11"/>
    </row>
    <row r="36" spans="1:41" x14ac:dyDescent="0.35">
      <c r="A36" s="11"/>
      <c r="B36" s="11"/>
      <c r="C36" s="11"/>
      <c r="D36" s="11"/>
      <c r="E36" s="11"/>
      <c r="F36" s="11"/>
      <c r="G36" s="11"/>
      <c r="H36" s="88" t="s">
        <v>351</v>
      </c>
      <c r="I36" s="122" t="str">
        <f>IF(_epmOfflineCondition_,"T5",_xll.EVPRO($B$1,$H36,"STYLE"))</f>
        <v>T5</v>
      </c>
      <c r="J36" s="122" t="str">
        <f>IF(_epmOfflineCondition_,"Y",_xll.EVPRO($B$1,$H36,"CALC"))</f>
        <v>Y</v>
      </c>
      <c r="K36" s="179" t="str">
        <f t="shared" si="0"/>
        <v>&gt;</v>
      </c>
      <c r="L36" s="90" t="str">
        <f>IF(_epmOfflineCondition_,"467200",_xll.EVPRO($B$1,H36,"JDEID"))</f>
        <v>467200</v>
      </c>
      <c r="M36" s="90" t="str">
        <f>IF(_epmOfflineCondition_,"",IF(AND(I36="N",J36="N"),_xll.EVPRO($B$1,H36,"PSFTID"),""))</f>
        <v/>
      </c>
      <c r="N36" s="90" t="str">
        <f>IF(_epmOfflineCondition_,"Mini Bar Beverage",IF(_xll.EVDES(H36,$B$1)="#NODATA","",_xll.EVDES(H36,$B$1)))</f>
        <v>Mini Bar Beverage</v>
      </c>
      <c r="O36" s="601">
        <v>2220</v>
      </c>
      <c r="P36" s="601">
        <v>1751</v>
      </c>
      <c r="Q36" s="601">
        <v>2049</v>
      </c>
      <c r="R36" s="601">
        <v>2189</v>
      </c>
      <c r="S36" s="601">
        <v>1158</v>
      </c>
      <c r="T36" s="143">
        <v>560</v>
      </c>
      <c r="U36" s="143">
        <v>1659</v>
      </c>
      <c r="V36" s="143">
        <v>642</v>
      </c>
      <c r="W36" s="143">
        <v>620</v>
      </c>
      <c r="X36" s="143">
        <v>744</v>
      </c>
      <c r="Y36" s="143">
        <v>1239</v>
      </c>
      <c r="Z36" s="143">
        <v>705</v>
      </c>
      <c r="AA36" s="250">
        <f t="shared" si="1"/>
        <v>15536</v>
      </c>
      <c r="AB36" s="144">
        <f t="shared" si="2"/>
        <v>0.29500928075347377</v>
      </c>
      <c r="AC36" s="140"/>
      <c r="AD36" s="143">
        <v>45030</v>
      </c>
      <c r="AE36" s="144">
        <f t="shared" si="3"/>
        <v>0.50632911392405067</v>
      </c>
      <c r="AF36" s="145">
        <f t="shared" si="4"/>
        <v>-29494</v>
      </c>
      <c r="AG36" s="143">
        <v>25206.75</v>
      </c>
      <c r="AH36" s="144">
        <f t="shared" si="5"/>
        <v>0.47887128347211821</v>
      </c>
      <c r="AI36" s="145">
        <f t="shared" si="6"/>
        <v>-9670.75</v>
      </c>
      <c r="AJ36" s="440">
        <f t="shared" si="7"/>
        <v>0.38628508913697507</v>
      </c>
      <c r="AK36" s="441">
        <f t="shared" si="8"/>
        <v>1.2</v>
      </c>
      <c r="AL36" s="442">
        <f t="shared" si="9"/>
        <v>1.2571945137157108</v>
      </c>
      <c r="AM36" s="443" t="str">
        <f t="shared" si="10"/>
        <v>-21.13 pts.</v>
      </c>
      <c r="AN36" s="444" t="str">
        <f t="shared" si="11"/>
        <v>-18.39 pts.</v>
      </c>
      <c r="AO36" s="11"/>
    </row>
    <row r="37" spans="1:41" x14ac:dyDescent="0.35">
      <c r="A37" s="11" t="s">
        <v>105</v>
      </c>
      <c r="B37" s="11"/>
      <c r="C37" s="104" t="s">
        <v>101</v>
      </c>
      <c r="D37" s="11" t="s">
        <v>106</v>
      </c>
      <c r="E37" s="11"/>
      <c r="F37" s="11" t="s">
        <v>98</v>
      </c>
      <c r="G37" s="11"/>
      <c r="H37" s="88" t="s">
        <v>486</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IF(_epmOfflineCondition_,"Food &amp; Beverage: Allowances",IF(_xll.EVDES(H37,$B$1)="#NODATA","",_xll.EVDES(H37,$B$1)))</f>
        <v>Food &amp; Beverage: Allowances</v>
      </c>
      <c r="O37" s="587"/>
      <c r="P37" s="587"/>
      <c r="Q37" s="587"/>
      <c r="R37" s="587"/>
      <c r="S37" s="587"/>
      <c r="T37" s="217"/>
      <c r="U37" s="217"/>
      <c r="V37" s="217"/>
      <c r="W37" s="217"/>
      <c r="X37" s="217"/>
      <c r="Y37" s="217"/>
      <c r="Z37" s="217"/>
      <c r="AA37" s="251">
        <f t="shared" si="1"/>
        <v>0</v>
      </c>
      <c r="AB37" s="219" t="str">
        <f t="shared" si="2"/>
        <v/>
      </c>
      <c r="AC37" s="140"/>
      <c r="AD37" s="217"/>
      <c r="AE37" s="219" t="str">
        <f t="shared" si="3"/>
        <v/>
      </c>
      <c r="AF37" s="220">
        <f t="shared" si="4"/>
        <v>0</v>
      </c>
      <c r="AG37" s="217">
        <v>-25.63</v>
      </c>
      <c r="AH37" s="219">
        <f t="shared" si="5"/>
        <v>-4.8691207693932729E-4</v>
      </c>
      <c r="AI37" s="220">
        <f t="shared" si="6"/>
        <v>25.63</v>
      </c>
      <c r="AJ37" s="449">
        <f t="shared" si="7"/>
        <v>0</v>
      </c>
      <c r="AK37" s="450">
        <f t="shared" si="8"/>
        <v>0</v>
      </c>
      <c r="AL37" s="451">
        <f t="shared" si="9"/>
        <v>-1.2783042394014963E-3</v>
      </c>
      <c r="AM37" s="452">
        <f t="shared" si="10"/>
        <v>0</v>
      </c>
      <c r="AN37" s="453">
        <f t="shared" si="11"/>
        <v>0</v>
      </c>
      <c r="AO37" s="11"/>
    </row>
    <row r="38" spans="1:41" x14ac:dyDescent="0.35">
      <c r="A38" s="11" t="s">
        <v>104</v>
      </c>
      <c r="B38" s="11"/>
      <c r="C38" s="104" t="s">
        <v>101</v>
      </c>
      <c r="D38" s="11" t="s">
        <v>106</v>
      </c>
      <c r="E38" s="11"/>
      <c r="F38" s="11" t="s">
        <v>98</v>
      </c>
      <c r="G38" s="11"/>
      <c r="H38" s="88" t="s">
        <v>273</v>
      </c>
      <c r="I38" s="188" t="str">
        <f>IF(_epmOfflineCondition_,"T4",_xll.EVPRO($B$1,$H38,"STYLE"))</f>
        <v>T4</v>
      </c>
      <c r="J38" s="188" t="str">
        <f>IF(_epmOfflineCondition_,"Y",_xll.EVPRO($B$1,$H38,"CALC"))</f>
        <v>Y</v>
      </c>
      <c r="K38" s="189" t="str">
        <f t="shared" si="0"/>
        <v/>
      </c>
      <c r="L38" s="190" t="str">
        <f>IF(_epmOfflineCondition_,"",_xll.EVPRO($B$1,H38,"JDEID"))</f>
        <v/>
      </c>
      <c r="M38" s="190" t="str">
        <f>IF(_epmOfflineCondition_,"",IF(AND(I38="N",J38="N"),_xll.EVPRO($B$1,H38,"PSFTID"),""))</f>
        <v/>
      </c>
      <c r="N38" s="190" t="str">
        <f>IF(_epmOfflineCondition_,"Total Food &amp; Beverage Revenue",IF(_xll.EVDES(H38,$B$1)="#NODATA","",_xll.EVDES(H38,$B$1)))</f>
        <v>Total Food &amp; Beverage Revenue</v>
      </c>
      <c r="O38" s="602">
        <v>3040</v>
      </c>
      <c r="P38" s="602">
        <v>2352</v>
      </c>
      <c r="Q38" s="602">
        <v>2909.87</v>
      </c>
      <c r="R38" s="602">
        <v>3110.59</v>
      </c>
      <c r="S38" s="602">
        <v>2161</v>
      </c>
      <c r="T38" s="225">
        <v>4261</v>
      </c>
      <c r="U38" s="225">
        <v>7013.28</v>
      </c>
      <c r="V38" s="225">
        <v>4930</v>
      </c>
      <c r="W38" s="225">
        <v>4112</v>
      </c>
      <c r="X38" s="225">
        <v>4345</v>
      </c>
      <c r="Y38" s="225">
        <v>6678</v>
      </c>
      <c r="Z38" s="225">
        <v>7797</v>
      </c>
      <c r="AA38" s="225">
        <f t="shared" si="1"/>
        <v>52709.74</v>
      </c>
      <c r="AB38" s="226">
        <f t="shared" si="2"/>
        <v>1.0008922815462542</v>
      </c>
      <c r="AC38" s="227"/>
      <c r="AD38" s="225">
        <v>82555</v>
      </c>
      <c r="AE38" s="226">
        <f t="shared" si="3"/>
        <v>0.92827004219409281</v>
      </c>
      <c r="AF38" s="228">
        <f t="shared" si="4"/>
        <v>-29845.260000000002</v>
      </c>
      <c r="AG38" s="225">
        <v>48841.91</v>
      </c>
      <c r="AH38" s="226">
        <f t="shared" si="5"/>
        <v>0.92788590869230214</v>
      </c>
      <c r="AI38" s="228">
        <f t="shared" si="6"/>
        <v>3867.8299999999945</v>
      </c>
      <c r="AJ38" s="229">
        <f t="shared" si="7"/>
        <v>1.3105681394365847</v>
      </c>
      <c r="AK38" s="230">
        <f t="shared" si="8"/>
        <v>2.2000000000000002</v>
      </c>
      <c r="AL38" s="232">
        <f t="shared" si="9"/>
        <v>2.4360054862842895</v>
      </c>
      <c r="AM38" s="427" t="str">
        <f t="shared" si="10"/>
        <v>7.26 pts.</v>
      </c>
      <c r="AN38" s="456" t="str">
        <f t="shared" si="11"/>
        <v>7.3 pts.</v>
      </c>
      <c r="AO38" s="11"/>
    </row>
    <row r="39" spans="1:41" x14ac:dyDescent="0.35">
      <c r="A39" s="11" t="s">
        <v>100</v>
      </c>
      <c r="B39" s="11"/>
      <c r="C39" s="53" t="s">
        <v>101</v>
      </c>
      <c r="D39" s="11" t="s">
        <v>106</v>
      </c>
      <c r="E39" s="11"/>
      <c r="F39" s="11" t="s">
        <v>98</v>
      </c>
      <c r="G39" s="11"/>
      <c r="H39" s="88" t="s">
        <v>352</v>
      </c>
      <c r="I39" s="122" t="str">
        <f>IF(_epmOfflineCondition_,"T5",_xll.EVPRO($B$1,$H39,"STYLE"))</f>
        <v>T5</v>
      </c>
      <c r="J39" s="122" t="str">
        <f>IF(_epmOfflineCondition_,"Y",_xll.EVPRO($B$1,$H39,"CALC"))</f>
        <v>Y</v>
      </c>
      <c r="K39" s="179" t="str">
        <f t="shared" si="0"/>
        <v>&gt;</v>
      </c>
      <c r="L39" s="90" t="str">
        <f>IF(_epmOfflineCondition_,"467300",_xll.EVPRO($B$1,H39,"JDEID"))</f>
        <v>467300</v>
      </c>
      <c r="M39" s="90" t="str">
        <f>IF(_epmOfflineCondition_,"",IF(AND(I39="N",J39="N"),_xll.EVPRO($B$1,H39,"PSFTID"),""))</f>
        <v/>
      </c>
      <c r="N39" s="90" t="str">
        <f>IF(_epmOfflineCondition_,"Mini Bar Merchandise",IF(_xll.EVDES(H39,$B$1)="#NODATA","",_xll.EVDES(H39,$B$1)))</f>
        <v>Mini Bar Merchandise</v>
      </c>
      <c r="O39" s="603"/>
      <c r="P39" s="603"/>
      <c r="Q39" s="603"/>
      <c r="R39" s="603"/>
      <c r="S39" s="603"/>
      <c r="T39" s="210">
        <v>-46.99</v>
      </c>
      <c r="U39" s="210"/>
      <c r="V39" s="210"/>
      <c r="W39" s="210"/>
      <c r="X39" s="210"/>
      <c r="Y39" s="210"/>
      <c r="Z39" s="210"/>
      <c r="AA39" s="252">
        <f t="shared" si="1"/>
        <v>-46.99</v>
      </c>
      <c r="AB39" s="211">
        <f t="shared" si="2"/>
        <v>-8.9228154625423095E-4</v>
      </c>
      <c r="AC39" s="140"/>
      <c r="AD39" s="210">
        <v>6379.25</v>
      </c>
      <c r="AE39" s="211">
        <f t="shared" si="3"/>
        <v>7.1729957805907171E-2</v>
      </c>
      <c r="AF39" s="253">
        <f t="shared" si="4"/>
        <v>-6426.24</v>
      </c>
      <c r="AG39" s="210">
        <v>3795.93</v>
      </c>
      <c r="AH39" s="211">
        <f t="shared" si="5"/>
        <v>7.2114091307698039E-2</v>
      </c>
      <c r="AI39" s="253">
        <f t="shared" si="6"/>
        <v>-3842.9199999999996</v>
      </c>
      <c r="AJ39" s="234">
        <f t="shared" si="7"/>
        <v>-1.1683532658693654E-3</v>
      </c>
      <c r="AK39" s="235">
        <f t="shared" si="8"/>
        <v>0.17</v>
      </c>
      <c r="AL39" s="237">
        <f t="shared" si="9"/>
        <v>0.18932319201995013</v>
      </c>
      <c r="AM39" s="429" t="str">
        <f t="shared" si="10"/>
        <v>-7.26 pts.</v>
      </c>
      <c r="AN39" s="462" t="str">
        <f t="shared" si="11"/>
        <v>-7.3 pts.</v>
      </c>
      <c r="AO39" s="11"/>
    </row>
    <row r="40" spans="1:41" x14ac:dyDescent="0.35">
      <c r="A40" s="11" t="s">
        <v>102</v>
      </c>
      <c r="B40" s="11"/>
      <c r="C40" s="106" t="s">
        <v>101</v>
      </c>
      <c r="D40" s="11" t="s">
        <v>106</v>
      </c>
      <c r="E40" s="11"/>
      <c r="F40" s="11" t="s">
        <v>98</v>
      </c>
      <c r="G40" s="11"/>
      <c r="H40" s="88" t="s">
        <v>473</v>
      </c>
      <c r="I40" s="122" t="str">
        <f>IF(_epmOfflineCondition_,"N",_xll.EVPRO($B$1,$H40,"STYLE"))</f>
        <v>N</v>
      </c>
      <c r="J40" s="122" t="str">
        <f>IF(_epmOfflineCondition_,"N",_xll.EVPRO($B$1,$H40,"CALC"))</f>
        <v>N</v>
      </c>
      <c r="K40" s="179" t="str">
        <f t="shared" si="0"/>
        <v/>
      </c>
      <c r="L40" s="90" t="str">
        <f>IF(_epmOfflineCondition_,"468990",_xll.EVPRO($B$1,H40,"JDEID"))</f>
        <v>468990</v>
      </c>
      <c r="M40" s="90" t="str">
        <f>IF(_epmOfflineCondition_,"206022",IF(AND(I40="N",J40="N"),_xll.EVPRO($B$1,H40,"PSFTID"),""))</f>
        <v>206022</v>
      </c>
      <c r="N40" s="90" t="str">
        <f>IF(_epmOfflineCondition_,"Other Revenue: Allowances",IF(_xll.EVDES(H40,$B$1)="#NODATA","",_xll.EVDES(H40,$B$1)))</f>
        <v>Other Revenue: Allowances</v>
      </c>
      <c r="O40" s="587"/>
      <c r="P40" s="587"/>
      <c r="Q40" s="587"/>
      <c r="R40" s="587"/>
      <c r="S40" s="587"/>
      <c r="T40" s="217"/>
      <c r="U40" s="217"/>
      <c r="V40" s="217"/>
      <c r="W40" s="217"/>
      <c r="X40" s="217"/>
      <c r="Y40" s="217"/>
      <c r="Z40" s="217"/>
      <c r="AA40" s="251">
        <f t="shared" si="1"/>
        <v>0</v>
      </c>
      <c r="AB40" s="219" t="str">
        <f t="shared" si="2"/>
        <v/>
      </c>
      <c r="AC40" s="140"/>
      <c r="AD40" s="217"/>
      <c r="AE40" s="219" t="str">
        <f t="shared" si="3"/>
        <v/>
      </c>
      <c r="AF40" s="220">
        <f t="shared" si="4"/>
        <v>0</v>
      </c>
      <c r="AG40" s="217"/>
      <c r="AH40" s="219" t="str">
        <f t="shared" si="5"/>
        <v/>
      </c>
      <c r="AI40" s="220">
        <f t="shared" si="6"/>
        <v>0</v>
      </c>
      <c r="AJ40" s="449">
        <f t="shared" si="7"/>
        <v>0</v>
      </c>
      <c r="AK40" s="450">
        <f t="shared" si="8"/>
        <v>0</v>
      </c>
      <c r="AL40" s="451">
        <f t="shared" si="9"/>
        <v>0</v>
      </c>
      <c r="AM40" s="452">
        <f t="shared" si="10"/>
        <v>0</v>
      </c>
      <c r="AN40" s="453">
        <f t="shared" si="11"/>
        <v>0</v>
      </c>
      <c r="AO40" s="11"/>
    </row>
    <row r="41" spans="1:41" x14ac:dyDescent="0.35">
      <c r="A41" s="11" t="s">
        <v>102</v>
      </c>
      <c r="B41" s="11"/>
      <c r="C41" s="196" t="s">
        <v>101</v>
      </c>
      <c r="D41" s="11" t="s">
        <v>107</v>
      </c>
      <c r="E41" s="11"/>
      <c r="F41" s="11" t="s">
        <v>99</v>
      </c>
      <c r="G41" s="11"/>
      <c r="H41" s="88" t="s">
        <v>280</v>
      </c>
      <c r="I41" s="188" t="str">
        <f>IF(_epmOfflineCondition_,"T3",_xll.EVPRO($B$1,$H41,"STYLE"))</f>
        <v>T3</v>
      </c>
      <c r="J41" s="188" t="str">
        <f>IF(_epmOfflineCondition_,"Y",_xll.EVPRO($B$1,$H41,"CALC"))</f>
        <v>Y</v>
      </c>
      <c r="K41" s="189" t="str">
        <f t="shared" si="0"/>
        <v/>
      </c>
      <c r="L41" s="190" t="str">
        <f>IF(_epmOfflineCondition_,"400000",_xll.EVPRO($B$1,H41,"JDEID"))</f>
        <v>400000</v>
      </c>
      <c r="M41" s="190" t="str">
        <f>IF(_epmOfflineCondition_,"",IF(AND(I41="N",J41="N"),_xll.EVPRO($B$1,H41,"PSFTID"),""))</f>
        <v/>
      </c>
      <c r="N41" s="190" t="str">
        <f>IF(_epmOfflineCondition_,"Total Revenue",IF(_xll.EVDES(H41,$B$1)="#NODATA","",_xll.EVDES(H41,$B$1)))</f>
        <v>Total Revenue</v>
      </c>
      <c r="O41" s="602">
        <v>3040</v>
      </c>
      <c r="P41" s="602">
        <v>2352</v>
      </c>
      <c r="Q41" s="602">
        <v>2909.87</v>
      </c>
      <c r="R41" s="602">
        <v>3110.59</v>
      </c>
      <c r="S41" s="602">
        <v>2161</v>
      </c>
      <c r="T41" s="225">
        <v>4214.01</v>
      </c>
      <c r="U41" s="225">
        <v>7013.28</v>
      </c>
      <c r="V41" s="225">
        <v>4930</v>
      </c>
      <c r="W41" s="225">
        <v>4112</v>
      </c>
      <c r="X41" s="225">
        <v>4345</v>
      </c>
      <c r="Y41" s="225">
        <v>6678</v>
      </c>
      <c r="Z41" s="225">
        <v>7797</v>
      </c>
      <c r="AA41" s="225">
        <f t="shared" si="1"/>
        <v>52662.75</v>
      </c>
      <c r="AB41" s="226">
        <f t="shared" si="2"/>
        <v>1</v>
      </c>
      <c r="AC41" s="227"/>
      <c r="AD41" s="225">
        <v>88934.25</v>
      </c>
      <c r="AE41" s="226">
        <f t="shared" si="3"/>
        <v>1</v>
      </c>
      <c r="AF41" s="228">
        <f t="shared" si="4"/>
        <v>-36271.5</v>
      </c>
      <c r="AG41" s="225">
        <v>52637.84</v>
      </c>
      <c r="AH41" s="226">
        <f t="shared" si="5"/>
        <v>1</v>
      </c>
      <c r="AI41" s="228">
        <f t="shared" si="6"/>
        <v>24.910000000003492</v>
      </c>
      <c r="AJ41" s="229">
        <f t="shared" si="7"/>
        <v>1.3093997861707154</v>
      </c>
      <c r="AK41" s="230">
        <f t="shared" si="8"/>
        <v>2.37</v>
      </c>
      <c r="AL41" s="232">
        <f t="shared" si="9"/>
        <v>2.6253286783042391</v>
      </c>
      <c r="AM41" s="427" t="str">
        <f t="shared" si="10"/>
        <v>0 pts.</v>
      </c>
      <c r="AN41" s="456" t="str">
        <f t="shared" si="11"/>
        <v>0 pts.</v>
      </c>
      <c r="AO41" s="11"/>
    </row>
    <row r="42" spans="1:41" x14ac:dyDescent="0.35">
      <c r="A42" s="11" t="s">
        <v>108</v>
      </c>
      <c r="B42" s="11"/>
      <c r="C42" s="106" t="s">
        <v>101</v>
      </c>
      <c r="D42" s="11" t="s">
        <v>106</v>
      </c>
      <c r="E42" s="11"/>
      <c r="F42" s="11" t="s">
        <v>98</v>
      </c>
      <c r="G42" s="11"/>
      <c r="H42" s="11"/>
      <c r="I42" s="59"/>
      <c r="J42" s="59"/>
      <c r="K42" s="11"/>
      <c r="L42" s="11"/>
      <c r="M42" s="11"/>
      <c r="N42" s="11"/>
      <c r="O42" s="203"/>
      <c r="P42" s="204"/>
      <c r="Q42" s="204"/>
      <c r="R42" s="204"/>
      <c r="S42" s="204"/>
      <c r="T42" s="204"/>
      <c r="U42" s="204"/>
      <c r="V42" s="204"/>
      <c r="W42" s="204"/>
      <c r="X42" s="204"/>
      <c r="Y42" s="204"/>
      <c r="Z42" s="204"/>
      <c r="AA42" s="204"/>
      <c r="AB42" s="118"/>
      <c r="AC42" s="11"/>
      <c r="AD42" s="203"/>
      <c r="AE42" s="204"/>
      <c r="AF42" s="118"/>
      <c r="AG42" s="203"/>
      <c r="AH42" s="204"/>
      <c r="AI42" s="118"/>
      <c r="AJ42" s="11"/>
      <c r="AK42" s="11"/>
      <c r="AL42" s="11"/>
      <c r="AM42" s="11"/>
      <c r="AN42" s="11"/>
      <c r="AO42" s="11"/>
    </row>
    <row r="43" spans="1:41" x14ac:dyDescent="0.35">
      <c r="A43" s="11" t="s">
        <v>108</v>
      </c>
      <c r="B43" s="11"/>
      <c r="C43" s="196" t="s">
        <v>101</v>
      </c>
      <c r="D43" s="11" t="s">
        <v>107</v>
      </c>
      <c r="E43" s="11"/>
      <c r="F43" s="11" t="s">
        <v>99</v>
      </c>
      <c r="G43" s="11"/>
      <c r="H43" s="11" t="s">
        <v>281</v>
      </c>
      <c r="I43" s="59" t="str">
        <f>IF(_epmOfflineCondition_,"B1",_xll.EVPRO($B$1,$H43,"STYLE"))</f>
        <v>B1</v>
      </c>
      <c r="J43" s="59" t="str">
        <f>IF(_epmOfflineCondition_,"Y",_xll.EVPRO($B$1,$H43,"CALC"))</f>
        <v>Y</v>
      </c>
      <c r="K43" s="11"/>
      <c r="L43" s="11"/>
      <c r="M43" s="11"/>
      <c r="N43" s="105" t="str">
        <f>IF(_epmOfflineCondition_,"Cost of Sales",IF(_xll.EVDES(H43,$B$1)="#NODATA","",_xll.EVDES(H43,$B$1)))</f>
        <v>Cost of Sales</v>
      </c>
      <c r="O43" s="203"/>
      <c r="P43" s="204"/>
      <c r="Q43" s="204"/>
      <c r="R43" s="204"/>
      <c r="S43" s="204"/>
      <c r="T43" s="204"/>
      <c r="U43" s="204"/>
      <c r="V43" s="204"/>
      <c r="W43" s="204"/>
      <c r="X43" s="204"/>
      <c r="Y43" s="204"/>
      <c r="Z43" s="204"/>
      <c r="AA43" s="204"/>
      <c r="AB43" s="118"/>
      <c r="AC43" s="11"/>
      <c r="AD43" s="203"/>
      <c r="AE43" s="204"/>
      <c r="AF43" s="118"/>
      <c r="AG43" s="203"/>
      <c r="AH43" s="204"/>
      <c r="AI43" s="118"/>
      <c r="AJ43" s="11"/>
      <c r="AK43" s="11"/>
      <c r="AL43" s="11"/>
      <c r="AM43" s="11"/>
      <c r="AN43" s="11"/>
      <c r="AO43" s="11"/>
    </row>
    <row r="44" spans="1:41" x14ac:dyDescent="0.35">
      <c r="A44" s="11"/>
      <c r="B44" s="11"/>
      <c r="C44" s="11"/>
      <c r="D44" s="11"/>
      <c r="E44" s="11"/>
      <c r="F44" s="11"/>
      <c r="G44" s="11"/>
      <c r="H44" s="11" t="s">
        <v>284</v>
      </c>
      <c r="I44" s="59" t="str">
        <f>IF(_epmOfflineCondition_,"B1",_xll.EVPRO($B$1,$H44,"STYLE"))</f>
        <v>B1</v>
      </c>
      <c r="J44" s="59" t="str">
        <f>IF(_epmOfflineCondition_,"Y",_xll.EVPRO($B$1,$H44,"CALC"))</f>
        <v>Y</v>
      </c>
      <c r="K44" s="11"/>
      <c r="L44" s="11"/>
      <c r="M44" s="11"/>
      <c r="N44" s="53" t="str">
        <f>IF(_epmOfflineCondition_,"Cost of Food &amp; Beverage Sales",IF(_xll.EVDES(H44,$B$1)="#NODATA","",_xll.EVDES(H44,$B$1)))</f>
        <v>Cost of Food &amp; Beverage Sales</v>
      </c>
      <c r="O44" s="203"/>
      <c r="P44" s="204"/>
      <c r="Q44" s="204"/>
      <c r="R44" s="204"/>
      <c r="S44" s="204"/>
      <c r="T44" s="204"/>
      <c r="U44" s="204"/>
      <c r="V44" s="204"/>
      <c r="W44" s="204"/>
      <c r="X44" s="204"/>
      <c r="Y44" s="204"/>
      <c r="Z44" s="204"/>
      <c r="AA44" s="204"/>
      <c r="AB44" s="118"/>
      <c r="AC44" s="11"/>
      <c r="AD44" s="203"/>
      <c r="AE44" s="204"/>
      <c r="AF44" s="118"/>
      <c r="AG44" s="203"/>
      <c r="AH44" s="204"/>
      <c r="AI44" s="118"/>
      <c r="AJ44" s="11"/>
      <c r="AK44" s="11"/>
      <c r="AL44" s="11"/>
      <c r="AM44" s="11"/>
      <c r="AN44" s="11"/>
      <c r="AO44" s="11"/>
    </row>
    <row r="45" spans="1:41" x14ac:dyDescent="0.35">
      <c r="A45" s="11"/>
      <c r="B45" s="11"/>
      <c r="C45" s="11"/>
      <c r="D45" s="11"/>
      <c r="E45" s="11"/>
      <c r="F45" s="11"/>
      <c r="G45" s="11"/>
      <c r="H45" s="88" t="s">
        <v>353</v>
      </c>
      <c r="I45" s="122" t="str">
        <f>IF(_epmOfflineCondition_,"N",_xll.EVPRO($B$1,$H45,"STYLE"))</f>
        <v>N</v>
      </c>
      <c r="J45" s="122" t="str">
        <f>IF(_epmOfflineCondition_,"N",_xll.EVPRO($B$1,$H45,"CALC"))</f>
        <v>N</v>
      </c>
      <c r="K45" s="179" t="str">
        <f t="shared" ref="K45:K51" si="12">IF(AND(I45&gt;="T5"),"&gt;","")</f>
        <v/>
      </c>
      <c r="L45" s="90" t="str">
        <f>IF(_epmOfflineCondition_,"567100",_xll.EVPRO($B$1,H45,"JDEID"))</f>
        <v>567100</v>
      </c>
      <c r="M45" s="90" t="str">
        <f>IF(_epmOfflineCondition_,"301010",IF(AND(I45="N",J45="N"),_xll.EVPRO($B$1,H45,"PSFTID"),""))</f>
        <v>301010</v>
      </c>
      <c r="N45" s="90" t="str">
        <f>IF(_epmOfflineCondition_,"Mini Bar Cost of Food",IF(_xll.EVDES(H45,$B$1)="#NODATA","",_xll.EVDES(H45,$B$1)))</f>
        <v>Mini Bar Cost of Food</v>
      </c>
      <c r="O45" s="601">
        <v>679.72</v>
      </c>
      <c r="P45" s="601">
        <v>597.66999999999996</v>
      </c>
      <c r="Q45" s="601">
        <v>271.77</v>
      </c>
      <c r="R45" s="601">
        <v>181.93</v>
      </c>
      <c r="S45" s="601">
        <v>159.58000000000001</v>
      </c>
      <c r="T45" s="143">
        <v>576.99</v>
      </c>
      <c r="U45" s="143">
        <v>1359.28</v>
      </c>
      <c r="V45" s="143">
        <v>1087.53</v>
      </c>
      <c r="W45" s="143">
        <v>853.14</v>
      </c>
      <c r="X45" s="143">
        <v>844.35</v>
      </c>
      <c r="Y45" s="143">
        <v>1434.64</v>
      </c>
      <c r="Z45" s="143">
        <v>1524.51</v>
      </c>
      <c r="AA45" s="250">
        <f>IF($I45="B1","",SUM(O45:Z45))</f>
        <v>9571.11</v>
      </c>
      <c r="AB45" s="144">
        <f>IF(_epmOfflineCondition_,0.257469654654065,IF(AA45=0,"",IFERROR(AA45/_xll.EVGTS($B$1,1,_xll.EVPRO($B$1,$H45,"COSBASIS"),$B$3,$B$5,$B$6,$B$7,$B$9,AA$16,AA$17,AA$11),"")))</f>
        <v>0.25746965465406502</v>
      </c>
      <c r="AC45" s="140"/>
      <c r="AD45" s="143">
        <v>9794.0249999999996</v>
      </c>
      <c r="AE45" s="144">
        <f>IF(_epmOfflineCondition_,0.261,IF(AD45=0,"",IFERROR(AD45/_xll.EVGTS($B$1,1,_xll.EVPRO($B$1,$H45,"COSBASIS"),$B$3,$B$5,$B$6,$B$7,$B$9,AD$16,AD$17,AD$18),"")))</f>
        <v>0.26100000000000001</v>
      </c>
      <c r="AF45" s="145">
        <f t="shared" ref="AF45:AF51" si="13">IF(AND($AA45="",AD45=""),"",$AA45-AD45)</f>
        <v>-222.91499999999905</v>
      </c>
      <c r="AG45" s="143">
        <v>6216.67</v>
      </c>
      <c r="AH45" s="144">
        <f>IF(_epmOfflineCondition_,0.26274143847268,IF(AG45=0,"",IFERROR(AG45/_xll.EVGTS($B$1,1,_xll.EVPRO($B$1,$H45,"COSBASIS"),$B$3,$B$5,$B$6,$B$7,$B$9,AG$16,AG$17,AG$18),"")))</f>
        <v>0.26274143847268</v>
      </c>
      <c r="AI45" s="145">
        <f t="shared" ref="AI45:AI51" si="14">IF(AND($AA45="",AG45=""),"",$AA45-AG45)</f>
        <v>3354.4400000000005</v>
      </c>
      <c r="AJ45" s="440">
        <f t="shared" ref="AJ45:AJ51" si="15">IFERROR(AA45/AA$20,0)</f>
        <v>0.23797483776324624</v>
      </c>
      <c r="AK45" s="441">
        <f t="shared" ref="AK45:AK51" si="16">IFERROR(AD45/AD$20,0)</f>
        <v>0.26100000000000001</v>
      </c>
      <c r="AL45" s="442">
        <f t="shared" ref="AL45:AL51" si="17">IFERROR(AG45/AG$20,0)</f>
        <v>0.31005835411471322</v>
      </c>
      <c r="AM45" s="443" t="str">
        <f t="shared" ref="AM45:AM51" si="18">+IFERROR(ROUND(($AB45-AE45)*100,2)&amp;" pts.",0)</f>
        <v>-0.35 pts.</v>
      </c>
      <c r="AN45" s="444" t="str">
        <f t="shared" ref="AN45:AN51" si="19">+IFERROR(ROUND(($AB45-AH45)*100,2)&amp;" pts.",0)</f>
        <v>-0.53 pts.</v>
      </c>
      <c r="AO45" s="11"/>
    </row>
    <row r="46" spans="1:41" x14ac:dyDescent="0.35">
      <c r="A46" s="61" t="str">
        <f>IF(_epmOfflineCondition_,"Evdre:Ok",_xll.EVDRE($B$1,A49:B56,A59:B65))</f>
        <v>Evdre:Ok</v>
      </c>
      <c r="B46" s="11"/>
      <c r="C46" s="11"/>
      <c r="D46" s="11"/>
      <c r="E46" s="11"/>
      <c r="F46" s="11"/>
      <c r="G46" s="11"/>
      <c r="H46" s="88" t="s">
        <v>354</v>
      </c>
      <c r="I46" s="122" t="str">
        <f>IF(_epmOfflineCondition_,"N",_xll.EVPRO($B$1,$H46,"STYLE"))</f>
        <v>N</v>
      </c>
      <c r="J46" s="122" t="str">
        <f>IF(_epmOfflineCondition_,"N",_xll.EVPRO($B$1,$H46,"CALC"))</f>
        <v>N</v>
      </c>
      <c r="K46" s="179" t="str">
        <f t="shared" si="12"/>
        <v/>
      </c>
      <c r="L46" s="90" t="str">
        <f>IF(_epmOfflineCondition_,"567200",_xll.EVPRO($B$1,H46,"JDEID"))</f>
        <v>567200</v>
      </c>
      <c r="M46" s="90" t="str">
        <f>IF(_epmOfflineCondition_,"302010",IF(AND(I46="N",J46="N"),_xll.EVPRO($B$1,H46,"PSFTID"),""))</f>
        <v>302010</v>
      </c>
      <c r="N46" s="90" t="str">
        <f>IF(_epmOfflineCondition_,"Mini Bar Cost of Beverage",IF(_xll.EVDES(H46,$B$1)="#NODATA","",_xll.EVDES(H46,$B$1)))</f>
        <v>Mini Bar Cost of Beverage</v>
      </c>
      <c r="O46" s="587">
        <v>1127.0999999999999</v>
      </c>
      <c r="P46" s="587">
        <v>1144.1199999999999</v>
      </c>
      <c r="Q46" s="587">
        <v>796.91</v>
      </c>
      <c r="R46" s="587">
        <v>555.41999999999996</v>
      </c>
      <c r="S46" s="587">
        <v>253.51</v>
      </c>
      <c r="T46" s="217">
        <v>-167.79</v>
      </c>
      <c r="U46" s="217">
        <v>312.76</v>
      </c>
      <c r="V46" s="217">
        <v>189.46</v>
      </c>
      <c r="W46" s="217">
        <v>174.53</v>
      </c>
      <c r="X46" s="217">
        <v>-14</v>
      </c>
      <c r="Y46" s="217">
        <v>347.56</v>
      </c>
      <c r="Z46" s="217">
        <v>38.35</v>
      </c>
      <c r="AA46" s="251">
        <f>IF($I46="B1","",SUM(O46:Z46))</f>
        <v>4757.93</v>
      </c>
      <c r="AB46" s="219">
        <f>IF(_epmOfflineCondition_,0.30625193099897,IF(AA46=0,"",IFERROR(AA46/_xll.EVGTS($B$1,1,_xll.EVPRO($B$1,$H46,"COSBASIS"),$B$3,$B$5,$B$6,$B$7,$B$9,AA$16,AA$17,AA$11),"")))</f>
        <v>0.30625193099897002</v>
      </c>
      <c r="AC46" s="140"/>
      <c r="AD46" s="217">
        <v>13148.76</v>
      </c>
      <c r="AE46" s="219">
        <f>IF(_epmOfflineCondition_,0.292,IF(AD46=0,"",IFERROR(AD46/_xll.EVGTS($B$1,1,_xll.EVPRO($B$1,$H46,"COSBASIS"),$B$3,$B$5,$B$6,$B$7,$B$9,AD$16,AD$17,AD$18),"")))</f>
        <v>0.29199999999999998</v>
      </c>
      <c r="AF46" s="220">
        <f t="shared" si="13"/>
        <v>-8390.83</v>
      </c>
      <c r="AG46" s="217">
        <v>6583.29</v>
      </c>
      <c r="AH46" s="219">
        <f>IF(_epmOfflineCondition_,0.261171709958642,IF(AG46=0,"",IFERROR(AG46/_xll.EVGTS($B$1,1,_xll.EVPRO($B$1,$H46,"COSBASIS"),$B$3,$B$5,$B$6,$B$7,$B$9,AG$16,AG$17,AG$18),"")))</f>
        <v>0.26117170995864197</v>
      </c>
      <c r="AI46" s="220">
        <f t="shared" si="14"/>
        <v>-1825.3599999999997</v>
      </c>
      <c r="AJ46" s="449">
        <f t="shared" si="15"/>
        <v>0.11830055446430793</v>
      </c>
      <c r="AK46" s="450">
        <f t="shared" si="16"/>
        <v>0.35039999999999999</v>
      </c>
      <c r="AL46" s="451">
        <f t="shared" si="17"/>
        <v>0.32834364089775558</v>
      </c>
      <c r="AM46" s="452" t="str">
        <f t="shared" si="18"/>
        <v>1.43 pts.</v>
      </c>
      <c r="AN46" s="453" t="str">
        <f t="shared" si="19"/>
        <v>4.51 pts.</v>
      </c>
      <c r="AO46" s="11"/>
    </row>
    <row r="47" spans="1:41" x14ac:dyDescent="0.35">
      <c r="A47" s="11"/>
      <c r="B47" s="11"/>
      <c r="C47" s="11"/>
      <c r="D47" s="11"/>
      <c r="E47" s="11"/>
      <c r="F47" s="11"/>
      <c r="G47" s="11"/>
      <c r="H47" s="88" t="s">
        <v>286</v>
      </c>
      <c r="I47" s="188" t="str">
        <f>IF(_epmOfflineCondition_,"T4",_xll.EVPRO($B$1,$H47,"STYLE"))</f>
        <v>T4</v>
      </c>
      <c r="J47" s="188" t="str">
        <f>IF(_epmOfflineCondition_,"Y",_xll.EVPRO($B$1,$H47,"CALC"))</f>
        <v>Y</v>
      </c>
      <c r="K47" s="189" t="str">
        <f t="shared" si="12"/>
        <v/>
      </c>
      <c r="L47" s="190" t="str">
        <f>IF(_epmOfflineCondition_,"",_xll.EVPRO($B$1,H47,"JDEID"))</f>
        <v/>
      </c>
      <c r="M47" s="190" t="str">
        <f>IF(_epmOfflineCondition_,"",IF(AND(I47="N",J47="N"),_xll.EVPRO($B$1,H47,"PSFTID"),""))</f>
        <v/>
      </c>
      <c r="N47" s="190" t="str">
        <f>IF(_epmOfflineCondition_,"Total Cost of Food &amp; Beverage Sales",IF(_xll.EVDES(H47,$B$1)="#NODATA","",_xll.EVDES(H47,$B$1)))</f>
        <v>Total Cost of Food &amp; Beverage Sales</v>
      </c>
      <c r="O47" s="602">
        <v>1806.82</v>
      </c>
      <c r="P47" s="602">
        <v>1741.79</v>
      </c>
      <c r="Q47" s="602">
        <v>1068.68</v>
      </c>
      <c r="R47" s="602">
        <v>737.35</v>
      </c>
      <c r="S47" s="602">
        <v>413.09</v>
      </c>
      <c r="T47" s="225">
        <v>409.2</v>
      </c>
      <c r="U47" s="225">
        <v>1672.04</v>
      </c>
      <c r="V47" s="225">
        <v>1276.99</v>
      </c>
      <c r="W47" s="225">
        <v>1027.67</v>
      </c>
      <c r="X47" s="225">
        <v>830.35</v>
      </c>
      <c r="Y47" s="225">
        <v>1782.2</v>
      </c>
      <c r="Z47" s="225">
        <v>1562.86</v>
      </c>
      <c r="AA47" s="225">
        <f>IF($I47="B1","",SUM(O47:Z47))</f>
        <v>14329.040000000003</v>
      </c>
      <c r="AB47" s="226">
        <f>IF(_epmOfflineCondition_,0.271848049335853,IF(AA47=0,"",IFERROR(AA47/_xll.EVGTS($B$1,1,_xll.EVPRO($B$1,$H47,"COSBASIS"),$B$3,$B$5,$B$6,$B$7,$B$9,AA$16,AA$17,AA$11),"")))</f>
        <v>0.27184804933585299</v>
      </c>
      <c r="AC47" s="227"/>
      <c r="AD47" s="225">
        <v>22942.785</v>
      </c>
      <c r="AE47" s="226">
        <f>IF(_epmOfflineCondition_,0.277909090909091,IF(AD47=0,"",IFERROR(AD47/_xll.EVGTS($B$1,1,_xll.EVPRO($B$1,$H47,"COSBASIS"),$B$3,$B$5,$B$6,$B$7,$B$9,AD$16,AD$17,AD$18),"")))</f>
        <v>0.27790909090909099</v>
      </c>
      <c r="AF47" s="228">
        <f t="shared" si="13"/>
        <v>-8613.7449999999972</v>
      </c>
      <c r="AG47" s="225">
        <v>12799.96</v>
      </c>
      <c r="AH47" s="226">
        <f>IF(_epmOfflineCondition_,0.262069194263697,IF(AG47=0,"",IFERROR(AG47/_xll.EVGTS($B$1,1,_xll.EVPRO($B$1,$H47,"COSBASIS"),$B$3,$B$5,$B$6,$B$7,$B$9,AG$16,AG$17,AG$18),"")))</f>
        <v>0.26206919426369701</v>
      </c>
      <c r="AI47" s="228">
        <f t="shared" si="14"/>
        <v>1529.0800000000036</v>
      </c>
      <c r="AJ47" s="229">
        <f t="shared" si="15"/>
        <v>0.35627539222755422</v>
      </c>
      <c r="AK47" s="230">
        <f t="shared" si="16"/>
        <v>0.61139999999999994</v>
      </c>
      <c r="AL47" s="232">
        <f t="shared" si="17"/>
        <v>0.63840199501246875</v>
      </c>
      <c r="AM47" s="427" t="str">
        <f t="shared" si="18"/>
        <v>-0.61 pts.</v>
      </c>
      <c r="AN47" s="456" t="str">
        <f t="shared" si="19"/>
        <v>0.98 pts.</v>
      </c>
      <c r="AO47" s="11"/>
    </row>
    <row r="48" spans="1:41" x14ac:dyDescent="0.35">
      <c r="A48" s="62" t="s">
        <v>0</v>
      </c>
      <c r="B48" s="63" t="s">
        <v>1</v>
      </c>
      <c r="C48" s="11"/>
      <c r="D48" s="11"/>
      <c r="E48" s="11"/>
      <c r="F48" s="11"/>
      <c r="G48" s="11"/>
      <c r="H48" s="88" t="s">
        <v>355</v>
      </c>
      <c r="I48" s="122" t="str">
        <f>IF(_epmOfflineCondition_,"N",_xll.EVPRO($B$1,$H48,"STYLE"))</f>
        <v>N</v>
      </c>
      <c r="J48" s="122" t="str">
        <f>IF(_epmOfflineCondition_,"N",_xll.EVPRO($B$1,$H48,"CALC"))</f>
        <v>N</v>
      </c>
      <c r="K48" s="179" t="str">
        <f t="shared" si="12"/>
        <v/>
      </c>
      <c r="L48" s="90" t="str">
        <f>IF(_epmOfflineCondition_,"567300",_xll.EVPRO($B$1,H48,"JDEID"))</f>
        <v>567300</v>
      </c>
      <c r="M48" s="90" t="str">
        <f>IF(_epmOfflineCondition_,"306099",IF(AND(I48="N",J48="N"),_xll.EVPRO($B$1,H48,"PSFTID"),""))</f>
        <v>306099</v>
      </c>
      <c r="N48" s="90" t="str">
        <f>IF(_epmOfflineCondition_,"Mini Bar Cost of Merchandise",IF(_xll.EVDES(H48,$B$1)="#NODATA","",_xll.EVDES(H48,$B$1)))</f>
        <v>Mini Bar Cost of Merchandise</v>
      </c>
      <c r="O48" s="600"/>
      <c r="P48" s="600"/>
      <c r="Q48" s="600"/>
      <c r="R48" s="600"/>
      <c r="S48" s="600">
        <v>-87.53</v>
      </c>
      <c r="T48" s="216">
        <v>110.94</v>
      </c>
      <c r="U48" s="216">
        <v>10.47</v>
      </c>
      <c r="V48" s="216"/>
      <c r="W48" s="216"/>
      <c r="X48" s="216"/>
      <c r="Y48" s="216">
        <v>23.41</v>
      </c>
      <c r="Z48" s="216">
        <v>50.82</v>
      </c>
      <c r="AA48" s="216">
        <f>IF($I48="B1","",SUM(O48:Z48))</f>
        <v>108.10999999999999</v>
      </c>
      <c r="AB48" s="218">
        <f>IF(_epmOfflineCondition_,-2.30070227708023,IF(AA48=0,"",IFERROR(AA48/_xll.EVGTS($B$1,1,_xll.EVPRO($B$1,$H48,"COSBASIS"),$B$3,$B$5,$B$6,$B$7,$B$9,AA$16,AA$17,AA$11),"")))</f>
        <v>-2.3007022770802301</v>
      </c>
      <c r="AC48" s="140"/>
      <c r="AD48" s="216">
        <v>2436.8735000000001</v>
      </c>
      <c r="AE48" s="218">
        <f>IF(_epmOfflineCondition_,0.382,IF(AD48=0,"",IFERROR(AD48/_xll.EVGTS($B$1,1,_xll.EVPRO($B$1,$H48,"COSBASIS"),$B$3,$B$5,$B$6,$B$7,$B$9,AD$16,AD$17,AD$18),"")))</f>
        <v>0.38200000000000001</v>
      </c>
      <c r="AF48" s="233">
        <f t="shared" si="13"/>
        <v>-2328.7635</v>
      </c>
      <c r="AG48" s="216">
        <v>1489.4</v>
      </c>
      <c r="AH48" s="218">
        <f>IF(_epmOfflineCondition_,0.392367614787417,IF(AG48=0,"",IFERROR(AG48/_xll.EVGTS($B$1,1,_xll.EVPRO($B$1,$H48,"COSBASIS"),$B$3,$B$5,$B$6,$B$7,$B$9,AG$16,AG$17,AG$18),"")))</f>
        <v>0.392367614787417</v>
      </c>
      <c r="AI48" s="233">
        <f t="shared" si="14"/>
        <v>-1381.2900000000002</v>
      </c>
      <c r="AJ48" s="532">
        <f t="shared" si="15"/>
        <v>2.6880330192197714E-3</v>
      </c>
      <c r="AK48" s="533">
        <f t="shared" si="16"/>
        <v>6.4939999999999998E-2</v>
      </c>
      <c r="AL48" s="534">
        <f t="shared" si="17"/>
        <v>7.4284289276807983E-2</v>
      </c>
      <c r="AM48" s="535" t="str">
        <f t="shared" si="18"/>
        <v>-268.27 pts.</v>
      </c>
      <c r="AN48" s="536" t="str">
        <f t="shared" si="19"/>
        <v>-269.31 pts.</v>
      </c>
      <c r="AO48" s="11"/>
    </row>
    <row r="49" spans="1:41" x14ac:dyDescent="0.35">
      <c r="A49" s="65" t="s">
        <v>2</v>
      </c>
      <c r="B49" s="66" t="str">
        <f>IF(_epmOfflineCondition_,"'Mini_Bar'!$B$2:$B$10",_xll.EVRNG($B$2:$B$10))</f>
        <v>'Mini_Bar'!$B$2:$B$10</v>
      </c>
      <c r="C49" s="11"/>
      <c r="D49" s="11"/>
      <c r="E49" s="11"/>
      <c r="F49" s="11"/>
      <c r="G49" s="11"/>
      <c r="H49" s="88" t="s">
        <v>289</v>
      </c>
      <c r="I49" s="188" t="str">
        <f>IF(_epmOfflineCondition_,"T3",_xll.EVPRO($B$1,$H49,"STYLE"))</f>
        <v>T3</v>
      </c>
      <c r="J49" s="188" t="str">
        <f>IF(_epmOfflineCondition_,"Y",_xll.EVPRO($B$1,$H49,"CALC"))</f>
        <v>Y</v>
      </c>
      <c r="K49" s="189" t="str">
        <f t="shared" si="12"/>
        <v/>
      </c>
      <c r="L49" s="190" t="str">
        <f>IF(_epmOfflineCondition_,"500001",_xll.EVPRO($B$1,H49,"JDEID"))</f>
        <v>500001</v>
      </c>
      <c r="M49" s="190" t="str">
        <f>IF(_epmOfflineCondition_,"",IF(AND(I49="N",J49="N"),_xll.EVPRO($B$1,H49,"PSFTID"),""))</f>
        <v/>
      </c>
      <c r="N49" s="190" t="str">
        <f>IF(_epmOfflineCondition_,"Total Cost of Sales",IF(_xll.EVDES(H49,$B$1)="#NODATA","",_xll.EVDES(H49,$B$1)))</f>
        <v>Total Cost of Sales</v>
      </c>
      <c r="O49" s="602">
        <v>1806.82</v>
      </c>
      <c r="P49" s="602">
        <v>1741.79</v>
      </c>
      <c r="Q49" s="602">
        <v>1068.68</v>
      </c>
      <c r="R49" s="602">
        <v>737.35</v>
      </c>
      <c r="S49" s="602">
        <v>325.56</v>
      </c>
      <c r="T49" s="225">
        <v>520.14</v>
      </c>
      <c r="U49" s="225">
        <v>1682.51</v>
      </c>
      <c r="V49" s="225">
        <v>1276.99</v>
      </c>
      <c r="W49" s="225">
        <v>1027.67</v>
      </c>
      <c r="X49" s="225">
        <v>830.35</v>
      </c>
      <c r="Y49" s="225">
        <v>1805.61</v>
      </c>
      <c r="Z49" s="225">
        <v>1613.68</v>
      </c>
      <c r="AA49" s="225">
        <f>IF($I49="B1","",SUM(O49:Z49))</f>
        <v>14437.150000000003</v>
      </c>
      <c r="AB49" s="226">
        <f>IF(_epmOfflineCondition_,0.274143488518925,IF(AA49=0,"",IFERROR(AA49/_xll.EVGTS($B$1,1,_xll.EVPRO($B$1,$H49,"COSBASIS"),$B$3,$B$5,$B$6,$B$7,$B$9,AA$16,AA$17,AA$11),"")))</f>
        <v>0.274143488518925</v>
      </c>
      <c r="AC49" s="227"/>
      <c r="AD49" s="225">
        <v>25379.658500000001</v>
      </c>
      <c r="AE49" s="226">
        <f>IF(_epmOfflineCondition_,0.28537552742616,IF(AD49=0,"",IFERROR(AD49/_xll.EVGTS($B$1,1,_xll.EVPRO($B$1,$H49,"COSBASIS"),$B$3,$B$5,$B$6,$B$7,$B$9,AD$16,AD$17,AD$18),"")))</f>
        <v>0.28537552742616001</v>
      </c>
      <c r="AF49" s="228">
        <f t="shared" si="13"/>
        <v>-10942.508499999998</v>
      </c>
      <c r="AG49" s="225">
        <v>14289.36</v>
      </c>
      <c r="AH49" s="226">
        <f>IF(_epmOfflineCondition_,0.271465546458593,IF(AG49=0,"",IFERROR(AG49/_xll.EVGTS($B$1,1,_xll.EVPRO($B$1,$H49,"COSBASIS"),$B$3,$B$5,$B$6,$B$7,$B$9,AG$16,AG$17,AG$18),"")))</f>
        <v>0.271465546458593</v>
      </c>
      <c r="AI49" s="228">
        <f t="shared" si="14"/>
        <v>147.79000000000269</v>
      </c>
      <c r="AJ49" s="229">
        <f t="shared" si="15"/>
        <v>0.35896342524677399</v>
      </c>
      <c r="AK49" s="230">
        <f t="shared" si="16"/>
        <v>0.67634000000000005</v>
      </c>
      <c r="AL49" s="232">
        <f t="shared" si="17"/>
        <v>0.71268628428927683</v>
      </c>
      <c r="AM49" s="427" t="str">
        <f t="shared" si="18"/>
        <v>-1.12 pts.</v>
      </c>
      <c r="AN49" s="456" t="str">
        <f t="shared" si="19"/>
        <v>0.27 pts.</v>
      </c>
      <c r="AO49" s="11"/>
    </row>
    <row r="50" spans="1:41" x14ac:dyDescent="0.35">
      <c r="A50" s="65" t="s">
        <v>3</v>
      </c>
      <c r="B50" s="66" t="str">
        <f>IF(_epmOfflineCondition_,"'Mini_Bar'!$O$16:$AN$18",_xll.EVRNG($O$16:$AN$18))</f>
        <v>'Mini_Bar'!$O$16:$AN$18</v>
      </c>
      <c r="C50" s="11"/>
      <c r="D50" s="11"/>
      <c r="E50" s="11"/>
      <c r="F50" s="11"/>
      <c r="G50" s="11"/>
      <c r="H50" s="185" t="s">
        <v>175</v>
      </c>
      <c r="I50" s="89" t="str">
        <f>IF(_epmOfflineCondition_,"B1",_xll.EVPRO($B$1,$H50,"STYLE"))</f>
        <v>B1</v>
      </c>
      <c r="J50" s="89" t="str">
        <f>IF(_epmOfflineCondition_,"Y",_xll.EVPRO($B$1,$H50,"CALC"))</f>
        <v>Y</v>
      </c>
      <c r="K50" s="265" t="str">
        <f t="shared" si="12"/>
        <v/>
      </c>
      <c r="L50" s="265"/>
      <c r="M50" s="265"/>
      <c r="N50" s="106" t="str">
        <f>IF(_epmOfflineCondition_,"BLANKROW",IF(_xll.EVDES(H50,$B$1)="#NODATA","",_xll.EVDES(H50,$B$1)))</f>
        <v>BLANKROW</v>
      </c>
      <c r="O50" s="205"/>
      <c r="P50" s="205"/>
      <c r="Q50" s="205"/>
      <c r="R50" s="205"/>
      <c r="S50" s="205"/>
      <c r="T50" s="205"/>
      <c r="U50" s="205"/>
      <c r="V50" s="205"/>
      <c r="W50" s="205"/>
      <c r="X50" s="205"/>
      <c r="Y50" s="205"/>
      <c r="Z50" s="205"/>
      <c r="AA50" s="205"/>
      <c r="AB50" s="206" t="str">
        <f>IF(_epmOfflineCondition_,"",IF(O50=0,"",IFERROR(O50/_xll.EVGTS($B$1,1,INDEX($C$150:$C$173,MATCH($H50,$A$150:$A$173,0)),$B$3,$B$5,$B$6,$B$7,$B$9,O$16,O$17,O$18),"")))</f>
        <v/>
      </c>
      <c r="AC50" s="11"/>
      <c r="AD50" s="205"/>
      <c r="AE50" s="206" t="str">
        <f>IF(_epmOfflineCondition_,"",IF(AD50=0,"",IFERROR(AD50/_xll.EVGTS($B$1,1,INDEX($C$150:$C$173,MATCH($H50,$A$150:$A$173,0)),$B$3,$B$5,$B$6,$B$7,$B$9,AD$16,AD$17,AD$18),"")))</f>
        <v/>
      </c>
      <c r="AF50" s="207" t="str">
        <f t="shared" si="13"/>
        <v/>
      </c>
      <c r="AG50" s="205"/>
      <c r="AH50" s="206" t="str">
        <f>IF(_epmOfflineCondition_,"",IF(AG50=0,"",IFERROR(AG50/_xll.EVGTS($B$1,1,INDEX($C$150:$C$173,MATCH($H50,$A$150:$A$173,0)),$B$3,$B$5,$B$6,$B$7,$B$9,AG$16,AG$17,AG$18),"")))</f>
        <v/>
      </c>
      <c r="AI50" s="207" t="str">
        <f t="shared" si="14"/>
        <v/>
      </c>
      <c r="AJ50" s="523">
        <f t="shared" si="15"/>
        <v>0</v>
      </c>
      <c r="AK50" s="524">
        <f t="shared" si="16"/>
        <v>0</v>
      </c>
      <c r="AL50" s="525">
        <f t="shared" si="17"/>
        <v>0</v>
      </c>
      <c r="AM50" s="526">
        <f t="shared" si="18"/>
        <v>0</v>
      </c>
      <c r="AN50" s="527">
        <f t="shared" si="19"/>
        <v>0</v>
      </c>
      <c r="AO50" s="11"/>
    </row>
    <row r="51" spans="1:41" x14ac:dyDescent="0.35">
      <c r="A51" s="65" t="s">
        <v>4</v>
      </c>
      <c r="B51" s="66" t="str">
        <f>IF(_epmOfflineCondition_,"'Mini_Bar'!$H$45:$H$49",_xll.EVRNG(H45:H49))</f>
        <v>'Mini_Bar'!$H$45:$H$49</v>
      </c>
      <c r="C51" s="11"/>
      <c r="D51" s="11"/>
      <c r="E51" s="11"/>
      <c r="F51" s="11"/>
      <c r="G51" s="11"/>
      <c r="H51" s="185" t="s">
        <v>292</v>
      </c>
      <c r="I51" s="89" t="str">
        <f>IF(_epmOfflineCondition_,"T3",_xll.EVPRO($B$1,$H51,"STYLE"))</f>
        <v>T3</v>
      </c>
      <c r="J51" s="89" t="str">
        <f>IF(_epmOfflineCondition_,"Y",_xll.EVPRO($B$1,$H51,"CALC"))</f>
        <v>Y</v>
      </c>
      <c r="K51" s="265" t="str">
        <f t="shared" si="12"/>
        <v/>
      </c>
      <c r="L51" s="265"/>
      <c r="M51" s="265"/>
      <c r="N51" s="106" t="str">
        <f>IF(_epmOfflineCondition_,"Gross Profit",IF(_xll.EVDES(H51,$B$1)="#NODATA","",_xll.EVDES(H51,$B$1)))</f>
        <v>Gross Profit</v>
      </c>
      <c r="O51" s="123">
        <f t="shared" ref="O51:Z51" si="20">SUMIF($H$35:$H$49,"400000",O35:O49)-SUMIF($H$35:$H$49,"500001",O35:O49)</f>
        <v>1233.18</v>
      </c>
      <c r="P51" s="123">
        <f t="shared" si="20"/>
        <v>610.21</v>
      </c>
      <c r="Q51" s="123">
        <f t="shared" si="20"/>
        <v>1841.1899999999998</v>
      </c>
      <c r="R51" s="123">
        <f t="shared" si="20"/>
        <v>2373.2400000000002</v>
      </c>
      <c r="S51" s="123">
        <f t="shared" si="20"/>
        <v>1835.44</v>
      </c>
      <c r="T51" s="123">
        <f t="shared" si="20"/>
        <v>3693.8700000000003</v>
      </c>
      <c r="U51" s="123">
        <f t="shared" si="20"/>
        <v>5330.7699999999995</v>
      </c>
      <c r="V51" s="123">
        <f t="shared" si="20"/>
        <v>3653.01</v>
      </c>
      <c r="W51" s="123">
        <f t="shared" si="20"/>
        <v>3084.33</v>
      </c>
      <c r="X51" s="123">
        <f t="shared" si="20"/>
        <v>3514.65</v>
      </c>
      <c r="Y51" s="123">
        <f t="shared" si="20"/>
        <v>4872.3900000000003</v>
      </c>
      <c r="Z51" s="123">
        <f t="shared" si="20"/>
        <v>6183.32</v>
      </c>
      <c r="AA51" s="123">
        <f>IF($I51="B1","",SUM(O51:Z51))</f>
        <v>38225.600000000006</v>
      </c>
      <c r="AB51" s="192">
        <f>IF(AA51=0,"",IFERROR(AA51/AA$19,""))</f>
        <v>0.72585651148107544</v>
      </c>
      <c r="AC51" s="11"/>
      <c r="AD51" s="123">
        <f>SUMIF($H$35:$H$49,"400000",AD35:AD49)-SUMIF($H$35:$H$49,"500001",AD35:AD49)</f>
        <v>63554.591499999995</v>
      </c>
      <c r="AE51" s="192">
        <f>IF(AD51=0,"",IFERROR(AD51/AD$19,""))</f>
        <v>0.71462447257383965</v>
      </c>
      <c r="AF51" s="125">
        <f t="shared" si="13"/>
        <v>-25328.991499999989</v>
      </c>
      <c r="AG51" s="123">
        <f>SUMIF($H$35:$H$49,"400000",AG35:AG49)-SUMIF($H$35:$H$49,"500001",AG35:AG49)</f>
        <v>38348.479999999996</v>
      </c>
      <c r="AH51" s="192">
        <f>IF(AG51=0,"",IFERROR(AG51/AG$19,""))</f>
        <v>0.72853445354140667</v>
      </c>
      <c r="AI51" s="125">
        <f t="shared" si="14"/>
        <v>-122.8799999999901</v>
      </c>
      <c r="AJ51" s="388">
        <f t="shared" si="15"/>
        <v>0.95043636092394157</v>
      </c>
      <c r="AK51" s="389">
        <f t="shared" si="16"/>
        <v>1.6936599999999999</v>
      </c>
      <c r="AL51" s="390">
        <f t="shared" si="17"/>
        <v>1.9126423940149624</v>
      </c>
      <c r="AM51" s="391" t="str">
        <f t="shared" si="18"/>
        <v>1.12 pts.</v>
      </c>
      <c r="AN51" s="544" t="str">
        <f t="shared" si="19"/>
        <v>-0.27 pts.</v>
      </c>
      <c r="AO51" s="11"/>
    </row>
    <row r="52" spans="1:41" x14ac:dyDescent="0.35">
      <c r="A52" s="65" t="s">
        <v>5</v>
      </c>
      <c r="B52" s="66"/>
      <c r="C52" s="11"/>
      <c r="D52" s="11"/>
      <c r="E52" s="11"/>
      <c r="F52" s="384"/>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393"/>
      <c r="AE52" s="204"/>
      <c r="AF52" s="118"/>
      <c r="AG52" s="393"/>
      <c r="AH52" s="204"/>
      <c r="AI52" s="118"/>
      <c r="AJ52" s="11"/>
      <c r="AK52" s="11"/>
      <c r="AL52" s="11"/>
      <c r="AM52" s="11"/>
      <c r="AN52" s="11"/>
      <c r="AO52" s="11"/>
    </row>
    <row r="53" spans="1:41" x14ac:dyDescent="0.35">
      <c r="A53" s="65" t="s">
        <v>6</v>
      </c>
      <c r="B53" s="66"/>
      <c r="C53" s="11"/>
      <c r="D53" s="11"/>
      <c r="E53" s="11"/>
      <c r="F53" s="384"/>
      <c r="G53" s="11"/>
      <c r="H53" s="11" t="s">
        <v>73</v>
      </c>
      <c r="I53" s="59" t="str">
        <f>IF(_epmOfflineCondition_,"B1",_xll.EVPRO($B$1,$H53,"STYLE"))</f>
        <v>B1</v>
      </c>
      <c r="J53" s="59" t="str">
        <f>IF(_epmOfflineCondition_,"Y",_xll.EVPRO($B$1,$H53,"CALC"))</f>
        <v>Y</v>
      </c>
      <c r="K53" s="11"/>
      <c r="L53" s="11"/>
      <c r="M53" s="11"/>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35">
      <c r="A54" s="65" t="s">
        <v>7</v>
      </c>
      <c r="B54" s="66" t="str">
        <f>IF(_epmOfflineCondition_,"'Mini_Bar'!$A$68:$F$75",_xll.EVRNG(A68:F75))</f>
        <v>'Mini_Bar'!$A$68:$F$75</v>
      </c>
      <c r="C54" s="11"/>
      <c r="D54" s="11"/>
      <c r="E54" s="11"/>
      <c r="F54" s="384"/>
      <c r="G54" s="11"/>
      <c r="H54" s="11" t="s">
        <v>74</v>
      </c>
      <c r="I54" s="59" t="str">
        <f>IF(_epmOfflineCondition_,"B1",_xll.EVPRO($B$1,$H54,"STYLE"))</f>
        <v>B1</v>
      </c>
      <c r="J54" s="59" t="str">
        <f>IF(_epmOfflineCondition_,"Y",_xll.EVPRO($B$1,$H54,"CALC"))</f>
        <v>Y</v>
      </c>
      <c r="K54" s="11"/>
      <c r="L54" s="11"/>
      <c r="M54" s="11"/>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20"/>
      <c r="AH54" s="120"/>
      <c r="AI54" s="121"/>
      <c r="AJ54" s="11"/>
      <c r="AK54" s="11"/>
      <c r="AL54" s="11"/>
      <c r="AM54" s="11"/>
      <c r="AN54" s="11"/>
      <c r="AO54" s="11"/>
    </row>
    <row r="55" spans="1:41" hidden="1" x14ac:dyDescent="0.35">
      <c r="A55" s="65" t="s">
        <v>47</v>
      </c>
      <c r="B55" s="66" t="str">
        <f>IF(_epmOfflineCondition_,"'Mini_Bar'!$A$123:$B$144",_xll.EVRNG($A$123:$B$144))</f>
        <v>'Mini_Bar'!$A$123:$B$144</v>
      </c>
      <c r="C55" s="11"/>
      <c r="D55" s="11"/>
      <c r="E55" s="11"/>
      <c r="F55" s="11"/>
      <c r="G55" s="11"/>
      <c r="H55" s="88" t="s">
        <v>667</v>
      </c>
      <c r="I55" s="122" t="str">
        <f>IF(_epmOfflineCondition_,"",_xll.EVPRO($B$1,$H55,"STYLE"))</f>
        <v/>
      </c>
      <c r="J55" s="122" t="str">
        <f>IF(_epmOfflineCondition_,"",_xll.EVPRO($B$1,$H55,"CALC"))</f>
        <v/>
      </c>
      <c r="K55" s="179" t="str">
        <f>IF(AND(I55&lt;&gt;"B1",J55="Y"),"&gt;","")</f>
        <v/>
      </c>
      <c r="L55" s="90" t="str">
        <f>IF(_epmOfflineCondition_,"",_xll.EVPRO($B$1,H55,"JDEID"))</f>
        <v/>
      </c>
      <c r="M55" s="90" t="str">
        <f>IF(_epmOfflineCondition_,"",IF(AND(I55="N",J55="N"),_xll.EVPRO($B$1,H55,"PSFTID"),""))</f>
        <v/>
      </c>
      <c r="N55" s="90" t="str">
        <f>IF(_epmOfflineCondition_,"",IF(_xll.EVDES(H55,$B$1)="#NODATA","",_xll.EVDES(H55,$B$1)))</f>
        <v/>
      </c>
      <c r="O55" s="143"/>
      <c r="P55" s="143"/>
      <c r="Q55" s="143"/>
      <c r="R55" s="143"/>
      <c r="S55" s="143"/>
      <c r="T55" s="143"/>
      <c r="U55" s="143"/>
      <c r="V55" s="143"/>
      <c r="W55" s="143"/>
      <c r="X55" s="143"/>
      <c r="Y55" s="143"/>
      <c r="Z55" s="143"/>
      <c r="AA55" s="250">
        <f t="shared" ref="AA55:AA65" si="21">IF($I55="B1","",SUM(O55:Z55))</f>
        <v>0</v>
      </c>
      <c r="AB55" s="144" t="str">
        <f t="shared" ref="AB55:AB65" si="22">IF(AA55=0,"",IFERROR(AA55/AA$19,""))</f>
        <v/>
      </c>
      <c r="AC55" s="140"/>
      <c r="AD55" s="143"/>
      <c r="AE55" s="144" t="str">
        <f t="shared" ref="AE55:AE65" si="23">IF(AD55=0,"",IFERROR(AD55/AD$19,""))</f>
        <v/>
      </c>
      <c r="AF55" s="145">
        <f t="shared" ref="AF55:AF65" si="24">IF(AND($AA55="",AD55=""),"",$AA55-AD55)</f>
        <v>0</v>
      </c>
      <c r="AG55" s="143"/>
      <c r="AH55" s="144" t="str">
        <f t="shared" ref="AH55:AH65" si="25">IF(AG55=0,"",IFERROR(AG55/AG$19,""))</f>
        <v/>
      </c>
      <c r="AI55" s="145">
        <f t="shared" ref="AI55:AI65" si="26">IF(AND($AA55="",AG55=""),"",$AA55-AG55)</f>
        <v>0</v>
      </c>
      <c r="AJ55" s="440">
        <f t="shared" ref="AJ55:AJ65" si="27">IFERROR(AA55/AA$20,0)</f>
        <v>0</v>
      </c>
      <c r="AK55" s="441">
        <f t="shared" ref="AK55:AK65" si="28">IFERROR(AD55/AD$20,0)</f>
        <v>0</v>
      </c>
      <c r="AL55" s="442">
        <f t="shared" ref="AL55:AL65" si="29">IFERROR(AG55/AG$20,0)</f>
        <v>0</v>
      </c>
      <c r="AM55" s="443">
        <f t="shared" ref="AM55:AM65" si="30">+IFERROR(ROUND(($AB55-AE55)*100,2)&amp;" pts.",0)</f>
        <v>0</v>
      </c>
      <c r="AN55" s="444">
        <f t="shared" ref="AN55:AN65" si="31">+IFERROR(ROUND(($AB55-AH55)*100,2)&amp;" pts.",0)</f>
        <v>0</v>
      </c>
      <c r="AO55" s="11"/>
    </row>
    <row r="56" spans="1:41" hidden="1" x14ac:dyDescent="0.35">
      <c r="A56" s="65" t="s">
        <v>8</v>
      </c>
      <c r="B56" s="66"/>
      <c r="C56" s="11"/>
      <c r="D56" s="11"/>
      <c r="E56" s="11"/>
      <c r="F56" s="11"/>
      <c r="G56" s="11"/>
      <c r="H56" s="88"/>
      <c r="I56" s="122" t="str">
        <f>IF(_epmOfflineCondition_,"",_xll.EVPRO($B$1,$H56,"STYLE"))</f>
        <v/>
      </c>
      <c r="J56" s="122" t="str">
        <f>IF(_epmOfflineCondition_,"",_xll.EVPRO($B$1,$H56,"CALC"))</f>
        <v/>
      </c>
      <c r="K56" s="179" t="str">
        <f>IF(AND(I56&lt;&gt;"B1",J56="Y"),"&gt;","")</f>
        <v/>
      </c>
      <c r="L56" s="90" t="str">
        <f>IF(_epmOfflineCondition_,"",_xll.EVPRO($B$1,H56,"JDEID"))</f>
        <v/>
      </c>
      <c r="M56" s="90" t="str">
        <f>IF(_epmOfflineCondition_,"",IF(AND(I56="N",J56="N"),_xll.EVPRO($B$1,H56,"PSFTID"),""))</f>
        <v/>
      </c>
      <c r="N56" s="90" t="str">
        <f>IF(_epmOfflineCondition_,"",IF(_xll.EVDES(H56,$B$1)="#NODATA","",_xll.EVDES(H56,$B$1)))</f>
        <v/>
      </c>
      <c r="O56" s="143"/>
      <c r="P56" s="143"/>
      <c r="Q56" s="143"/>
      <c r="R56" s="143"/>
      <c r="S56" s="143"/>
      <c r="T56" s="143"/>
      <c r="U56" s="143"/>
      <c r="V56" s="143"/>
      <c r="W56" s="143"/>
      <c r="X56" s="143"/>
      <c r="Y56" s="143"/>
      <c r="Z56" s="143"/>
      <c r="AA56" s="250">
        <f t="shared" si="21"/>
        <v>0</v>
      </c>
      <c r="AB56" s="144" t="str">
        <f t="shared" si="22"/>
        <v/>
      </c>
      <c r="AC56" s="140"/>
      <c r="AD56" s="143"/>
      <c r="AE56" s="144" t="str">
        <f t="shared" si="23"/>
        <v/>
      </c>
      <c r="AF56" s="145">
        <f t="shared" si="24"/>
        <v>0</v>
      </c>
      <c r="AG56" s="143"/>
      <c r="AH56" s="144" t="str">
        <f t="shared" si="25"/>
        <v/>
      </c>
      <c r="AI56" s="145">
        <f t="shared" si="26"/>
        <v>0</v>
      </c>
      <c r="AJ56" s="440">
        <f t="shared" si="27"/>
        <v>0</v>
      </c>
      <c r="AK56" s="441">
        <f t="shared" si="28"/>
        <v>0</v>
      </c>
      <c r="AL56" s="442">
        <f t="shared" si="29"/>
        <v>0</v>
      </c>
      <c r="AM56" s="443">
        <f t="shared" si="30"/>
        <v>0</v>
      </c>
      <c r="AN56" s="444">
        <f t="shared" si="31"/>
        <v>0</v>
      </c>
      <c r="AO56" s="11"/>
    </row>
    <row r="57" spans="1:41" x14ac:dyDescent="0.35">
      <c r="A57" s="11"/>
      <c r="B57" s="11"/>
      <c r="C57" s="11"/>
      <c r="D57" s="11"/>
      <c r="E57" s="11"/>
      <c r="F57" s="11"/>
      <c r="G57" s="11"/>
      <c r="H57" s="88" t="s">
        <v>75</v>
      </c>
      <c r="I57" s="89" t="str">
        <f>IF(_epmOfflineCondition_,"B1",_xll.EVPRO($B$1,$H57,"STYLE"))</f>
        <v>B1</v>
      </c>
      <c r="J57" s="89" t="str">
        <f>IF(_epmOfflineCondition_,"Y",_xll.EVPRO($B$1,$H57,"CALC"))</f>
        <v>Y</v>
      </c>
      <c r="K57" s="265" t="str">
        <f>IF(AND(I57&gt;="T3"),"&gt;","")</f>
        <v/>
      </c>
      <c r="L57" s="106"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180" t="str">
        <f t="shared" si="21"/>
        <v/>
      </c>
      <c r="AB57" s="198" t="str">
        <f t="shared" si="22"/>
        <v/>
      </c>
      <c r="AC57" s="11"/>
      <c r="AD57" s="197"/>
      <c r="AE57" s="198" t="str">
        <f t="shared" si="23"/>
        <v/>
      </c>
      <c r="AF57" s="199" t="str">
        <f t="shared" si="24"/>
        <v/>
      </c>
      <c r="AG57" s="197"/>
      <c r="AH57" s="198" t="str">
        <f t="shared" si="25"/>
        <v/>
      </c>
      <c r="AI57" s="199" t="str">
        <f t="shared" si="26"/>
        <v/>
      </c>
      <c r="AJ57" s="397">
        <f t="shared" si="27"/>
        <v>0</v>
      </c>
      <c r="AK57" s="398">
        <f t="shared" si="28"/>
        <v>0</v>
      </c>
      <c r="AL57" s="399">
        <f t="shared" si="29"/>
        <v>0</v>
      </c>
      <c r="AM57" s="400">
        <f t="shared" si="30"/>
        <v>0</v>
      </c>
      <c r="AN57" s="401">
        <f t="shared" si="31"/>
        <v>0</v>
      </c>
      <c r="AO57" s="11"/>
    </row>
    <row r="58" spans="1:41" x14ac:dyDescent="0.35">
      <c r="A58" s="62" t="s">
        <v>9</v>
      </c>
      <c r="B58" s="63" t="s">
        <v>10</v>
      </c>
      <c r="C58" s="11"/>
      <c r="D58" s="11"/>
      <c r="E58" s="11"/>
      <c r="F58" s="11"/>
      <c r="G58" s="11"/>
      <c r="H58" s="88" t="s">
        <v>865</v>
      </c>
      <c r="I58" s="122" t="str">
        <f>IF(_epmOfflineCondition_,"T3",_xll.EVPRO($B$1,$H58,"STYLE"))</f>
        <v>T3</v>
      </c>
      <c r="J58" s="122" t="str">
        <f>IF(_epmOfflineCondition_,"Y",_xll.EVPRO($B$1,$H58,"CALC"))</f>
        <v>Y</v>
      </c>
      <c r="K58" s="179" t="str">
        <f t="shared" ref="K58:K65" si="32">IF(AND(I58&lt;&gt;"B1",J58="Y"),"&gt;","")</f>
        <v>&gt;</v>
      </c>
      <c r="L58" s="90" t="str">
        <f>IF(_epmOfflineCondition_,"",_xll.EVPRO($B$1,H58,"JDEID"))</f>
        <v/>
      </c>
      <c r="M58" s="90" t="str">
        <f>IF(_epmOfflineCondition_,"",IF(AND(I58="N",J58="N"),_xll.EVPRO($B$1,H58,"PSFTID"),""))</f>
        <v/>
      </c>
      <c r="N58" s="90" t="str">
        <f>IF(_epmOfflineCondition_,"F&amp;B Venues",IF(_xll.EVDES(H58,$B$1)="#NODATA","",_xll.EVDES(H58,$B$1)))</f>
        <v>F&amp;B Venues</v>
      </c>
      <c r="O58" s="587"/>
      <c r="P58" s="587"/>
      <c r="Q58" s="587"/>
      <c r="R58" s="587"/>
      <c r="S58" s="587"/>
      <c r="T58" s="217"/>
      <c r="U58" s="217"/>
      <c r="V58" s="217"/>
      <c r="W58" s="217"/>
      <c r="X58" s="217"/>
      <c r="Y58" s="217"/>
      <c r="Z58" s="217"/>
      <c r="AA58" s="251">
        <f t="shared" si="21"/>
        <v>0</v>
      </c>
      <c r="AB58" s="219" t="str">
        <f t="shared" si="22"/>
        <v/>
      </c>
      <c r="AC58" s="140"/>
      <c r="AD58" s="217"/>
      <c r="AE58" s="219" t="str">
        <f t="shared" si="23"/>
        <v/>
      </c>
      <c r="AF58" s="220">
        <f t="shared" si="24"/>
        <v>0</v>
      </c>
      <c r="AG58" s="217">
        <v>8233.56</v>
      </c>
      <c r="AH58" s="219">
        <f t="shared" si="25"/>
        <v>0.15641903239190666</v>
      </c>
      <c r="AI58" s="220">
        <f t="shared" si="26"/>
        <v>-8233.56</v>
      </c>
      <c r="AJ58" s="449">
        <f t="shared" si="27"/>
        <v>0</v>
      </c>
      <c r="AK58" s="450">
        <f t="shared" si="28"/>
        <v>0</v>
      </c>
      <c r="AL58" s="451">
        <f t="shared" si="29"/>
        <v>0.41065137157107229</v>
      </c>
      <c r="AM58" s="452">
        <f t="shared" si="30"/>
        <v>0</v>
      </c>
      <c r="AN58" s="453">
        <f t="shared" si="31"/>
        <v>0</v>
      </c>
      <c r="AO58" s="11"/>
    </row>
    <row r="59" spans="1:41" x14ac:dyDescent="0.35">
      <c r="A59" s="65" t="s">
        <v>11</v>
      </c>
      <c r="B59" s="66" t="s">
        <v>21</v>
      </c>
      <c r="C59" s="11"/>
      <c r="D59" s="11"/>
      <c r="E59" s="11"/>
      <c r="F59" s="11"/>
      <c r="G59" s="11"/>
      <c r="H59" s="88" t="s">
        <v>848</v>
      </c>
      <c r="I59" s="188" t="str">
        <f>IF(_epmOfflineCondition_,"T2",_xll.EVPRO($B$1,$H59,"STYLE"))</f>
        <v>T2</v>
      </c>
      <c r="J59" s="188" t="str">
        <f>IF(_epmOfflineCondition_,"Y",_xll.EVPRO($B$1,$H59,"CALC"))</f>
        <v>Y</v>
      </c>
      <c r="K59" s="189" t="str">
        <f t="shared" si="32"/>
        <v>&gt;</v>
      </c>
      <c r="L59" s="190" t="str">
        <f>IF(_epmOfflineCondition_,"",_xll.EVPRO($B$1,H59,"JDEID"))</f>
        <v/>
      </c>
      <c r="M59" s="190" t="str">
        <f>IF(_epmOfflineCondition_,"",IF(AND(I59="N",J59="N"),_xll.EVPRO($B$1,H59,"PSFTID"),""))</f>
        <v/>
      </c>
      <c r="N59" s="190" t="str">
        <f>IF(_epmOfflineCondition_,"Total Salaries and Wages",IF(_xll.EVDES(H59,$B$1)="#NODATA","",_xll.EVDES(H59,$B$1)))</f>
        <v>Total Salaries and Wages</v>
      </c>
      <c r="O59" s="588"/>
      <c r="P59" s="588"/>
      <c r="Q59" s="588"/>
      <c r="R59" s="588"/>
      <c r="S59" s="588"/>
      <c r="T59" s="238"/>
      <c r="U59" s="238"/>
      <c r="V59" s="238"/>
      <c r="W59" s="238"/>
      <c r="X59" s="238"/>
      <c r="Y59" s="238"/>
      <c r="Z59" s="238"/>
      <c r="AA59" s="238">
        <f t="shared" si="21"/>
        <v>0</v>
      </c>
      <c r="AB59" s="239" t="str">
        <f t="shared" si="22"/>
        <v/>
      </c>
      <c r="AC59" s="240"/>
      <c r="AD59" s="238"/>
      <c r="AE59" s="239" t="str">
        <f t="shared" si="23"/>
        <v/>
      </c>
      <c r="AF59" s="241">
        <f t="shared" si="24"/>
        <v>0</v>
      </c>
      <c r="AG59" s="238">
        <v>8233.56</v>
      </c>
      <c r="AH59" s="239">
        <f t="shared" si="25"/>
        <v>0.15641903239190666</v>
      </c>
      <c r="AI59" s="241">
        <f t="shared" si="26"/>
        <v>-8233.56</v>
      </c>
      <c r="AJ59" s="242">
        <f t="shared" si="27"/>
        <v>0</v>
      </c>
      <c r="AK59" s="243">
        <f t="shared" si="28"/>
        <v>0</v>
      </c>
      <c r="AL59" s="245">
        <f t="shared" si="29"/>
        <v>0.41065137157107229</v>
      </c>
      <c r="AM59" s="431">
        <f t="shared" si="30"/>
        <v>0</v>
      </c>
      <c r="AN59" s="465">
        <f t="shared" si="31"/>
        <v>0</v>
      </c>
      <c r="AO59" s="11"/>
    </row>
    <row r="60" spans="1:41" x14ac:dyDescent="0.35">
      <c r="A60" s="65" t="s">
        <v>12</v>
      </c>
      <c r="B60" s="66" t="s">
        <v>22</v>
      </c>
      <c r="C60" s="11"/>
      <c r="D60" s="11"/>
      <c r="E60" s="11"/>
      <c r="F60" s="11"/>
      <c r="G60" s="11"/>
      <c r="H60" s="88" t="s">
        <v>850</v>
      </c>
      <c r="I60" s="188" t="str">
        <f>IF(_epmOfflineCondition_,"T2",_xll.EVPRO($B$1,$H60,"STYLE"))</f>
        <v>T2</v>
      </c>
      <c r="J60" s="188" t="str">
        <f>IF(_epmOfflineCondition_,"Y",_xll.EVPRO($B$1,$H60,"CALC"))</f>
        <v>Y</v>
      </c>
      <c r="K60" s="189" t="str">
        <f t="shared" si="32"/>
        <v>&gt;</v>
      </c>
      <c r="L60" s="190" t="str">
        <f>IF(_epmOfflineCondition_,"",_xll.EVPRO($B$1,H60,"JDEID"))</f>
        <v/>
      </c>
      <c r="M60" s="190" t="str">
        <f>IF(_epmOfflineCondition_,"",IF(AND(I60="N",J60="N"),_xll.EVPRO($B$1,H60,"PSFTID"),""))</f>
        <v/>
      </c>
      <c r="N60" s="190" t="str">
        <f>IF(_epmOfflineCondition_,"Total Labor Expense",IF(_xll.EVDES(H60,$B$1)="#NODATA","",_xll.EVDES(H60,$B$1)))</f>
        <v>Total Labor Expense</v>
      </c>
      <c r="O60" s="589"/>
      <c r="P60" s="589"/>
      <c r="Q60" s="589"/>
      <c r="R60" s="589"/>
      <c r="S60" s="589"/>
      <c r="T60" s="590"/>
      <c r="U60" s="590"/>
      <c r="V60" s="590"/>
      <c r="W60" s="590"/>
      <c r="X60" s="590"/>
      <c r="Y60" s="590"/>
      <c r="Z60" s="590"/>
      <c r="AA60" s="591">
        <f t="shared" si="21"/>
        <v>0</v>
      </c>
      <c r="AB60" s="592" t="str">
        <f t="shared" si="22"/>
        <v/>
      </c>
      <c r="AC60" s="593"/>
      <c r="AD60" s="590"/>
      <c r="AE60" s="592" t="str">
        <f t="shared" si="23"/>
        <v/>
      </c>
      <c r="AF60" s="594">
        <f t="shared" si="24"/>
        <v>0</v>
      </c>
      <c r="AG60" s="590">
        <v>8233.56</v>
      </c>
      <c r="AH60" s="592">
        <f t="shared" si="25"/>
        <v>0.15641903239190666</v>
      </c>
      <c r="AI60" s="594">
        <f t="shared" si="26"/>
        <v>-8233.56</v>
      </c>
      <c r="AJ60" s="595">
        <f t="shared" si="27"/>
        <v>0</v>
      </c>
      <c r="AK60" s="596">
        <f t="shared" si="28"/>
        <v>0</v>
      </c>
      <c r="AL60" s="597">
        <f t="shared" si="29"/>
        <v>0.41065137157107229</v>
      </c>
      <c r="AM60" s="598">
        <f t="shared" si="30"/>
        <v>0</v>
      </c>
      <c r="AN60" s="599">
        <f t="shared" si="31"/>
        <v>0</v>
      </c>
      <c r="AO60" s="11"/>
    </row>
    <row r="61" spans="1:41" x14ac:dyDescent="0.35">
      <c r="A61" s="65" t="s">
        <v>13</v>
      </c>
      <c r="B61" s="66" t="str">
        <f>"lDEP(2,COS_FB) AND "&amp;$E$6&amp;"=Y,COS_FB,DEP(COS_MISC) AND "&amp;$E$6&amp;"=Y,500001"</f>
        <v>lDEP(2,COS_FB) AND D1149=Y,COS_FB,DEP(COS_MISC) AND D1149=Y,500001</v>
      </c>
      <c r="C61" s="11"/>
      <c r="D61" s="11"/>
      <c r="E61" s="11"/>
      <c r="F61" s="11"/>
      <c r="G61" s="76"/>
      <c r="H61" s="88" t="s">
        <v>851</v>
      </c>
      <c r="I61" s="122" t="str">
        <f>IF(_epmOfflineCondition_,"T3",_xll.EVPRO($B$1,$H61,"STYLE"))</f>
        <v>T3</v>
      </c>
      <c r="J61" s="122" t="str">
        <f>IF(_epmOfflineCondition_,"Y",_xll.EVPRO($B$1,$H61,"CALC"))</f>
        <v>Y</v>
      </c>
      <c r="K61" s="179" t="str">
        <f t="shared" si="32"/>
        <v>&gt;</v>
      </c>
      <c r="L61" s="90" t="str">
        <f>IF(_epmOfflineCondition_,"",_xll.EVPRO($B$1,H61,"JDEID"))</f>
        <v/>
      </c>
      <c r="M61" s="90" t="str">
        <f>IF(_epmOfflineCondition_,"",IF(AND(I61="N",J61="N"),_xll.EVPRO($B$1,H61,"PSFTID"),""))</f>
        <v/>
      </c>
      <c r="N61" s="90" t="str">
        <f>IF(_epmOfflineCondition_,"Payroll Taxes",IF(_xll.EVDES(H61,$B$1)="#NODATA","",_xll.EVDES(H61,$B$1)))</f>
        <v>Payroll Taxes</v>
      </c>
      <c r="O61" s="600"/>
      <c r="P61" s="600"/>
      <c r="Q61" s="600"/>
      <c r="R61" s="600"/>
      <c r="S61" s="600"/>
      <c r="T61" s="216"/>
      <c r="U61" s="216"/>
      <c r="V61" s="216"/>
      <c r="W61" s="216"/>
      <c r="X61" s="216"/>
      <c r="Y61" s="216"/>
      <c r="Z61" s="216"/>
      <c r="AA61" s="216">
        <f t="shared" si="21"/>
        <v>0</v>
      </c>
      <c r="AB61" s="218" t="str">
        <f t="shared" si="22"/>
        <v/>
      </c>
      <c r="AC61" s="140"/>
      <c r="AD61" s="216"/>
      <c r="AE61" s="218" t="str">
        <f t="shared" si="23"/>
        <v/>
      </c>
      <c r="AF61" s="233">
        <f t="shared" si="24"/>
        <v>0</v>
      </c>
      <c r="AG61" s="216">
        <v>481.18</v>
      </c>
      <c r="AH61" s="218">
        <f t="shared" si="25"/>
        <v>9.1413325470802009E-3</v>
      </c>
      <c r="AI61" s="233">
        <f t="shared" si="26"/>
        <v>-481.18</v>
      </c>
      <c r="AJ61" s="532">
        <f t="shared" si="27"/>
        <v>0</v>
      </c>
      <c r="AK61" s="533">
        <f t="shared" si="28"/>
        <v>0</v>
      </c>
      <c r="AL61" s="534">
        <f t="shared" si="29"/>
        <v>2.3999002493765586E-2</v>
      </c>
      <c r="AM61" s="535">
        <f t="shared" si="30"/>
        <v>0</v>
      </c>
      <c r="AN61" s="536">
        <f t="shared" si="31"/>
        <v>0</v>
      </c>
      <c r="AO61" s="11"/>
    </row>
    <row r="62" spans="1:41" x14ac:dyDescent="0.35">
      <c r="A62" s="65" t="s">
        <v>14</v>
      </c>
      <c r="B62" s="66"/>
      <c r="C62" s="11"/>
      <c r="D62" s="11"/>
      <c r="E62" s="11"/>
      <c r="F62" s="11"/>
      <c r="G62" s="11"/>
      <c r="H62" s="88" t="s">
        <v>852</v>
      </c>
      <c r="I62" s="122" t="str">
        <f>IF(_epmOfflineCondition_,"T3",_xll.EVPRO($B$1,$H62,"STYLE"))</f>
        <v>T3</v>
      </c>
      <c r="J62" s="122" t="str">
        <f>IF(_epmOfflineCondition_,"Y",_xll.EVPRO($B$1,$H62,"CALC"))</f>
        <v>Y</v>
      </c>
      <c r="K62" s="179" t="str">
        <f t="shared" si="32"/>
        <v>&gt;</v>
      </c>
      <c r="L62" s="90" t="str">
        <f>IF(_epmOfflineCondition_,"",_xll.EVPRO($B$1,H62,"JDEID"))</f>
        <v/>
      </c>
      <c r="M62" s="90" t="str">
        <f>IF(_epmOfflineCondition_,"",IF(AND(I62="N",J62="N"),_xll.EVPRO($B$1,H62,"PSFTID"),""))</f>
        <v/>
      </c>
      <c r="N62" s="90" t="str">
        <f>IF(_epmOfflineCondition_,"Supplemental Pay",IF(_xll.EVDES(H62,$B$1)="#NODATA","",_xll.EVDES(H62,$B$1)))</f>
        <v>Supplemental Pay</v>
      </c>
      <c r="O62" s="587"/>
      <c r="P62" s="587"/>
      <c r="Q62" s="587"/>
      <c r="R62" s="587"/>
      <c r="S62" s="587"/>
      <c r="T62" s="217"/>
      <c r="U62" s="217"/>
      <c r="V62" s="217"/>
      <c r="W62" s="217"/>
      <c r="X62" s="217"/>
      <c r="Y62" s="217"/>
      <c r="Z62" s="217"/>
      <c r="AA62" s="251">
        <f t="shared" si="21"/>
        <v>0</v>
      </c>
      <c r="AB62" s="219" t="str">
        <f t="shared" si="22"/>
        <v/>
      </c>
      <c r="AC62" s="140"/>
      <c r="AD62" s="217"/>
      <c r="AE62" s="219" t="str">
        <f t="shared" si="23"/>
        <v/>
      </c>
      <c r="AF62" s="220">
        <f t="shared" si="24"/>
        <v>0</v>
      </c>
      <c r="AG62" s="217">
        <v>8.7899999999999903</v>
      </c>
      <c r="AH62" s="219">
        <f t="shared" si="25"/>
        <v>1.6699013485355765E-4</v>
      </c>
      <c r="AI62" s="220">
        <f t="shared" si="26"/>
        <v>-8.7899999999999903</v>
      </c>
      <c r="AJ62" s="449">
        <f t="shared" si="27"/>
        <v>0</v>
      </c>
      <c r="AK62" s="450">
        <f t="shared" si="28"/>
        <v>0</v>
      </c>
      <c r="AL62" s="451">
        <f t="shared" si="29"/>
        <v>4.3840399002493716E-4</v>
      </c>
      <c r="AM62" s="452">
        <f t="shared" si="30"/>
        <v>0</v>
      </c>
      <c r="AN62" s="453">
        <f t="shared" si="31"/>
        <v>0</v>
      </c>
      <c r="AO62" s="11"/>
    </row>
    <row r="63" spans="1:41" x14ac:dyDescent="0.35">
      <c r="A63" s="65" t="s">
        <v>15</v>
      </c>
      <c r="B63" s="66"/>
      <c r="C63" s="11"/>
      <c r="D63" s="11"/>
      <c r="E63" s="11"/>
      <c r="F63" s="11"/>
      <c r="G63" s="11"/>
      <c r="H63" s="88" t="s">
        <v>853</v>
      </c>
      <c r="I63" s="122" t="str">
        <f>IF(_epmOfflineCondition_,"T3",_xll.EVPRO($B$1,$H63,"STYLE"))</f>
        <v>T3</v>
      </c>
      <c r="J63" s="122" t="str">
        <f>IF(_epmOfflineCondition_,"Y",_xll.EVPRO($B$1,$H63,"CALC"))</f>
        <v>Y</v>
      </c>
      <c r="K63" s="179" t="str">
        <f t="shared" si="32"/>
        <v>&gt;</v>
      </c>
      <c r="L63" s="90" t="str">
        <f>IF(_epmOfflineCondition_,"",_xll.EVPRO($B$1,H63,"JDEID"))</f>
        <v/>
      </c>
      <c r="M63" s="90" t="str">
        <f>IF(_epmOfflineCondition_,"",IF(AND(I63="N",J63="N"),_xll.EVPRO($B$1,H63,"PSFTID"),""))</f>
        <v/>
      </c>
      <c r="N63" s="90" t="str">
        <f>IF(_epmOfflineCondition_,"Employee Benefits",IF(_xll.EVDES(H63,$B$1)="#NODATA","",_xll.EVDES(H63,$B$1)))</f>
        <v>Employee Benefits</v>
      </c>
      <c r="O63" s="587"/>
      <c r="P63" s="587"/>
      <c r="Q63" s="587"/>
      <c r="R63" s="587"/>
      <c r="S63" s="587"/>
      <c r="T63" s="217"/>
      <c r="U63" s="217"/>
      <c r="V63" s="217"/>
      <c r="W63" s="217"/>
      <c r="X63" s="217"/>
      <c r="Y63" s="217"/>
      <c r="Z63" s="217"/>
      <c r="AA63" s="251">
        <f t="shared" si="21"/>
        <v>0</v>
      </c>
      <c r="AB63" s="219" t="str">
        <f t="shared" si="22"/>
        <v/>
      </c>
      <c r="AC63" s="140"/>
      <c r="AD63" s="217"/>
      <c r="AE63" s="219" t="str">
        <f t="shared" si="23"/>
        <v/>
      </c>
      <c r="AF63" s="220">
        <f t="shared" si="24"/>
        <v>0</v>
      </c>
      <c r="AG63" s="217">
        <v>1919.35</v>
      </c>
      <c r="AH63" s="219">
        <f t="shared" si="25"/>
        <v>3.6463312324365893E-2</v>
      </c>
      <c r="AI63" s="220">
        <f t="shared" si="26"/>
        <v>-1919.35</v>
      </c>
      <c r="AJ63" s="449">
        <f t="shared" si="27"/>
        <v>0</v>
      </c>
      <c r="AK63" s="450">
        <f t="shared" si="28"/>
        <v>0</v>
      </c>
      <c r="AL63" s="451">
        <f t="shared" si="29"/>
        <v>9.5728179551122186E-2</v>
      </c>
      <c r="AM63" s="452">
        <f t="shared" si="30"/>
        <v>0</v>
      </c>
      <c r="AN63" s="453">
        <f t="shared" si="31"/>
        <v>0</v>
      </c>
      <c r="AO63" s="11"/>
    </row>
    <row r="64" spans="1:41" x14ac:dyDescent="0.35">
      <c r="A64" s="65" t="s">
        <v>16</v>
      </c>
      <c r="B64" s="66"/>
      <c r="C64" s="11"/>
      <c r="D64" s="11"/>
      <c r="E64" s="11"/>
      <c r="F64" s="11"/>
      <c r="G64" s="11"/>
      <c r="H64" s="88" t="s">
        <v>854</v>
      </c>
      <c r="I64" s="188" t="str">
        <f>IF(_epmOfflineCondition_,"T2",_xll.EVPRO($B$1,$H64,"STYLE"))</f>
        <v>T2</v>
      </c>
      <c r="J64" s="188" t="str">
        <f>IF(_epmOfflineCondition_,"Y",_xll.EVPRO($B$1,$H64,"CALC"))</f>
        <v>Y</v>
      </c>
      <c r="K64" s="189" t="str">
        <f t="shared" si="32"/>
        <v>&gt;</v>
      </c>
      <c r="L64" s="190" t="str">
        <f>IF(_epmOfflineCondition_,"",_xll.EVPRO($B$1,H64,"JDEID"))</f>
        <v/>
      </c>
      <c r="M64" s="190" t="str">
        <f>IF(_epmOfflineCondition_,"",IF(AND(I64="N",J64="N"),_xll.EVPRO($B$1,H64,"PSFTID"),""))</f>
        <v/>
      </c>
      <c r="N64" s="190" t="str">
        <f>IF(_epmOfflineCondition_,"Total Payroll Related",IF(_xll.EVDES(H64,$B$1)="#NODATA","",_xll.EVDES(H64,$B$1)))</f>
        <v>Total Payroll Related</v>
      </c>
      <c r="O64" s="588"/>
      <c r="P64" s="588"/>
      <c r="Q64" s="588"/>
      <c r="R64" s="588"/>
      <c r="S64" s="588"/>
      <c r="T64" s="238"/>
      <c r="U64" s="238"/>
      <c r="V64" s="238"/>
      <c r="W64" s="238"/>
      <c r="X64" s="238"/>
      <c r="Y64" s="238"/>
      <c r="Z64" s="238"/>
      <c r="AA64" s="238">
        <f t="shared" si="21"/>
        <v>0</v>
      </c>
      <c r="AB64" s="239" t="str">
        <f t="shared" si="22"/>
        <v/>
      </c>
      <c r="AC64" s="240"/>
      <c r="AD64" s="238"/>
      <c r="AE64" s="239" t="str">
        <f t="shared" si="23"/>
        <v/>
      </c>
      <c r="AF64" s="241">
        <f t="shared" si="24"/>
        <v>0</v>
      </c>
      <c r="AG64" s="238">
        <v>2409.3200000000002</v>
      </c>
      <c r="AH64" s="239">
        <f t="shared" si="25"/>
        <v>4.577163500629966E-2</v>
      </c>
      <c r="AI64" s="241">
        <f t="shared" si="26"/>
        <v>-2409.3200000000002</v>
      </c>
      <c r="AJ64" s="242">
        <f t="shared" si="27"/>
        <v>0</v>
      </c>
      <c r="AK64" s="243">
        <f t="shared" si="28"/>
        <v>0</v>
      </c>
      <c r="AL64" s="245">
        <f t="shared" si="29"/>
        <v>0.12016558603491273</v>
      </c>
      <c r="AM64" s="431">
        <f t="shared" si="30"/>
        <v>0</v>
      </c>
      <c r="AN64" s="465">
        <f t="shared" si="31"/>
        <v>0</v>
      </c>
      <c r="AO64" s="11"/>
    </row>
    <row r="65" spans="1:41" x14ac:dyDescent="0.35">
      <c r="A65" s="65" t="s">
        <v>17</v>
      </c>
      <c r="B65" s="66"/>
      <c r="C65" s="11"/>
      <c r="D65" s="11"/>
      <c r="E65" s="11"/>
      <c r="F65" s="11"/>
      <c r="G65" s="11"/>
      <c r="H65" s="88" t="s">
        <v>76</v>
      </c>
      <c r="I65" s="188" t="str">
        <f>IF(_epmOfflineCondition_,"T1",_xll.EVPRO($B$1,$H65,"STYLE"))</f>
        <v>T1</v>
      </c>
      <c r="J65" s="188" t="str">
        <f>IF(_epmOfflineCondition_,"Y",_xll.EVPRO($B$1,$H65,"CALC"))</f>
        <v>Y</v>
      </c>
      <c r="K65" s="189" t="str">
        <f t="shared" si="32"/>
        <v>&gt;</v>
      </c>
      <c r="L65" s="190" t="str">
        <f>IF(_epmOfflineCondition_,"600000",_xll.EVPRO($B$1,H65,"JDEID"))</f>
        <v>600000</v>
      </c>
      <c r="M65" s="190" t="str">
        <f>IF(_epmOfflineCondition_,"",IF(AND(I65="N",J65="N"),_xll.EVPRO($B$1,H65,"PSFTID"),""))</f>
        <v/>
      </c>
      <c r="N65" s="190" t="str">
        <f>IF(_epmOfflineCondition_,"Total Labor &amp; Related Exp",IF(_xll.EVDES(H65,$B$1)="#NODATA","",_xll.EVDES(H65,$B$1)))</f>
        <v>Total Labor &amp; Related Exp</v>
      </c>
      <c r="O65" s="588"/>
      <c r="P65" s="588"/>
      <c r="Q65" s="588"/>
      <c r="R65" s="588"/>
      <c r="S65" s="588"/>
      <c r="T65" s="238"/>
      <c r="U65" s="238"/>
      <c r="V65" s="238"/>
      <c r="W65" s="238"/>
      <c r="X65" s="238"/>
      <c r="Y65" s="238"/>
      <c r="Z65" s="238"/>
      <c r="AA65" s="238">
        <f t="shared" si="21"/>
        <v>0</v>
      </c>
      <c r="AB65" s="239" t="str">
        <f t="shared" si="22"/>
        <v/>
      </c>
      <c r="AC65" s="240"/>
      <c r="AD65" s="238"/>
      <c r="AE65" s="239" t="str">
        <f t="shared" si="23"/>
        <v/>
      </c>
      <c r="AF65" s="241">
        <f t="shared" si="24"/>
        <v>0</v>
      </c>
      <c r="AG65" s="238">
        <v>10642.88</v>
      </c>
      <c r="AH65" s="239">
        <f t="shared" si="25"/>
        <v>0.20219066739820632</v>
      </c>
      <c r="AI65" s="241">
        <f t="shared" si="26"/>
        <v>-10642.88</v>
      </c>
      <c r="AJ65" s="242">
        <f t="shared" si="27"/>
        <v>0</v>
      </c>
      <c r="AK65" s="243">
        <f t="shared" si="28"/>
        <v>0</v>
      </c>
      <c r="AL65" s="245">
        <f t="shared" si="29"/>
        <v>0.53081695760598502</v>
      </c>
      <c r="AM65" s="431">
        <f t="shared" si="30"/>
        <v>0</v>
      </c>
      <c r="AN65" s="465">
        <f t="shared" si="31"/>
        <v>0</v>
      </c>
      <c r="AO65" s="11"/>
    </row>
    <row r="66" spans="1:41" x14ac:dyDescent="0.35">
      <c r="A66" s="11"/>
      <c r="B66" s="11"/>
      <c r="C66" s="11"/>
      <c r="D66" s="11"/>
      <c r="E66" s="11"/>
      <c r="F66" s="11"/>
      <c r="G66" s="11"/>
      <c r="H66" s="11"/>
      <c r="I66" s="59"/>
      <c r="J66" s="59"/>
      <c r="K66" s="11"/>
      <c r="L66" s="11"/>
      <c r="M66" s="11"/>
      <c r="N66" s="11"/>
      <c r="O66" s="129"/>
      <c r="P66" s="130"/>
      <c r="Q66" s="130"/>
      <c r="R66" s="130"/>
      <c r="S66" s="130"/>
      <c r="T66" s="130"/>
      <c r="U66" s="130"/>
      <c r="V66" s="130"/>
      <c r="W66" s="130"/>
      <c r="X66" s="130"/>
      <c r="Y66" s="130"/>
      <c r="Z66" s="130"/>
      <c r="AA66" s="130"/>
      <c r="AB66" s="131"/>
      <c r="AC66" s="11"/>
      <c r="AD66" s="129"/>
      <c r="AE66" s="130"/>
      <c r="AF66" s="131"/>
      <c r="AG66" s="129"/>
      <c r="AH66" s="130"/>
      <c r="AI66" s="131"/>
      <c r="AJ66" s="11"/>
      <c r="AK66" s="11"/>
      <c r="AL66" s="11"/>
      <c r="AM66" s="11"/>
      <c r="AN66" s="11"/>
      <c r="AO66" s="11"/>
    </row>
    <row r="67" spans="1:41" x14ac:dyDescent="0.35">
      <c r="A67" s="97" t="s">
        <v>92</v>
      </c>
      <c r="B67" s="98" t="s">
        <v>93</v>
      </c>
      <c r="C67" s="98" t="s">
        <v>94</v>
      </c>
      <c r="D67" s="98" t="s">
        <v>95</v>
      </c>
      <c r="E67" s="98" t="s">
        <v>96</v>
      </c>
      <c r="F67" s="99" t="s">
        <v>97</v>
      </c>
      <c r="G67" s="11"/>
      <c r="H67" s="11" t="s">
        <v>82</v>
      </c>
      <c r="I67" s="59" t="str">
        <f>IF(_epmOfflineCondition_,"B1",_xll.EVPRO($B$1,$H67,"STYLE"))</f>
        <v>B1</v>
      </c>
      <c r="J67" s="59" t="str">
        <f>IF(_epmOfflineCondition_,"Y",_xll.EVPRO($B$1,$H67,"CALC"))</f>
        <v>Y</v>
      </c>
      <c r="K67" s="11"/>
      <c r="L67" s="11"/>
      <c r="M67" s="11"/>
      <c r="N67" s="105" t="str">
        <f>IF(_epmOfflineCondition_,"Other Expenses",IF(_xll.EVDES(H67,$B$1)="#NODATA","",_xll.EVDES(H67,$B$1)))</f>
        <v>Other Expenses</v>
      </c>
      <c r="O67" s="119"/>
      <c r="P67" s="120"/>
      <c r="Q67" s="120"/>
      <c r="R67" s="120"/>
      <c r="S67" s="120"/>
      <c r="T67" s="120"/>
      <c r="U67" s="120"/>
      <c r="V67" s="120"/>
      <c r="W67" s="120"/>
      <c r="X67" s="120"/>
      <c r="Y67" s="120"/>
      <c r="Z67" s="120"/>
      <c r="AA67" s="120"/>
      <c r="AB67" s="121"/>
      <c r="AC67" s="11"/>
      <c r="AD67" s="119"/>
      <c r="AE67" s="120"/>
      <c r="AF67" s="121"/>
      <c r="AG67" s="119"/>
      <c r="AH67" s="120"/>
      <c r="AI67" s="121"/>
      <c r="AJ67" s="11"/>
      <c r="AK67" s="11"/>
      <c r="AL67" s="11"/>
      <c r="AM67" s="11"/>
      <c r="AN67" s="11"/>
      <c r="AO67" s="11"/>
    </row>
    <row r="68" spans="1:41" hidden="1" x14ac:dyDescent="0.35">
      <c r="A68" s="11"/>
      <c r="B68" s="11"/>
      <c r="C68" s="11"/>
      <c r="D68" s="11"/>
      <c r="E68" s="11"/>
      <c r="F68" s="11"/>
      <c r="G68" s="11"/>
      <c r="H68" s="88" t="s">
        <v>667</v>
      </c>
      <c r="I68" s="122" t="str">
        <f>IF(_epmOfflineCondition_,"",_xll.EVPRO($B$1,$H68,"STYLE"))</f>
        <v/>
      </c>
      <c r="J68" s="122" t="str">
        <f>IF(_epmOfflineCondition_,"",_xll.EVPRO($B$1,$H68,"CALC"))</f>
        <v/>
      </c>
      <c r="K68" s="179" t="str">
        <f>IF(AND(I68&lt;&gt;"B1",J68="Y"),"&gt;","")</f>
        <v/>
      </c>
      <c r="L68" s="90" t="str">
        <f>IF(_epmOfflineCondition_,"",_xll.EVPRO($B$1,H68,"JDEID"))</f>
        <v/>
      </c>
      <c r="M68" s="90" t="str">
        <f>IF(_epmOfflineCondition_,"",IF(AND(I68="N",J68="N"),_xll.EVPRO($B$1,H68,"PSFTID"),""))</f>
        <v/>
      </c>
      <c r="N68" s="90" t="str">
        <f>IF(_epmOfflineCondition_,"",IF(_xll.EVDES(H68,$B$1)="#NODATA","",_xll.EVDES(H68,$B$1)))</f>
        <v/>
      </c>
      <c r="O68" s="143"/>
      <c r="P68" s="143"/>
      <c r="Q68" s="143"/>
      <c r="R68" s="143"/>
      <c r="S68" s="143"/>
      <c r="T68" s="143"/>
      <c r="U68" s="143"/>
      <c r="V68" s="143"/>
      <c r="W68" s="143"/>
      <c r="X68" s="143"/>
      <c r="Y68" s="143"/>
      <c r="Z68" s="143"/>
      <c r="AA68" s="250">
        <f>IF($I68="B1","",SUM(O68:Z68))</f>
        <v>0</v>
      </c>
      <c r="AB68" s="144" t="str">
        <f>IF(AA68=0,"",IFERROR(AA68/AA$19,""))</f>
        <v/>
      </c>
      <c r="AC68" s="140"/>
      <c r="AD68" s="143"/>
      <c r="AE68" s="144" t="str">
        <f>IF(AD68=0,"",IFERROR(AD68/AD$19,""))</f>
        <v/>
      </c>
      <c r="AF68" s="145">
        <f>IF(AND($AA68="",AD68=""),"",$AA68-AD68)</f>
        <v>0</v>
      </c>
      <c r="AG68" s="143"/>
      <c r="AH68" s="144" t="str">
        <f>IF(AG68=0,"",IFERROR(AG68/AG$19,""))</f>
        <v/>
      </c>
      <c r="AI68" s="145">
        <f>IF(AND($AA68="",AG68=""),"",$AA68-AG68)</f>
        <v>0</v>
      </c>
      <c r="AJ68" s="440">
        <f>IFERROR(AA68/AA$20,0)</f>
        <v>0</v>
      </c>
      <c r="AK68" s="441">
        <f>IFERROR(AD68/AD$20,0)</f>
        <v>0</v>
      </c>
      <c r="AL68" s="442">
        <f>IFERROR(AG68/AG$20,0)</f>
        <v>0</v>
      </c>
      <c r="AM68" s="443">
        <f>+IFERROR(ROUND(($AB68-AE68)*100,2)&amp;" pts.",0)</f>
        <v>0</v>
      </c>
      <c r="AN68" s="444">
        <f>+IFERROR(ROUND(($AB68-AH68)*100,2)&amp;" pts.",0)</f>
        <v>0</v>
      </c>
      <c r="AO68" s="11"/>
    </row>
    <row r="69" spans="1:41" hidden="1" x14ac:dyDescent="0.35">
      <c r="A69" s="11" t="s">
        <v>105</v>
      </c>
      <c r="B69" s="11"/>
      <c r="C69" s="104" t="s">
        <v>101</v>
      </c>
      <c r="D69" s="11" t="s">
        <v>106</v>
      </c>
      <c r="E69" s="11"/>
      <c r="F69" s="11" t="s">
        <v>98</v>
      </c>
      <c r="G69" s="11"/>
      <c r="H69" s="88"/>
      <c r="I69" s="122" t="str">
        <f>IF(_epmOfflineCondition_,"",_xll.EVPRO($B$1,$H69,"STYLE"))</f>
        <v/>
      </c>
      <c r="J69" s="122" t="str">
        <f>IF(_epmOfflineCondition_,"",_xll.EVPRO($B$1,$H69,"CALC"))</f>
        <v/>
      </c>
      <c r="K69" s="179" t="str">
        <f>IF(AND(I69&lt;&gt;"B1",J69="Y"),"&gt;","")</f>
        <v/>
      </c>
      <c r="L69" s="90" t="str">
        <f>IF(_epmOfflineCondition_,"",_xll.EVPRO($B$1,H69,"JDEID"))</f>
        <v/>
      </c>
      <c r="M69" s="90" t="str">
        <f>IF(_epmOfflineCondition_,"",IF(AND(I69="N",J69="N"),_xll.EVPRO($B$1,H69,"PSFTID"),""))</f>
        <v/>
      </c>
      <c r="N69" s="90" t="str">
        <f>IF(_epmOfflineCondition_,"",IF(_xll.EVDES(H69,$B$1)="#NODATA","",_xll.EVDES(H69,$B$1)))</f>
        <v/>
      </c>
      <c r="O69" s="143"/>
      <c r="P69" s="143"/>
      <c r="Q69" s="143"/>
      <c r="R69" s="143"/>
      <c r="S69" s="143"/>
      <c r="T69" s="143"/>
      <c r="U69" s="143"/>
      <c r="V69" s="143"/>
      <c r="W69" s="143"/>
      <c r="X69" s="143"/>
      <c r="Y69" s="143"/>
      <c r="Z69" s="143"/>
      <c r="AA69" s="250">
        <f>IF($I69="B1","",SUM(O69:Z69))</f>
        <v>0</v>
      </c>
      <c r="AB69" s="144" t="str">
        <f>IF(AA69=0,"",IFERROR(AA69/AA$19,""))</f>
        <v/>
      </c>
      <c r="AC69" s="140"/>
      <c r="AD69" s="143"/>
      <c r="AE69" s="144" t="str">
        <f>IF(AD69=0,"",IFERROR(AD69/AD$19,""))</f>
        <v/>
      </c>
      <c r="AF69" s="145">
        <f>IF(AND($AA69="",AD69=""),"",$AA69-AD69)</f>
        <v>0</v>
      </c>
      <c r="AG69" s="143"/>
      <c r="AH69" s="144" t="str">
        <f>IF(AG69=0,"",IFERROR(AG69/AG$19,""))</f>
        <v/>
      </c>
      <c r="AI69" s="145">
        <f>IF(AND($AA69="",AG69=""),"",$AA69-AG69)</f>
        <v>0</v>
      </c>
      <c r="AJ69" s="440">
        <f>IFERROR(AA69/AA$20,0)</f>
        <v>0</v>
      </c>
      <c r="AK69" s="441">
        <f>IFERROR(AD69/AD$20,0)</f>
        <v>0</v>
      </c>
      <c r="AL69" s="442">
        <f>IFERROR(AG69/AG$20,0)</f>
        <v>0</v>
      </c>
      <c r="AM69" s="443">
        <f>+IFERROR(ROUND(($AB69-AE69)*100,2)&amp;" pts.",0)</f>
        <v>0</v>
      </c>
      <c r="AN69" s="444">
        <f>+IFERROR(ROUND(($AB69-AH69)*100,2)&amp;" pts.",0)</f>
        <v>0</v>
      </c>
      <c r="AO69" s="11"/>
    </row>
    <row r="70" spans="1:41" x14ac:dyDescent="0.35">
      <c r="A70" s="11" t="s">
        <v>104</v>
      </c>
      <c r="B70" s="11"/>
      <c r="C70" s="104" t="s">
        <v>101</v>
      </c>
      <c r="D70" s="11" t="s">
        <v>106</v>
      </c>
      <c r="E70" s="11"/>
      <c r="F70" s="11" t="s">
        <v>98</v>
      </c>
      <c r="G70" s="11"/>
      <c r="H70" s="88" t="s">
        <v>79</v>
      </c>
      <c r="I70" s="136" t="str">
        <f>IF(_epmOfflineCondition_,"T3",_xll.EVPRO($B$1,$H70,"STYLE"))</f>
        <v>T3</v>
      </c>
      <c r="J70" s="136" t="str">
        <f>IF(_epmOfflineCondition_,"Y",_xll.EVPRO($B$1,$H70,"CALC"))</f>
        <v>Y</v>
      </c>
      <c r="K70" s="104"/>
      <c r="L70" s="104"/>
      <c r="M70" s="104"/>
      <c r="N70" s="106" t="str">
        <f>IF(_epmOfflineCondition_,"Total Operations Expense",IF(_xll.EVDES(H70,$B$1)="#NODATA","",_xll.EVDES(H70,$B$1)))</f>
        <v>Total Operations Expense</v>
      </c>
      <c r="O70" s="154"/>
      <c r="P70" s="154"/>
      <c r="Q70" s="154"/>
      <c r="R70" s="154"/>
      <c r="S70" s="154"/>
      <c r="T70" s="154"/>
      <c r="U70" s="154"/>
      <c r="V70" s="154"/>
      <c r="W70" s="154"/>
      <c r="X70" s="154"/>
      <c r="Y70" s="154"/>
      <c r="Z70" s="154"/>
      <c r="AA70" s="154">
        <f>IF($I70="B1","",SUM(O70:Z70))</f>
        <v>0</v>
      </c>
      <c r="AB70" s="155" t="str">
        <f>IF(AA70=0,"",IFERROR(AA70/AA$19,""))</f>
        <v/>
      </c>
      <c r="AC70" s="140"/>
      <c r="AD70" s="154"/>
      <c r="AE70" s="155" t="str">
        <f>IF(AD70=0,"",IFERROR(AD70/AD$19,""))</f>
        <v/>
      </c>
      <c r="AF70" s="156">
        <f>IF(AND($AA70="",AD70=""),"",$AA70-AD70)</f>
        <v>0</v>
      </c>
      <c r="AG70" s="154"/>
      <c r="AH70" s="155" t="str">
        <f>IF(AG70=0,"",IFERROR(AG70/AG$19,""))</f>
        <v/>
      </c>
      <c r="AI70" s="156">
        <f>IF(AND($AA70="",AG70=""),"",$AA70-AG70)</f>
        <v>0</v>
      </c>
      <c r="AJ70" s="477">
        <f>IFERROR(AA70/AA$20,0)</f>
        <v>0</v>
      </c>
      <c r="AK70" s="478">
        <f>IFERROR(AD70/AD$20,0)</f>
        <v>0</v>
      </c>
      <c r="AL70" s="479">
        <f>IFERROR(AG70/AG$20,0)</f>
        <v>0</v>
      </c>
      <c r="AM70" s="480">
        <f>+IFERROR(ROUND(($AB70-AE70)*100,2)&amp;" pts.",0)</f>
        <v>0</v>
      </c>
      <c r="AN70" s="555">
        <f>+IFERROR(ROUND(($AB70-AH70)*100,2)&amp;" pts.",0)</f>
        <v>0</v>
      </c>
      <c r="AO70" s="11"/>
    </row>
    <row r="71" spans="1:41" x14ac:dyDescent="0.35">
      <c r="A71" s="11" t="s">
        <v>100</v>
      </c>
      <c r="B71" s="11"/>
      <c r="C71" s="53" t="s">
        <v>101</v>
      </c>
      <c r="D71" s="11" t="s">
        <v>106</v>
      </c>
      <c r="E71" s="11"/>
      <c r="F71" s="11" t="s">
        <v>98</v>
      </c>
      <c r="G71" s="11"/>
      <c r="H71" s="11"/>
      <c r="I71" s="59"/>
      <c r="J71" s="59"/>
      <c r="K71" s="11"/>
      <c r="L71" s="11"/>
      <c r="M71" s="11"/>
      <c r="N71" s="11"/>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1"/>
    </row>
    <row r="72" spans="1:41" x14ac:dyDescent="0.35">
      <c r="A72" s="11" t="s">
        <v>102</v>
      </c>
      <c r="B72" s="11"/>
      <c r="C72" s="106" t="s">
        <v>101</v>
      </c>
      <c r="D72" s="11" t="s">
        <v>106</v>
      </c>
      <c r="E72" s="11"/>
      <c r="F72" s="11" t="s">
        <v>98</v>
      </c>
      <c r="G72" s="11"/>
      <c r="H72" s="88" t="s">
        <v>80</v>
      </c>
      <c r="I72" s="136" t="str">
        <f>IF(_epmOfflineCondition_,"T3",_xll.EVPRO($B$1,$H72,"STYLE"))</f>
        <v>T3</v>
      </c>
      <c r="J72" s="136" t="str">
        <f>IF(_epmOfflineCondition_,"Y",_xll.EVPRO($B$1,$H72,"CALC"))</f>
        <v>Y</v>
      </c>
      <c r="K72" s="106"/>
      <c r="L72" s="106"/>
      <c r="M72" s="106"/>
      <c r="N72" s="106" t="str">
        <f>IF(_epmOfflineCondition_,"Total Expenses",IF(_xll.EVDES(H72,$B$1)="#NODATA","",_xll.EVDES(H72,$B$1)))</f>
        <v>Total Expenses</v>
      </c>
      <c r="O72" s="238"/>
      <c r="P72" s="238"/>
      <c r="Q72" s="238"/>
      <c r="R72" s="238"/>
      <c r="S72" s="238"/>
      <c r="T72" s="238"/>
      <c r="U72" s="238"/>
      <c r="V72" s="238"/>
      <c r="W72" s="238"/>
      <c r="X72" s="238"/>
      <c r="Y72" s="238"/>
      <c r="Z72" s="238"/>
      <c r="AA72" s="238">
        <f>IF($I72="B1","",SUM(O72:Z72))</f>
        <v>0</v>
      </c>
      <c r="AB72" s="239" t="str">
        <f>IF(AA72=0,"",IFERROR(AA72/AA$19,""))</f>
        <v/>
      </c>
      <c r="AC72" s="140"/>
      <c r="AD72" s="238"/>
      <c r="AE72" s="239" t="str">
        <f>IF(AD72=0,"",IFERROR(AD72/AD$19,""))</f>
        <v/>
      </c>
      <c r="AF72" s="254">
        <f>IF(AND($AA72="",AD72=""),"",$AA72-AD72)</f>
        <v>0</v>
      </c>
      <c r="AG72" s="255">
        <v>10642.88</v>
      </c>
      <c r="AH72" s="256">
        <f>IF(AG72=0,"",IFERROR(AG72/AG$19,""))</f>
        <v>0.20219066739820632</v>
      </c>
      <c r="AI72" s="254">
        <f>IF(AND($AA72="",AG72=""),"",$AA72-AG72)</f>
        <v>-10642.88</v>
      </c>
      <c r="AJ72" s="466">
        <f>IFERROR(AA72/AA$20,0)</f>
        <v>0</v>
      </c>
      <c r="AK72" s="467">
        <f>IFERROR(AD72/AD$20,0)</f>
        <v>0</v>
      </c>
      <c r="AL72" s="468">
        <f>IFERROR(AG72/AG$20,0)</f>
        <v>0.53081695760598502</v>
      </c>
      <c r="AM72" s="469">
        <f>+IFERROR(ROUND(($AB72-AE72)*100,2)&amp;" pts.",0)</f>
        <v>0</v>
      </c>
      <c r="AN72" s="556">
        <f>+IFERROR(ROUND(($AB72-AH72)*100,2)&amp;" pts.",0)</f>
        <v>0</v>
      </c>
      <c r="AO72" s="11"/>
    </row>
    <row r="73" spans="1:41" ht="15" thickBot="1" x14ac:dyDescent="0.4">
      <c r="A73" s="11" t="s">
        <v>102</v>
      </c>
      <c r="B73" s="11"/>
      <c r="C73" s="196" t="s">
        <v>101</v>
      </c>
      <c r="D73" s="11" t="s">
        <v>107</v>
      </c>
      <c r="E73" s="11"/>
      <c r="F73" s="11" t="s">
        <v>99</v>
      </c>
      <c r="G73" s="11"/>
      <c r="H73" s="88" t="s">
        <v>81</v>
      </c>
      <c r="I73" s="136" t="str">
        <f>IF(_epmOfflineCondition_,"T3",_xll.EVPRO($B$1,$H73,"STYLE"))</f>
        <v>T3</v>
      </c>
      <c r="J73" s="136" t="str">
        <f>IF(_epmOfflineCondition_,"Y",_xll.EVPRO($B$1,$H73,"CALC"))</f>
        <v>Y</v>
      </c>
      <c r="K73" s="106"/>
      <c r="L73" s="106"/>
      <c r="M73" s="106"/>
      <c r="N73" s="106" t="str">
        <f>IF(_epmOfflineCondition_,"Department Profit (Loss)",IF(_xll.EVDES(H73,$B$1)="#NODATA","",_xll.EVDES(H73,$B$1)))</f>
        <v>Department Profit (Loss)</v>
      </c>
      <c r="O73" s="169">
        <v>1233.18</v>
      </c>
      <c r="P73" s="169">
        <v>610.21</v>
      </c>
      <c r="Q73" s="169">
        <v>1841.19</v>
      </c>
      <c r="R73" s="169">
        <v>2373.2399999999998</v>
      </c>
      <c r="S73" s="169">
        <v>1835.44</v>
      </c>
      <c r="T73" s="169">
        <v>3693.87</v>
      </c>
      <c r="U73" s="169">
        <v>5330.77</v>
      </c>
      <c r="V73" s="169">
        <v>3653.01</v>
      </c>
      <c r="W73" s="169">
        <v>3084.33</v>
      </c>
      <c r="X73" s="169">
        <v>3514.65</v>
      </c>
      <c r="Y73" s="169">
        <v>4872.3900000000003</v>
      </c>
      <c r="Z73" s="169">
        <v>6183.32</v>
      </c>
      <c r="AA73" s="169">
        <f>IF($I73="B1","",SUM(O73:Z73))</f>
        <v>38225.600000000006</v>
      </c>
      <c r="AB73" s="170">
        <f>IF(AA73=0,"",IFERROR(AA73/AA$19,""))</f>
        <v>0.72585651148107544</v>
      </c>
      <c r="AC73" s="140"/>
      <c r="AD73" s="169">
        <v>63554.591500000002</v>
      </c>
      <c r="AE73" s="170">
        <f>IF(AD73=0,"",IFERROR(AD73/AD$19,""))</f>
        <v>0.71462447257383965</v>
      </c>
      <c r="AF73" s="171">
        <f>IF(AND($AA73="",AD73=""),"",$AA73-AD73)</f>
        <v>-25328.991499999996</v>
      </c>
      <c r="AG73" s="169">
        <v>27705.599999999999</v>
      </c>
      <c r="AH73" s="170">
        <f>IF(AG73=0,"",IFERROR(AG73/AG$19,""))</f>
        <v>0.52634378614320043</v>
      </c>
      <c r="AI73" s="171">
        <f>IF(AND($AA73="",AG73=""),"",$AA73-AG73)</f>
        <v>10520.000000000007</v>
      </c>
      <c r="AJ73" s="483">
        <f>IFERROR(AA73/AA$20,0)</f>
        <v>0.95043636092394157</v>
      </c>
      <c r="AK73" s="484">
        <f>IFERROR(AD73/AD$20,0)</f>
        <v>1.6936600000000002</v>
      </c>
      <c r="AL73" s="485">
        <f>IFERROR(AG73/AG$20,0)</f>
        <v>1.3818254364089775</v>
      </c>
      <c r="AM73" s="486" t="str">
        <f>+IFERROR(ROUND(($AB73-AE73)*100,2)&amp;" pts.",0)</f>
        <v>1.12 pts.</v>
      </c>
      <c r="AN73" s="557" t="str">
        <f>+IFERROR(ROUND(($AB73-AH73)*100,2)&amp;" pts.",0)</f>
        <v>19.95 pts.</v>
      </c>
      <c r="AO73" s="11"/>
    </row>
    <row r="74" spans="1:41" ht="15" thickTop="1" x14ac:dyDescent="0.35">
      <c r="A74" s="11" t="s">
        <v>108</v>
      </c>
      <c r="B74" s="11"/>
      <c r="C74" s="106" t="s">
        <v>101</v>
      </c>
      <c r="D74" s="11" t="s">
        <v>106</v>
      </c>
      <c r="E74" s="11"/>
      <c r="F74" s="11" t="s">
        <v>98</v>
      </c>
      <c r="G74" s="11"/>
      <c r="H74" s="11"/>
      <c r="I74" s="59"/>
      <c r="J74" s="59"/>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t="s">
        <v>108</v>
      </c>
      <c r="B75" s="11"/>
      <c r="C75" s="196" t="s">
        <v>101</v>
      </c>
      <c r="D75" s="11" t="s">
        <v>107</v>
      </c>
      <c r="E75" s="11"/>
      <c r="F75" s="11" t="s">
        <v>99</v>
      </c>
      <c r="G75" s="11"/>
      <c r="H75" s="11"/>
      <c r="I75" s="59"/>
      <c r="J75" s="59"/>
      <c r="K75" s="11"/>
      <c r="L75" s="11"/>
      <c r="M75" s="11"/>
      <c r="N75" s="104" t="str">
        <f>N72&amp;" - Check"</f>
        <v>Total Expenses - Check</v>
      </c>
      <c r="O75" s="209">
        <f t="shared" ref="O75:AA75" si="33">SUMIF($H$35:$H$73,"600000",O$35:O$73)+SUMIF($H$35:$H$73,"700000",O$35:O$73)-SUMIF($H$35:$H$73,"TOTDEPTEXP",O$35:O$73)</f>
        <v>0</v>
      </c>
      <c r="P75" s="209">
        <f t="shared" si="33"/>
        <v>0</v>
      </c>
      <c r="Q75" s="209">
        <f t="shared" si="33"/>
        <v>0</v>
      </c>
      <c r="R75" s="209">
        <f t="shared" si="33"/>
        <v>0</v>
      </c>
      <c r="S75" s="209">
        <f t="shared" si="33"/>
        <v>0</v>
      </c>
      <c r="T75" s="209">
        <f t="shared" si="33"/>
        <v>0</v>
      </c>
      <c r="U75" s="209">
        <f t="shared" si="33"/>
        <v>0</v>
      </c>
      <c r="V75" s="209">
        <f t="shared" si="33"/>
        <v>0</v>
      </c>
      <c r="W75" s="209">
        <f t="shared" si="33"/>
        <v>0</v>
      </c>
      <c r="X75" s="209">
        <f t="shared" si="33"/>
        <v>0</v>
      </c>
      <c r="Y75" s="209">
        <f t="shared" si="33"/>
        <v>0</v>
      </c>
      <c r="Z75" s="209">
        <f t="shared" si="33"/>
        <v>0</v>
      </c>
      <c r="AA75" s="209">
        <f t="shared" si="33"/>
        <v>0</v>
      </c>
      <c r="AB75" s="100"/>
      <c r="AC75" s="11"/>
      <c r="AD75" s="209">
        <f>SUMIF($H$35:$H$73,"600000",AD$35:AD$73)+SUMIF($H$35:$H$73,"700000",AD$35:AD$73)-SUMIF($H$35:$H$73,"TOTDEPTEXP",AD$35:AD$73)</f>
        <v>0</v>
      </c>
      <c r="AE75" s="100"/>
      <c r="AF75" s="91"/>
      <c r="AG75" s="209">
        <f>SUMIF($H$35:$H$73,"600000",AG$35:AG$73)+SUMIF($H$35:$H$73,"700000",AG$35:AG$73)-SUMIF($H$35:$H$73,"TOTDEPTEXP",AG$35:AG$73)</f>
        <v>0</v>
      </c>
      <c r="AH75" s="100"/>
      <c r="AI75" s="91"/>
      <c r="AJ75" s="11"/>
      <c r="AK75" s="11"/>
      <c r="AL75" s="11"/>
      <c r="AM75" s="11"/>
      <c r="AN75" s="11"/>
      <c r="AO75" s="11"/>
    </row>
    <row r="76" spans="1:41" x14ac:dyDescent="0.35">
      <c r="A76" s="11"/>
      <c r="B76" s="11"/>
      <c r="C76" s="11"/>
      <c r="D76" s="11"/>
      <c r="E76" s="11"/>
      <c r="F76" s="11"/>
      <c r="G76" s="11"/>
      <c r="H76" s="11"/>
      <c r="I76" s="59"/>
      <c r="J76" s="59"/>
      <c r="K76" s="11"/>
      <c r="L76" s="11"/>
      <c r="M76" s="11"/>
      <c r="N76" s="104" t="str">
        <f>N73&amp;" - Check"</f>
        <v>Department Profit (Loss) - Check</v>
      </c>
      <c r="O76" s="209">
        <f t="shared" ref="O76:AA76" si="34">SUMIF($H$35:$H$73,"KPI_GP",O$35:O$73)-SUMIF($H$35:$H$73,"TOTDEPTEXP",O$35:O$73)-SUMIF($H$35:$H$73,"TOTDEPTPL",O$35:O$73)</f>
        <v>0</v>
      </c>
      <c r="P76" s="209">
        <f t="shared" si="34"/>
        <v>0</v>
      </c>
      <c r="Q76" s="209">
        <f t="shared" si="34"/>
        <v>0</v>
      </c>
      <c r="R76" s="209">
        <f t="shared" si="34"/>
        <v>0</v>
      </c>
      <c r="S76" s="209">
        <f t="shared" si="34"/>
        <v>0</v>
      </c>
      <c r="T76" s="209">
        <f t="shared" si="34"/>
        <v>0</v>
      </c>
      <c r="U76" s="209">
        <f t="shared" si="34"/>
        <v>0</v>
      </c>
      <c r="V76" s="209">
        <f t="shared" si="34"/>
        <v>0</v>
      </c>
      <c r="W76" s="209">
        <f t="shared" si="34"/>
        <v>0</v>
      </c>
      <c r="X76" s="209">
        <f t="shared" si="34"/>
        <v>0</v>
      </c>
      <c r="Y76" s="209">
        <f t="shared" si="34"/>
        <v>0</v>
      </c>
      <c r="Z76" s="209">
        <f t="shared" si="34"/>
        <v>0</v>
      </c>
      <c r="AA76" s="209">
        <f t="shared" si="34"/>
        <v>0</v>
      </c>
      <c r="AB76" s="100"/>
      <c r="AC76" s="11"/>
      <c r="AD76" s="209">
        <f>SUMIF($H$35:$H$73,"KPI_GP",AD$35:AD$73)-SUMIF($H$35:$H$73,"TOTDEPTEXP",AD$35:AD$73)-SUMIF($H$35:$H$73,"TOTDEPTPL",AD$35:AD$73)</f>
        <v>0</v>
      </c>
      <c r="AE76" s="100"/>
      <c r="AF76" s="91"/>
      <c r="AG76" s="209">
        <f>SUMIF($H$35:$H$73,"KPI_GP",AG$35:AG$73)-SUMIF($H$35:$H$73,"TOTDEPTEXP",AG$35:AG$73)-SUMIF($H$35:$H$73,"TOTDEPTPL",AG$35:AG$73)</f>
        <v>0</v>
      </c>
      <c r="AH76" s="100"/>
      <c r="AI76" s="91"/>
      <c r="AJ76" s="11"/>
      <c r="AK76" s="11"/>
      <c r="AL76" s="11"/>
      <c r="AM76" s="11"/>
      <c r="AN76" s="11"/>
      <c r="AO76" s="11"/>
    </row>
    <row r="77" spans="1:41" x14ac:dyDescent="0.35">
      <c r="A77" s="11"/>
      <c r="B77" s="11"/>
      <c r="C77" s="208"/>
      <c r="D77" s="11"/>
      <c r="E77" s="11"/>
      <c r="F77" s="11"/>
      <c r="G77" s="11"/>
      <c r="H77" s="11"/>
      <c r="I77" s="59"/>
      <c r="J77" s="59"/>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1" t="str">
        <f>IF(_epmOfflineCondition_,"Evdre:Ok",_xll.EVDRE($B$1,A81:B88,A91:B97))</f>
        <v>Evdre:Ok</v>
      </c>
      <c r="B78" s="11"/>
      <c r="C78" s="11"/>
      <c r="D78" s="11"/>
      <c r="E78" s="11"/>
      <c r="F78" s="11"/>
      <c r="G78" s="11"/>
      <c r="H78" s="11"/>
      <c r="I78" s="59"/>
      <c r="J78" s="59"/>
      <c r="K78" s="11"/>
      <c r="L78" s="11"/>
      <c r="M78" s="11"/>
      <c r="N78" s="11"/>
      <c r="O78" s="137"/>
      <c r="P78" s="137"/>
      <c r="Q78" s="137"/>
      <c r="R78" s="137"/>
      <c r="S78" s="137"/>
      <c r="T78" s="137"/>
      <c r="U78" s="137"/>
      <c r="V78" s="137"/>
      <c r="W78" s="137"/>
      <c r="X78" s="137"/>
      <c r="Y78" s="137"/>
      <c r="Z78" s="137"/>
      <c r="AA78" s="137"/>
      <c r="AB78" s="11"/>
      <c r="AC78" s="11"/>
      <c r="AD78" s="137"/>
      <c r="AE78" s="11"/>
      <c r="AF78" s="11"/>
      <c r="AG78" s="137"/>
      <c r="AH78" s="11"/>
      <c r="AI78" s="11"/>
      <c r="AJ78" s="11"/>
      <c r="AK78" s="11"/>
      <c r="AL78" s="11"/>
      <c r="AM78" s="11"/>
      <c r="AN78" s="11"/>
      <c r="AO78" s="11"/>
    </row>
    <row r="79" spans="1:41" x14ac:dyDescent="0.35">
      <c r="A79" s="11"/>
      <c r="B79" s="11"/>
      <c r="C79" s="11"/>
      <c r="D79" s="11"/>
      <c r="E79" s="11"/>
      <c r="F79" s="11"/>
      <c r="G79" s="11"/>
      <c r="H79" s="11"/>
      <c r="I79" s="59"/>
      <c r="J79" s="59"/>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2" t="s">
        <v>0</v>
      </c>
      <c r="B80" s="63" t="s">
        <v>1</v>
      </c>
      <c r="C80" s="11"/>
      <c r="D80" s="11"/>
      <c r="E80" s="11"/>
      <c r="F80" s="11"/>
      <c r="G80" s="11"/>
      <c r="H80" s="11"/>
      <c r="I80" s="59"/>
      <c r="J80" s="59"/>
      <c r="K80" s="11"/>
      <c r="L80" s="11"/>
      <c r="M80" s="11"/>
      <c r="N80" s="11"/>
      <c r="O80" s="137"/>
      <c r="P80" s="137"/>
      <c r="Q80" s="137"/>
      <c r="R80" s="137"/>
      <c r="S80" s="137"/>
      <c r="T80" s="137"/>
      <c r="U80" s="137"/>
      <c r="V80" s="137"/>
      <c r="W80" s="137"/>
      <c r="X80" s="137"/>
      <c r="Y80" s="137"/>
      <c r="Z80" s="137"/>
      <c r="AA80" s="137"/>
      <c r="AB80" s="11"/>
      <c r="AC80" s="11"/>
      <c r="AD80" s="137"/>
      <c r="AE80" s="11"/>
      <c r="AF80" s="11"/>
      <c r="AG80" s="137"/>
      <c r="AH80" s="11"/>
      <c r="AI80" s="11"/>
      <c r="AJ80" s="11"/>
      <c r="AK80" s="11"/>
      <c r="AL80" s="11"/>
      <c r="AM80" s="11"/>
      <c r="AN80" s="11"/>
      <c r="AO80" s="11"/>
    </row>
    <row r="81" spans="1:41" x14ac:dyDescent="0.35">
      <c r="A81" s="65" t="s">
        <v>2</v>
      </c>
      <c r="B81" s="66" t="str">
        <f>IF(_epmOfflineCondition_,"'Mini_Bar'!$B$2:$B$10",_xll.EVRNG($B$2:$B$10))</f>
        <v>'Mini_Bar'!$B$2:$B$10</v>
      </c>
      <c r="C81" s="11"/>
      <c r="D81" s="11"/>
      <c r="E81" s="11"/>
      <c r="F81" s="11"/>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3</v>
      </c>
      <c r="B82" s="66" t="str">
        <f>IF(_epmOfflineCondition_,"'Mini_Bar'!$O$16:$AN$18",_xll.EVRNG($O$16:$AN$18))</f>
        <v>'Mini_Bar'!$O$16:$AN$18</v>
      </c>
      <c r="C82" s="11"/>
      <c r="D82" s="11"/>
      <c r="E82" s="11"/>
      <c r="F82" s="11"/>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4</v>
      </c>
      <c r="B83" s="66" t="str">
        <f>IF(_epmOfflineCondition_,"'Mini_Bar'!$H$55:$H$56,'Mini_Bar'!$H$58:$H$65,'Mini_Bar'!$H$68:$H$69",_xll.EVRNG(H55:H56,H58:H65,H68:H69))</f>
        <v>'Mini_Bar'!$H$55:$H$56,'Mini_Bar'!$H$58:$H$65,'Mini_Bar'!$H$68:$H$69</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5</v>
      </c>
      <c r="B84" s="66"/>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6</v>
      </c>
      <c r="B85" s="66"/>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7</v>
      </c>
      <c r="B86" s="66" t="str">
        <f>IF(_epmOfflineCondition_,"'Mini_Bar'!$A$100:$F$106",_xll.EVRNG(A100:F106))</f>
        <v>'Mini_Bar'!$A$100:$F$106</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47</v>
      </c>
      <c r="B87" s="66" t="str">
        <f>IF(_epmOfflineCondition_,"'Mini_Bar'!$A$123:$B$144",_xll.EVRNG($A$123:$B$144))</f>
        <v>'Mini_Bar'!$A$123:$B$144</v>
      </c>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8</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2" t="s">
        <v>9</v>
      </c>
      <c r="B90" s="63" t="s">
        <v>10</v>
      </c>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5" t="s">
        <v>11</v>
      </c>
      <c r="B91" s="66" t="s">
        <v>21</v>
      </c>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5" t="s">
        <v>12</v>
      </c>
      <c r="B92" s="66" t="s">
        <v>22</v>
      </c>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13</v>
      </c>
      <c r="B93" s="66" t="s">
        <v>737</v>
      </c>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14</v>
      </c>
      <c r="B94" s="66"/>
      <c r="C94" s="11"/>
      <c r="D94" s="11"/>
      <c r="E94" s="11"/>
      <c r="F94" s="11"/>
      <c r="G94" s="76"/>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15</v>
      </c>
      <c r="B95" s="66"/>
      <c r="C95" s="11"/>
      <c r="D95" s="11"/>
      <c r="E95" s="11"/>
      <c r="F95" s="11"/>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16</v>
      </c>
      <c r="B96" s="66" t="s">
        <v>78</v>
      </c>
      <c r="C96" s="11"/>
      <c r="D96" s="11"/>
      <c r="E96" s="11"/>
      <c r="F96" s="11"/>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17</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97" t="s">
        <v>92</v>
      </c>
      <c r="B99" s="98" t="s">
        <v>93</v>
      </c>
      <c r="C99" s="98" t="s">
        <v>94</v>
      </c>
      <c r="D99" s="98" t="s">
        <v>95</v>
      </c>
      <c r="E99" s="98" t="s">
        <v>96</v>
      </c>
      <c r="F99" s="99" t="s">
        <v>97</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t="s">
        <v>108</v>
      </c>
      <c r="B101" s="11"/>
      <c r="C101" s="104" t="s">
        <v>101</v>
      </c>
      <c r="D101" s="11" t="s">
        <v>106</v>
      </c>
      <c r="E101" s="11"/>
      <c r="F101" s="11" t="s">
        <v>98</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t="s">
        <v>100</v>
      </c>
      <c r="B102" s="11"/>
      <c r="C102" s="53" t="s">
        <v>101</v>
      </c>
      <c r="D102" s="11" t="s">
        <v>106</v>
      </c>
      <c r="E102" s="11"/>
      <c r="F102" s="11" t="s">
        <v>98</v>
      </c>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109</v>
      </c>
      <c r="B103" s="11"/>
      <c r="C103" s="106"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109</v>
      </c>
      <c r="B104" s="11"/>
      <c r="C104" s="196" t="s">
        <v>101</v>
      </c>
      <c r="D104" s="11" t="s">
        <v>107</v>
      </c>
      <c r="E104" s="11"/>
      <c r="F104" s="11" t="s">
        <v>99</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110</v>
      </c>
      <c r="B105" s="11"/>
      <c r="C105" s="106" t="s">
        <v>101</v>
      </c>
      <c r="D105" s="11" t="s">
        <v>106</v>
      </c>
      <c r="E105" s="11"/>
      <c r="F105" s="11" t="s">
        <v>98</v>
      </c>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110</v>
      </c>
      <c r="B106" s="11"/>
      <c r="C106" s="109"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208"/>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c r="B108" s="11"/>
      <c r="C108" s="11"/>
      <c r="D108" s="11"/>
      <c r="E108" s="11"/>
      <c r="F108" s="11"/>
      <c r="G108" s="76"/>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1" t="str">
        <f>IF(_epmOfflineCondition_,"Evdre:Ok",_xll.EVDRE($B$1,A112:B119))</f>
        <v>Evdre:Ok</v>
      </c>
      <c r="B109" s="11" t="s">
        <v>736</v>
      </c>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2" t="s">
        <v>0</v>
      </c>
      <c r="B111" s="63" t="s">
        <v>1</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2</v>
      </c>
      <c r="B112" s="66" t="str">
        <f>IF(_epmOfflineCondition_,"'Mini_Bar'!$B$2:$B$10",_xll.EVRNG($B$2:$B$10))</f>
        <v>'Mini_Bar'!$B$2:$B$10</v>
      </c>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5" t="s">
        <v>3</v>
      </c>
      <c r="B113" s="66" t="str">
        <f>IF(_epmOfflineCondition_,"'Mini_Bar'!$O$16:$AN$18",_xll.EVRNG($O$16:$AN$18))</f>
        <v>'Mini_Bar'!$O$16:$AN$18</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4</v>
      </c>
      <c r="B114" s="66" t="str">
        <f>IF(_epmOfflineCondition_,"'Mini_Bar'!$H$70:$H$73",_xll.EVRNG(H70:H73))</f>
        <v>'Mini_Bar'!$H$70:$H$73</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5</v>
      </c>
      <c r="B115" s="66"/>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6</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7</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47</v>
      </c>
      <c r="B118" s="66" t="str">
        <f>IF(_epmOfflineCondition_,"'Mini_Bar'!$A$123:$B$144",_xll.EVRNG($A$123:$B$144))</f>
        <v>'Mini_Bar'!$A$123:$B$144</v>
      </c>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2" t="s">
        <v>23</v>
      </c>
      <c r="B122" s="63" t="s">
        <v>24</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25</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26</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27</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28</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29</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30</v>
      </c>
      <c r="B128" s="66" t="s">
        <v>78</v>
      </c>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31</v>
      </c>
      <c r="B129" s="66" t="s">
        <v>78</v>
      </c>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32</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33</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34</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35</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36</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37</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38</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39</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40</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41</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42</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43</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44</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45</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46</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267"/>
      <c r="J146" s="11"/>
      <c r="K146" s="267"/>
      <c r="L146" s="267"/>
      <c r="M146" s="267"/>
      <c r="N146" s="11"/>
      <c r="O146" s="267"/>
      <c r="P146" s="267"/>
      <c r="Q146" s="267"/>
      <c r="R146" s="267"/>
      <c r="S146" s="267"/>
      <c r="T146" s="267"/>
      <c r="U146" s="267"/>
      <c r="V146" s="267"/>
      <c r="W146" s="267"/>
      <c r="X146" s="267"/>
      <c r="Y146" s="267"/>
      <c r="Z146" s="267"/>
      <c r="AA146" s="267"/>
      <c r="AB146" s="11"/>
      <c r="AC146" s="11"/>
      <c r="AD146" s="267"/>
      <c r="AE146" s="11"/>
      <c r="AF146" s="267"/>
      <c r="AG146" s="11"/>
      <c r="AH146" s="267"/>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267"/>
      <c r="J150" s="11"/>
      <c r="K150" s="267"/>
      <c r="L150" s="267"/>
      <c r="M150" s="267"/>
      <c r="N150" s="11"/>
      <c r="O150" s="267"/>
      <c r="P150" s="267"/>
      <c r="Q150" s="267"/>
      <c r="R150" s="267"/>
      <c r="S150" s="267"/>
      <c r="T150" s="267"/>
      <c r="U150" s="267"/>
      <c r="V150" s="267"/>
      <c r="W150" s="267"/>
      <c r="X150" s="267"/>
      <c r="Y150" s="267"/>
      <c r="Z150" s="267"/>
      <c r="AA150" s="267"/>
      <c r="AB150" s="11"/>
      <c r="AC150" s="11"/>
      <c r="AD150" s="267"/>
      <c r="AE150" s="11"/>
      <c r="AF150" s="267"/>
      <c r="AG150" s="11"/>
      <c r="AH150" s="267"/>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267"/>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267"/>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267"/>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267"/>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sheetData>
  <sheetProtection algorithmName="SHA-512" hashValue="fjUe5gxCR5uc1fGRfgQtwa4OMUlOKGkppr9pjYDhRr2a5HPpBXXjePiyCOcWFM5wmYmgBDx33bjcakq5JpVDKQ==" saltValue="nQdLCiZdF3KGc6GGKMdhMA==" spinCount="100000" sheet="1" scenarios="1"/>
  <mergeCells count="2">
    <mergeCell ref="AD31:AE31"/>
    <mergeCell ref="AG31:AH31"/>
  </mergeCells>
  <dataValidations disablePrompts="1" count="2">
    <dataValidation type="list" allowBlank="1" sqref="B93 B29 B61" xr:uid="{00000000-0002-0000-1D00-000000000000}">
      <formula1>"SELF,ALL,BAS,DEP,BASMEMBERS,MEMBERS,NOEXPAND,GDEP"</formula1>
    </dataValidation>
    <dataValidation type="list" allowBlank="1" sqref="B60 B28 B92" xr:uid="{00000000-0002-0000-1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491"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0491" r:id="rId7" name="FPMExcelClientSheetOptionstb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4">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1" hidden="1" customWidth="1" outlineLevel="1"/>
    <col min="13" max="13" width="36.7265625" style="1" customWidth="1" collapsed="1"/>
    <col min="14" max="25" width="11.7265625" style="1" customWidth="1" outlineLevel="1"/>
    <col min="26" max="26" width="12.7265625" style="1" customWidth="1"/>
    <col min="27" max="27" width="7.7265625" style="1" customWidth="1"/>
    <col min="28" max="28" width="1.7265625" style="1" customWidth="1"/>
    <col min="29" max="29" width="12.7265625" style="1" customWidth="1"/>
    <col min="30" max="30" width="7.7265625" style="1" customWidth="1"/>
    <col min="31" max="31" width="11.7265625" style="1" customWidth="1"/>
    <col min="32" max="32" width="12.7265625" style="1" customWidth="1"/>
    <col min="33" max="33" width="7.7265625" style="1" customWidth="1"/>
    <col min="34" max="34" width="11.7265625" style="1" customWidth="1"/>
    <col min="35" max="39" width="9.1796875" style="1" hidden="1" customWidth="1" outlineLevel="1"/>
    <col min="40" max="40" width="9.1796875" style="1" collapsed="1"/>
    <col min="41" max="16384" width="9.1796875" style="1"/>
  </cols>
  <sheetData>
    <row r="1" spans="1:42"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row>
    <row r="2" spans="1:42"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row>
    <row r="3" spans="1:42"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row>
    <row r="4" spans="1:42"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row>
    <row r="6" spans="1:42" hidden="1" outlineLevel="1" x14ac:dyDescent="0.35">
      <c r="A6" s="53" t="s">
        <v>52</v>
      </c>
      <c r="B6" s="56" t="s">
        <v>463</v>
      </c>
      <c r="C6" s="11" t="str">
        <f>IF(_epmOfflineCondition_,"Other Operated Departments",_xll.EVDES(B6,$B$1))</f>
        <v>Other Operated Departments</v>
      </c>
      <c r="D6" s="11"/>
      <c r="E6" s="58" t="str">
        <f>IF(_epmOfflineCondition_,"",_xll.EVPRO($B$1,$B$6,$F$6))</f>
        <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row>
    <row r="9" spans="1:42"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row>
    <row r="10" spans="1:42"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row>
    <row r="11" spans="1:42" hidden="1" outlineLevel="1" x14ac:dyDescent="0.35">
      <c r="A11" s="11"/>
      <c r="B11" s="53"/>
      <c r="C11" s="11"/>
      <c r="D11" s="11"/>
      <c r="E11" s="11"/>
      <c r="F11" s="11"/>
      <c r="G11" s="11"/>
      <c r="H11" s="11"/>
      <c r="I11" s="59"/>
      <c r="J11" s="59"/>
      <c r="K11" s="11"/>
      <c r="L11" s="58" t="str">
        <f>IF(LEFT(SetUp!$D$6,3)="ALT","Y","N")</f>
        <v>N</v>
      </c>
      <c r="M11" s="11" t="s">
        <v>800</v>
      </c>
      <c r="N11" s="60" t="str">
        <f>IF(_epmOfflineCondition_,"ACTUAL_CON",IF(N13&lt;$F$4,_xll.EVPRO($B$1,$B$4,"COMPARISON"),$B$4))</f>
        <v>ACTUAL_CON</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11"/>
      <c r="AA11" s="11"/>
      <c r="AB11" s="11"/>
      <c r="AC11" s="11"/>
      <c r="AD11" s="11"/>
      <c r="AE11" s="11"/>
      <c r="AF11" s="11"/>
      <c r="AG11" s="11"/>
      <c r="AH11" s="11"/>
      <c r="AI11" s="11"/>
      <c r="AJ11" s="11"/>
      <c r="AK11" s="11"/>
      <c r="AL11" s="11"/>
      <c r="AM11" s="11"/>
      <c r="AN11" s="11"/>
      <c r="AO11" s="11"/>
      <c r="AP11" s="11"/>
    </row>
    <row r="12" spans="1:42" hidden="1" outlineLevel="1" x14ac:dyDescent="0.35">
      <c r="A12" s="11" t="s">
        <v>115</v>
      </c>
      <c r="B12" s="58" t="str">
        <f>IF(_epmOfflineCondition_,"2021",_xll.EVPRO($B$1,$B$10,"YEAR"))</f>
        <v>2021</v>
      </c>
      <c r="C12" s="11"/>
      <c r="D12" s="11"/>
      <c r="E12" s="11"/>
      <c r="F12" s="11"/>
      <c r="G12" s="11"/>
      <c r="H12" s="11"/>
      <c r="I12" s="59"/>
      <c r="J12" s="59"/>
      <c r="K12" s="11"/>
      <c r="L12" s="59"/>
      <c r="M12" s="11" t="s">
        <v>597</v>
      </c>
      <c r="N12" s="4" t="str">
        <f>IF(_epmOfflineCondition_,"Y",_xll.EVPRO($B$1,N$16,$M$12))</f>
        <v>Y</v>
      </c>
      <c r="O12" s="4" t="str">
        <f>IF(_epmOfflineCondition_,"Y",_xll.EVPRO($B$1,O$16,$M$12))</f>
        <v>Y</v>
      </c>
      <c r="P12" s="4" t="str">
        <f>IF(_epmOfflineCondition_,"Y",_xll.EVPRO($B$1,P$16,$M$12))</f>
        <v>Y</v>
      </c>
      <c r="Q12" s="4" t="str">
        <f>IF(_epmOfflineCondition_,"Y",_xll.EVPRO($B$1,Q$16,$M$12))</f>
        <v>Y</v>
      </c>
      <c r="R12" s="4" t="str">
        <f>IF(_epmOfflineCondition_,"Y",_xll.EVPRO($B$1,R$16,$M$12))</f>
        <v>Y</v>
      </c>
      <c r="S12" s="4" t="str">
        <f>IF(_epmOfflineCondition_,"Y",_xll.EVPRO($B$1,S$16,$M$12))</f>
        <v>Y</v>
      </c>
      <c r="T12" s="4" t="str">
        <f>IF(_epmOfflineCondition_,"Y",_xll.EVPRO($B$1,T$16,$M$12))</f>
        <v>Y</v>
      </c>
      <c r="U12" s="4" t="str">
        <f>IF(_epmOfflineCondition_,"Y",_xll.EVPRO($B$1,U$16,$M$12))</f>
        <v>Y</v>
      </c>
      <c r="V12" s="4" t="str">
        <f>IF(_epmOfflineCondition_,"Y",_xll.EVPRO($B$1,V$16,$M$12))</f>
        <v>Y</v>
      </c>
      <c r="W12" s="4" t="str">
        <f>IF(_epmOfflineCondition_,"Y",_xll.EVPRO($B$1,W$16,$M$12))</f>
        <v>Y</v>
      </c>
      <c r="X12" s="4" t="str">
        <f>IF(_epmOfflineCondition_,"Y",_xll.EVPRO($B$1,X$16,$M$12))</f>
        <v>Y</v>
      </c>
      <c r="Y12" s="4" t="str">
        <f>IF(_epmOfflineCondition_,"Y",_xll.EVPRO($B$1,Y$16,$M$12))</f>
        <v>Y</v>
      </c>
      <c r="Z12" s="4" t="str">
        <f>IF(_epmOfflineCondition_,"",_xll.EVPRO($B$1,Z$16,$M$12))</f>
        <v/>
      </c>
      <c r="AA12" s="11"/>
      <c r="AB12" s="11"/>
      <c r="AC12" s="4" t="str">
        <f>IF(_epmOfflineCondition_,"",_xll.EVPRO($B$1,AC$16,$M$12))</f>
        <v/>
      </c>
      <c r="AD12" s="11"/>
      <c r="AE12" s="11"/>
      <c r="AF12" s="4" t="str">
        <f>IF(_epmOfflineCondition_,"",_xll.EVPRO($B$1,AF$16,$M$12))</f>
        <v/>
      </c>
      <c r="AG12" s="11"/>
      <c r="AH12" s="11"/>
      <c r="AI12" s="11"/>
      <c r="AJ12" s="11"/>
      <c r="AK12" s="11"/>
      <c r="AL12" s="11"/>
      <c r="AM12" s="11"/>
      <c r="AN12" s="11"/>
      <c r="AO12" s="11"/>
      <c r="AP12" s="11"/>
    </row>
    <row r="13" spans="1:42"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11" t="s">
        <v>598</v>
      </c>
      <c r="N13" s="5" t="str">
        <f>IF(_epmOfflineCondition_,"20210100",_xll.EVPRO($B$1,N16,"TIMEID"))</f>
        <v>20210100</v>
      </c>
      <c r="O13" s="5" t="str">
        <f>IF(_epmOfflineCondition_,"20210200",_xll.EVPRO($B$1,O16,"TIMEID"))</f>
        <v>20210200</v>
      </c>
      <c r="P13" s="5" t="str">
        <f>IF(_epmOfflineCondition_,"20210300",_xll.EVPRO($B$1,P16,"TIMEID"))</f>
        <v>20210300</v>
      </c>
      <c r="Q13" s="5" t="str">
        <f>IF(_epmOfflineCondition_,"20210400",_xll.EVPRO($B$1,Q16,"TIMEID"))</f>
        <v>20210400</v>
      </c>
      <c r="R13" s="5" t="str">
        <f>IF(_epmOfflineCondition_,"20210500",_xll.EVPRO($B$1,R16,"TIMEID"))</f>
        <v>20210500</v>
      </c>
      <c r="S13" s="5" t="str">
        <f>IF(_epmOfflineCondition_,"20210600",_xll.EVPRO($B$1,S16,"TIMEID"))</f>
        <v>20210600</v>
      </c>
      <c r="T13" s="5" t="str">
        <f>IF(_epmOfflineCondition_,"20210700",_xll.EVPRO($B$1,T16,"TIMEID"))</f>
        <v>20210700</v>
      </c>
      <c r="U13" s="5" t="str">
        <f>IF(_epmOfflineCondition_,"20210800",_xll.EVPRO($B$1,U16,"TIMEID"))</f>
        <v>20210800</v>
      </c>
      <c r="V13" s="5" t="str">
        <f>IF(_epmOfflineCondition_,"20210900",_xll.EVPRO($B$1,V16,"TIMEID"))</f>
        <v>20210900</v>
      </c>
      <c r="W13" s="5" t="str">
        <f>IF(_epmOfflineCondition_,"20211000",_xll.EVPRO($B$1,W16,"TIMEID"))</f>
        <v>20211000</v>
      </c>
      <c r="X13" s="5" t="str">
        <f>IF(_epmOfflineCondition_,"20211100",_xll.EVPRO($B$1,X16,"TIMEID"))</f>
        <v>20211100</v>
      </c>
      <c r="Y13" s="5" t="str">
        <f>IF(_epmOfflineCondition_,"20211200",_xll.EVPRO($B$1,Y16,"TIMEID"))</f>
        <v>20211200</v>
      </c>
      <c r="Z13" s="5" t="str">
        <f>IF(_epmOfflineCondition_,"10000170",_xll.EVPRO($B$1,Z16,"TIMEID"))</f>
        <v>10000170</v>
      </c>
      <c r="AA13" s="11"/>
      <c r="AB13" s="11"/>
      <c r="AC13" s="5" t="str">
        <f>IF(_epmOfflineCondition_,"10000170",_xll.EVPRO($B$1,AC16,"TIMEID"))</f>
        <v>10000170</v>
      </c>
      <c r="AD13" s="11"/>
      <c r="AE13" s="11"/>
      <c r="AF13" s="5" t="str">
        <f>IF(_epmOfflineCondition_,"10000160",_xll.EVPRO($B$1,AF16,"TIMEID"))</f>
        <v>10000160</v>
      </c>
      <c r="AG13" s="11"/>
      <c r="AH13" s="11"/>
      <c r="AI13" s="11"/>
      <c r="AJ13" s="11"/>
      <c r="AK13" s="11"/>
      <c r="AL13" s="11"/>
      <c r="AM13" s="11"/>
      <c r="AN13" s="11"/>
      <c r="AO13" s="11"/>
      <c r="AP13" s="11"/>
    </row>
    <row r="14" spans="1:42" hidden="1" outlineLevel="1" x14ac:dyDescent="0.35">
      <c r="A14" s="61" t="str">
        <f>IF(_epmOfflineCondition_,"Evdre:Ok",_xll.EVDRE($B$1,A17:B24,A27:C33))</f>
        <v>Evdre:Ok</v>
      </c>
      <c r="B14" s="11"/>
      <c r="C14" s="11"/>
      <c r="D14" s="11"/>
      <c r="E14" s="11"/>
      <c r="F14" s="11"/>
      <c r="G14" s="11"/>
      <c r="H14" s="11"/>
      <c r="I14" s="59"/>
      <c r="J14" s="59"/>
      <c r="K14" s="11"/>
      <c r="L14" s="59"/>
      <c r="M14" s="11" t="s">
        <v>599</v>
      </c>
      <c r="N14" s="5" t="s">
        <v>603</v>
      </c>
      <c r="O14" s="5" t="s">
        <v>604</v>
      </c>
      <c r="P14" s="5" t="s">
        <v>605</v>
      </c>
      <c r="Q14" s="5" t="s">
        <v>606</v>
      </c>
      <c r="R14" s="5" t="s">
        <v>607</v>
      </c>
      <c r="S14" s="5" t="s">
        <v>608</v>
      </c>
      <c r="T14" s="5" t="s">
        <v>609</v>
      </c>
      <c r="U14" s="5" t="s">
        <v>610</v>
      </c>
      <c r="V14" s="5" t="s">
        <v>611</v>
      </c>
      <c r="W14" s="5" t="s">
        <v>612</v>
      </c>
      <c r="X14" s="5" t="s">
        <v>613</v>
      </c>
      <c r="Y14" s="5" t="s">
        <v>614</v>
      </c>
      <c r="Z14" s="5" t="s">
        <v>116</v>
      </c>
      <c r="AA14" s="11"/>
      <c r="AB14" s="11"/>
      <c r="AC14" s="5" t="s">
        <v>116</v>
      </c>
      <c r="AD14" s="11"/>
      <c r="AE14" s="11"/>
      <c r="AF14" s="5" t="s">
        <v>116</v>
      </c>
      <c r="AG14" s="11"/>
      <c r="AH14" s="11"/>
      <c r="AI14" s="11"/>
      <c r="AJ14" s="11"/>
      <c r="AK14" s="11"/>
      <c r="AL14" s="11"/>
      <c r="AM14" s="11"/>
      <c r="AN14" s="11"/>
      <c r="AO14" s="11"/>
      <c r="AP14" s="11"/>
    </row>
    <row r="15" spans="1:42" hidden="1" outlineLevel="1" x14ac:dyDescent="0.35">
      <c r="A15" s="11"/>
      <c r="B15" s="11"/>
      <c r="C15" s="11"/>
      <c r="D15" s="11"/>
      <c r="E15" s="11"/>
      <c r="F15" s="11"/>
      <c r="G15" s="11"/>
      <c r="H15" s="11"/>
      <c r="I15" s="59"/>
      <c r="J15" s="59"/>
      <c r="K15" s="11"/>
      <c r="L15" s="59"/>
      <c r="M15" s="11" t="s">
        <v>600</v>
      </c>
      <c r="N15" s="6" t="s">
        <v>615</v>
      </c>
      <c r="O15" s="6" t="s">
        <v>616</v>
      </c>
      <c r="P15" s="7" t="s">
        <v>617</v>
      </c>
      <c r="Q15" s="7" t="s">
        <v>618</v>
      </c>
      <c r="R15" s="7" t="s">
        <v>619</v>
      </c>
      <c r="S15" s="7" t="s">
        <v>620</v>
      </c>
      <c r="T15" s="7" t="s">
        <v>621</v>
      </c>
      <c r="U15" s="7" t="s">
        <v>622</v>
      </c>
      <c r="V15" s="7" t="s">
        <v>623</v>
      </c>
      <c r="W15" s="7" t="s">
        <v>624</v>
      </c>
      <c r="X15" s="7" t="s">
        <v>625</v>
      </c>
      <c r="Y15" s="7" t="s">
        <v>626</v>
      </c>
      <c r="Z15" s="5" t="s">
        <v>116</v>
      </c>
      <c r="AA15" s="11"/>
      <c r="AB15" s="11"/>
      <c r="AC15" s="5" t="s">
        <v>116</v>
      </c>
      <c r="AD15" s="11"/>
      <c r="AE15" s="11"/>
      <c r="AF15" s="5" t="s">
        <v>116</v>
      </c>
      <c r="AG15" s="11"/>
      <c r="AH15" s="11"/>
      <c r="AI15" s="11"/>
      <c r="AJ15" s="11"/>
      <c r="AK15" s="11"/>
      <c r="AL15" s="11"/>
      <c r="AM15" s="11"/>
      <c r="AN15" s="11"/>
      <c r="AO15" s="11"/>
      <c r="AP15" s="11"/>
    </row>
    <row r="16" spans="1:42" hidden="1" outlineLevel="1" x14ac:dyDescent="0.35">
      <c r="A16" s="62" t="s">
        <v>0</v>
      </c>
      <c r="B16" s="63" t="s">
        <v>1</v>
      </c>
      <c r="C16" s="11"/>
      <c r="D16" s="11"/>
      <c r="E16" s="11"/>
      <c r="F16" s="11"/>
      <c r="G16" s="11"/>
      <c r="H16" s="11"/>
      <c r="I16" s="59"/>
      <c r="J16" s="59"/>
      <c r="K16" s="11"/>
      <c r="L16" s="59"/>
      <c r="M16" s="11" t="s">
        <v>18</v>
      </c>
      <c r="N16" s="60" t="str">
        <f>IF(_epmOfflineCondition_,"2021.JAN",IF(SetUp!$O$1=TRUE,_xll.EVTIM($B$1,O16,-1),IF($D$10="FY",LEFT($B$10,6)&amp;"."&amp;N15,$B$12&amp;"."&amp;N14)))</f>
        <v>2021.JAN</v>
      </c>
      <c r="O16" s="60" t="str">
        <f>IF(_epmOfflineCondition_,"2021.FEB",IF(SetUp!$O$1=TRUE,_xll.EVTIM($B$1,P16,-1),IF($D$10="FY",LEFT($B$10,6)&amp;"."&amp;O15,$B$12&amp;"."&amp;O14)))</f>
        <v>2021.FEB</v>
      </c>
      <c r="P16" s="60" t="str">
        <f>IF(_epmOfflineCondition_,"2021.MAR",IF(SetUp!$O$1=TRUE,_xll.EVTIM($B$1,Q16,-1),IF($D$10="FY",LEFT($B$10,6)&amp;"."&amp;P15,$B$12&amp;"."&amp;P14)))</f>
        <v>2021.MAR</v>
      </c>
      <c r="Q16" s="60" t="str">
        <f>IF(_epmOfflineCondition_,"2021.APR",IF(SetUp!$O$1=TRUE,_xll.EVTIM($B$1,R16,-1),IF($D$10="FY",LEFT($B$10,6)&amp;"."&amp;Q15,$B$12&amp;"."&amp;Q14)))</f>
        <v>2021.APR</v>
      </c>
      <c r="R16" s="60" t="str">
        <f>IF(_epmOfflineCondition_,"2021.MAY",IF(SetUp!$O$1=TRUE,_xll.EVTIM($B$1,S16,-1),IF($D$10="FY",LEFT($B$10,6)&amp;"."&amp;R15,$B$12&amp;"."&amp;R14)))</f>
        <v>2021.MAY</v>
      </c>
      <c r="S16" s="60" t="str">
        <f>IF(_epmOfflineCondition_,"2021.JUN",IF(SetUp!$O$1=TRUE,_xll.EVTIM($B$1,T16,-1),IF($D$10="FY",LEFT($B$10,6)&amp;"."&amp;S15,$B$12&amp;"."&amp;S14)))</f>
        <v>2021.JUN</v>
      </c>
      <c r="T16" s="60" t="str">
        <f>IF(_epmOfflineCondition_,"2021.JUL",IF(SetUp!$O$1=TRUE,_xll.EVTIM($B$1,U16,-1),IF($D$10="FY",LEFT($B$10,6)&amp;"."&amp;T15,$B$12&amp;"."&amp;T14)))</f>
        <v>2021.JUL</v>
      </c>
      <c r="U16" s="60" t="str">
        <f>IF(_epmOfflineCondition_,"2021.AUG",IF(SetUp!$O$1=TRUE,_xll.EVTIM($B$1,V16,-1),IF($D$10="FY",LEFT($B$10,6)&amp;"."&amp;U15,$B$12&amp;"."&amp;U14)))</f>
        <v>2021.AUG</v>
      </c>
      <c r="V16" s="60" t="str">
        <f>IF(_epmOfflineCondition_,"2021.SEP",IF(SetUp!$O$1=TRUE,_xll.EVTIM($B$1,W16,-1),IF($D$10="FY",LEFT($B$10,6)&amp;"."&amp;V15,$B$12&amp;"."&amp;V14)))</f>
        <v>2021.SEP</v>
      </c>
      <c r="W16" s="60" t="str">
        <f>IF(_epmOfflineCondition_,"2021.OCT",IF(SetUp!$O$1=TRUE,_xll.EVTIM($B$1,X16,-1),IF($D$10="FY",LEFT($B$10,6)&amp;"."&amp;W15,$B$12&amp;"."&amp;W14)))</f>
        <v>2021.OCT</v>
      </c>
      <c r="X16" s="60" t="str">
        <f>IF(_epmOfflineCondition_,"2021.NOV",IF(SetUp!$O$1=TRUE,_xll.EVTIM($B$1,Y16,-1),IF($D$10="FY",LEFT($B$10,6)&amp;"."&amp;X15,$B$12&amp;"."&amp;X14)))</f>
        <v>2021.NOV</v>
      </c>
      <c r="Y16" s="60" t="str">
        <f>IF(SetUp!$O$1=TRUE,SetUp!$Q$6,IF($D$10="FY",LEFT($B$10,6)&amp;"."&amp;Y15,$B$12&amp;"."&amp;Y14))</f>
        <v>2021.DEC</v>
      </c>
      <c r="Z16" s="60" t="str">
        <f>IF($D$10="FY",LEFT($B$10,6)&amp;"."&amp;Z15,$B$12&amp;"."&amp;Z14)</f>
        <v>2021.TOTAL</v>
      </c>
      <c r="AA16" s="64"/>
      <c r="AB16" s="64"/>
      <c r="AC16" s="60" t="str">
        <f>IF(SetUp!$O$1=TRUE,SetUp!$Q$6,SetUp!$G$7)</f>
        <v>2021.TOTAL</v>
      </c>
      <c r="AD16" s="64"/>
      <c r="AE16" s="64"/>
      <c r="AF16" s="60" t="str">
        <f>IF(_epmOfflineCondition_,"2020.TOTAL",IF(SetUp!$O$1=TRUE,_xll.EVTIM($B$1,AC16,-1,"YEAR"),SetUp!$J$7))</f>
        <v>2020.TOTAL</v>
      </c>
      <c r="AG16" s="64"/>
      <c r="AH16" s="64"/>
      <c r="AI16" s="11"/>
      <c r="AJ16" s="11"/>
      <c r="AK16" s="11"/>
      <c r="AL16" s="11"/>
      <c r="AM16" s="11"/>
      <c r="AN16" s="11"/>
      <c r="AO16" s="11"/>
      <c r="AP16" s="11"/>
    </row>
    <row r="17" spans="1:42" hidden="1" outlineLevel="1" x14ac:dyDescent="0.35">
      <c r="A17" s="65" t="s">
        <v>2</v>
      </c>
      <c r="B17" s="66" t="str">
        <f>IF(_epmOfflineCondition_,"'OTH_OP'!$B$2:$B$10",_xll.EVRNG($B$2:$B$10))</f>
        <v>'OTH_OP'!$B$2:$B$10</v>
      </c>
      <c r="C17" s="11"/>
      <c r="D17" s="11"/>
      <c r="E17" s="11"/>
      <c r="F17" s="11"/>
      <c r="G17" s="11"/>
      <c r="H17" s="11"/>
      <c r="I17" s="59"/>
      <c r="J17" s="59"/>
      <c r="K17" s="11"/>
      <c r="L17" s="59"/>
      <c r="M17" s="11" t="s">
        <v>19</v>
      </c>
      <c r="N17" s="60" t="str">
        <f>IF(_epmOfflineCondition_,"ACTUAL_CON",IF($L$11="Y",N11,IF(N13&lt;$E$4,_xll.EVPRO($B$1,$B$4,"COMPARISON"),$B$4)))</f>
        <v>ACTUAL_CON</v>
      </c>
      <c r="O17" s="60" t="str">
        <f>IF(_epmOfflineCondition_,"ACTUAL_CON",IF($L$11="y",O11,IF(O13&lt;$E$4,_xll.EVPRO($B$1,$B$4,"COMPARISON"),$B$4)))</f>
        <v>ACTUAL_CON</v>
      </c>
      <c r="P17" s="60" t="str">
        <f>IF(_epmOfflineCondition_,"ACTUAL_CON",IF($L$11="y",P11,IF(P13&lt;$E$4,_xll.EVPRO($B$1,$B$4,"COMPARISON"),$B$4)))</f>
        <v>ACTUAL_CON</v>
      </c>
      <c r="Q17" s="60" t="str">
        <f>IF(_epmOfflineCondition_,"ACTUAL_CON",IF($L$11="y",Q11,IF(Q13&lt;$E$4,_xll.EVPRO($B$1,$B$4,"COMPARISON"),$B$4)))</f>
        <v>ACTUAL_CON</v>
      </c>
      <c r="R17" s="60" t="str">
        <f>IF(_epmOfflineCondition_,"ACTUAL_CON",IF($L$11="y",R11,IF(R13&lt;$E$4,_xll.EVPRO($B$1,$B$4,"COMPARISON"),$B$4)))</f>
        <v>ACTUAL_CON</v>
      </c>
      <c r="S17" s="60" t="str">
        <f>IF(_epmOfflineCondition_,"ACTUAL_CON",IF($L$11="y",S11,IF(S13&lt;$E$4,_xll.EVPRO($B$1,$B$4,"COMPARISON"),$B$4)))</f>
        <v>ACTUAL_CON</v>
      </c>
      <c r="T17" s="60" t="str">
        <f>IF(_epmOfflineCondition_,"ACTUAL_CON",IF($L$11="y",T11,IF(T13&lt;$E$4,_xll.EVPRO($B$1,$B$4,"COMPARISON"),$B$4)))</f>
        <v>ACTUAL_CON</v>
      </c>
      <c r="U17" s="60" t="str">
        <f>IF(_epmOfflineCondition_,"ACTUAL_CON",IF($L$11="y",U11,IF(U13&lt;$E$4,_xll.EVPRO($B$1,$B$4,"COMPARISON"),$B$4)))</f>
        <v>ACTUAL_CON</v>
      </c>
      <c r="V17" s="60" t="str">
        <f>IF(_epmOfflineCondition_,"ACTUAL_CON",IF($L$11="y",V11,IF(V13&lt;$E$4,_xll.EVPRO($B$1,$B$4,"COMPARISON"),$B$4)))</f>
        <v>ACTUAL_CON</v>
      </c>
      <c r="W17" s="60" t="str">
        <f>IF(_epmOfflineCondition_,"ACTUAL_CON",IF($L$11="y",W11,IF(W13&lt;$E$4,_xll.EVPRO($B$1,$B$4,"COMPARISON"),$B$4)))</f>
        <v>ACTUAL_CON</v>
      </c>
      <c r="X17" s="60" t="str">
        <f>IF(_epmOfflineCondition_,"ACTUAL_CON",IF($L$11="y",X11,IF(X13&lt;$E$4,_xll.EVPRO($B$1,$B$4,"COMPARISON"),$B$4)))</f>
        <v>ACTUAL_CON</v>
      </c>
      <c r="Y17" s="60" t="str">
        <f>IF(_epmOfflineCondition_,"ACTUAL_CON",IF($L$11="y",Y11,IF(Y13&lt;$E$4,_xll.EVPRO($B$1,$B$4,"COMPARISON"),$B$4)))</f>
        <v>ACTUAL_CON</v>
      </c>
      <c r="Z17" s="60"/>
      <c r="AA17" s="64"/>
      <c r="AB17" s="64"/>
      <c r="AC17" s="60" t="str">
        <f>SetUp!$G$6</f>
        <v>BUDGET</v>
      </c>
      <c r="AD17" s="64"/>
      <c r="AE17" s="64"/>
      <c r="AF17" s="60" t="str">
        <f>SetUp!$J$6</f>
        <v>ACTUAL_CON</v>
      </c>
      <c r="AG17" s="64"/>
      <c r="AH17" s="64"/>
      <c r="AI17" s="11"/>
      <c r="AJ17" s="11"/>
      <c r="AK17" s="11"/>
      <c r="AL17" s="11"/>
      <c r="AM17" s="11"/>
      <c r="AN17" s="11"/>
      <c r="AO17" s="11"/>
      <c r="AP17" s="11"/>
    </row>
    <row r="18" spans="1:42" hidden="1" outlineLevel="1" x14ac:dyDescent="0.35">
      <c r="A18" s="65" t="s">
        <v>3</v>
      </c>
      <c r="B18" s="66" t="str">
        <f>IF(_epmOfflineCondition_,"'OTH_OP'!$N$16:$AM$18",_xll.EVRNG($N$16:$AM$18))</f>
        <v>'OTH_OP'!$N$16:$AM$18</v>
      </c>
      <c r="C18" s="11"/>
      <c r="D18" s="11"/>
      <c r="E18" s="11"/>
      <c r="F18" s="11"/>
      <c r="G18" s="11"/>
      <c r="H18" s="11"/>
      <c r="I18" s="59"/>
      <c r="J18" s="59"/>
      <c r="K18" s="11"/>
      <c r="L18" s="59"/>
      <c r="M18" s="11" t="s">
        <v>601</v>
      </c>
      <c r="N18" s="64" t="s">
        <v>55</v>
      </c>
      <c r="O18" s="64" t="s">
        <v>55</v>
      </c>
      <c r="P18" s="64" t="s">
        <v>55</v>
      </c>
      <c r="Q18" s="64" t="s">
        <v>55</v>
      </c>
      <c r="R18" s="64" t="s">
        <v>55</v>
      </c>
      <c r="S18" s="64" t="s">
        <v>55</v>
      </c>
      <c r="T18" s="64" t="s">
        <v>55</v>
      </c>
      <c r="U18" s="64" t="s">
        <v>55</v>
      </c>
      <c r="V18" s="64" t="s">
        <v>55</v>
      </c>
      <c r="W18" s="64" t="s">
        <v>55</v>
      </c>
      <c r="X18" s="64" t="s">
        <v>55</v>
      </c>
      <c r="Y18" s="64" t="s">
        <v>55</v>
      </c>
      <c r="Z18" s="64"/>
      <c r="AA18" s="64"/>
      <c r="AB18" s="64"/>
      <c r="AC18" s="60" t="str">
        <f>IF(SetUp!$O$1=TRUE,"TRAILING12",IF(AC17="CURRENT","ROLLINGFORECAST","PERIODIC"))</f>
        <v>PERIODIC</v>
      </c>
      <c r="AD18" s="64"/>
      <c r="AE18" s="64"/>
      <c r="AF18" s="60" t="str">
        <f>IF(SetUp!$O$1=TRUE,"TRAILING12",IF(AF17="CURRENT","ROLLINGFORECAST","PERIODIC"))</f>
        <v>PERIODIC</v>
      </c>
      <c r="AG18" s="64"/>
      <c r="AH18" s="64"/>
      <c r="AI18" s="11"/>
      <c r="AJ18" s="11"/>
      <c r="AK18" s="11"/>
      <c r="AL18" s="11"/>
      <c r="AM18" s="11"/>
      <c r="AN18" s="11"/>
      <c r="AO18" s="11"/>
      <c r="AP18" s="11"/>
    </row>
    <row r="19" spans="1:42" hidden="1" outlineLevel="1" x14ac:dyDescent="0.35">
      <c r="A19" s="65" t="s">
        <v>4</v>
      </c>
      <c r="B19" s="66" t="str">
        <f>IF(_epmOfflineCondition_,"'OTH_OP'!$G$34:$H$39,'OTH_OP'!$G$43:$H$48,'OTH_OP'!$G$52:$H$57",_xll.EVRNG(G34:H39,G43:H48,G52:H57))</f>
        <v>'OTH_OP'!$G$34:$H$39,'OTH_OP'!$G$43:$H$48,'OTH_OP'!$G$52:$H$57</v>
      </c>
      <c r="C19" s="11"/>
      <c r="D19" s="11"/>
      <c r="E19" s="11"/>
      <c r="F19" s="11"/>
      <c r="G19" s="67" t="str">
        <f>$B$6</f>
        <v>D_OTHER_CON</v>
      </c>
      <c r="H19" s="67">
        <v>400000</v>
      </c>
      <c r="I19" s="68"/>
      <c r="J19" s="68"/>
      <c r="K19" s="67"/>
      <c r="L19" s="67"/>
      <c r="M19" s="67" t="str">
        <f>IF(_epmOfflineCondition_,"Total Revenue",_xll.EVDES(H19))</f>
        <v>Total Revenue</v>
      </c>
      <c r="N19" s="69">
        <f>IF(_epmOfflineCondition_,824.59,_xll.EVGTS($B$1,1,$B$3,$B$5,$B$7,$B$9,N$16,N$17,N$18,$G$19,$H$19))</f>
        <v>824.59</v>
      </c>
      <c r="O19" s="69">
        <f>IF(_epmOfflineCondition_,828.99,_xll.EVGTS($B$1,1,$B$3,$B$5,$B$7,$B$9,O$16,O$17,O$18,$G$19,$H$19))</f>
        <v>828.99</v>
      </c>
      <c r="P19" s="69">
        <f>IF(_epmOfflineCondition_,672.8,_xll.EVGTS($B$1,1,$B$3,$B$5,$B$7,$B$9,P$16,P$17,P$18,$G$19,$H$19))</f>
        <v>672.8</v>
      </c>
      <c r="Q19" s="69">
        <f>IF(_epmOfflineCondition_,2811.43,_xll.EVGTS($B$1,1,$B$3,$B$5,$B$7,$B$9,Q$16,Q$17,Q$18,$G$19,$H$19))</f>
        <v>2811.43</v>
      </c>
      <c r="R19" s="69">
        <f>IF(_epmOfflineCondition_,3214.58,_xll.EVGTS($B$1,1,$B$3,$B$5,$B$7,$B$9,R$16,R$17,R$18,$G$19,$H$19))</f>
        <v>3214.58</v>
      </c>
      <c r="S19" s="69">
        <f>IF(_epmOfflineCondition_,1023.07,_xll.EVGTS($B$1,1,$B$3,$B$5,$B$7,$B$9,S$16,S$17,S$18,$G$19,$H$19))</f>
        <v>1023.07</v>
      </c>
      <c r="T19" s="69">
        <f>IF(_epmOfflineCondition_,1081.2,_xll.EVGTS($B$1,1,$B$3,$B$5,$B$7,$B$9,T$16,T$17,T$18,$G$19,$H$19))</f>
        <v>1081.2</v>
      </c>
      <c r="U19" s="69">
        <f>IF(_epmOfflineCondition_,62.99,_xll.EVGTS($B$1,1,$B$3,$B$5,$B$7,$B$9,U$16,U$17,U$18,$G$19,$H$19))</f>
        <v>62.99</v>
      </c>
      <c r="V19" s="69">
        <f>IF(_epmOfflineCondition_,2723.58,_xll.EVGTS($B$1,1,$B$3,$B$5,$B$7,$B$9,V$16,V$17,V$18,$G$19,$H$19))</f>
        <v>2723.58</v>
      </c>
      <c r="W19" s="69">
        <f>IF(_epmOfflineCondition_,1445.04,_xll.EVGTS($B$1,1,$B$3,$B$5,$B$7,$B$9,W$16,W$17,W$18,$G$19,$H$19))</f>
        <v>1445.04</v>
      </c>
      <c r="X19" s="69">
        <f>IF(_epmOfflineCondition_,1543.33,_xll.EVGTS($B$1,1,$B$3,$B$5,$B$7,$B$9,X$16,X$17,X$18,$G$19,$H$19))</f>
        <v>1543.33</v>
      </c>
      <c r="Y19" s="69">
        <f>IF(_epmOfflineCondition_,3350.25,_xll.EVGTS($B$1,1,$B$3,$B$5,$B$7,$B$9,Y$16,Y$17,Y$18,$G$19,$H$19))</f>
        <v>3350.25</v>
      </c>
      <c r="Z19" s="69">
        <f>SUM(N19:Y19)</f>
        <v>19581.849999999999</v>
      </c>
      <c r="AA19" s="67"/>
      <c r="AB19" s="67"/>
      <c r="AC19" s="69">
        <f>IF(_epmOfflineCondition_,15760.5,_xll.EVGTS($B$1,1,$B$3,$B$5,$B$7,$B$9,AC$16,AC$17,AC$18,$G$19,$H$19))</f>
        <v>15760.5</v>
      </c>
      <c r="AD19" s="67"/>
      <c r="AE19" s="67"/>
      <c r="AF19" s="69">
        <f>IF(_epmOfflineCondition_,68413.37,_xll.EVGTS($B$1,1,$B$3,$B$5,$B$7,$B$9,AF$16,AF$17,AF$18,$G$19,$H$19))</f>
        <v>68413.37</v>
      </c>
      <c r="AG19" s="67"/>
      <c r="AH19" s="67"/>
      <c r="AI19" s="11"/>
      <c r="AJ19" s="11"/>
      <c r="AK19" s="11"/>
      <c r="AL19" s="11"/>
      <c r="AM19" s="11"/>
      <c r="AN19" s="11"/>
      <c r="AO19" s="11"/>
      <c r="AP19" s="11"/>
    </row>
    <row r="20" spans="1:42" hidden="1" outlineLevel="1" x14ac:dyDescent="0.35">
      <c r="A20" s="65" t="s">
        <v>5</v>
      </c>
      <c r="B20" s="66"/>
      <c r="C20" s="11"/>
      <c r="D20" s="11"/>
      <c r="E20" s="11"/>
      <c r="F20" s="11"/>
      <c r="G20" s="67" t="s">
        <v>749</v>
      </c>
      <c r="H20" s="67">
        <v>900200</v>
      </c>
      <c r="I20" s="68"/>
      <c r="J20" s="68"/>
      <c r="K20" s="67"/>
      <c r="L20" s="68"/>
      <c r="M20" s="67" t="str">
        <f>IF(_epmOfflineCondition_,"Total Rooms Occupied",_xll.EVDES(H20))</f>
        <v>Total Rooms Occupied</v>
      </c>
      <c r="N20" s="69">
        <f>IF(_epmOfflineCondition_,3501,_xll.EVGTS($B$1,1,$B$3,$B$5,$B$7,$B$9,N$16,N$17,N$18,$G$20,$H$20))</f>
        <v>3501</v>
      </c>
      <c r="O20" s="69">
        <f>IF(_epmOfflineCondition_,3377,_xll.EVGTS($B$1,1,$B$3,$B$5,$B$7,$B$9,O$16,O$17,O$18,$G$20,$H$20))</f>
        <v>3377</v>
      </c>
      <c r="P20" s="69">
        <f>IF(_epmOfflineCondition_,3667,_xll.EVGTS($B$1,1,$B$3,$B$5,$B$7,$B$9,P$16,P$17,P$18,$G$20,$H$20))</f>
        <v>3667</v>
      </c>
      <c r="Q20" s="69">
        <f>IF(_epmOfflineCondition_,3581,_xll.EVGTS($B$1,1,$B$3,$B$5,$B$7,$B$9,Q$16,Q$17,Q$18,$G$20,$H$20))</f>
        <v>3581</v>
      </c>
      <c r="R20" s="69">
        <f>IF(_epmOfflineCondition_,3767,_xll.EVGTS($B$1,1,$B$3,$B$5,$B$7,$B$9,R$16,R$17,R$18,$G$20,$H$20))</f>
        <v>3767</v>
      </c>
      <c r="S20" s="69">
        <f>IF(_epmOfflineCondition_,3631,_xll.EVGTS($B$1,1,$B$3,$B$5,$B$7,$B$9,S$16,S$17,S$18,$G$20,$H$20))</f>
        <v>3631</v>
      </c>
      <c r="T20" s="69">
        <f>IF(_epmOfflineCondition_,3561,_xll.EVGTS($B$1,1,$B$3,$B$5,$B$7,$B$9,T$16,T$17,T$18,$G$20,$H$20))</f>
        <v>3561</v>
      </c>
      <c r="U20" s="69">
        <f>IF(_epmOfflineCondition_,2601,_xll.EVGTS($B$1,1,$B$3,$B$5,$B$7,$B$9,U$16,U$17,U$18,$G$20,$H$20))</f>
        <v>2601</v>
      </c>
      <c r="V20" s="69">
        <f>IF(_epmOfflineCondition_,2344,_xll.EVGTS($B$1,1,$B$3,$B$5,$B$7,$B$9,V$16,V$17,V$18,$G$20,$H$20))</f>
        <v>2344</v>
      </c>
      <c r="W20" s="69">
        <f>IF(_epmOfflineCondition_,3006,_xll.EVGTS($B$1,1,$B$3,$B$5,$B$7,$B$9,W$16,W$17,W$18,$G$20,$H$20))</f>
        <v>3006</v>
      </c>
      <c r="X20" s="69">
        <f>IF(_epmOfflineCondition_,3349,_xll.EVGTS($B$1,1,$B$3,$B$5,$B$7,$B$9,X$16,X$17,X$18,$G$20,$H$20))</f>
        <v>3349</v>
      </c>
      <c r="Y20" s="69">
        <f>IF(_epmOfflineCondition_,3834,_xll.EVGTS($B$1,1,$B$3,$B$5,$B$7,$B$9,Y$16,Y$17,Y$18,$G$20,$H$20))</f>
        <v>3834</v>
      </c>
      <c r="Z20" s="69">
        <f>SUM(N20:Y20)</f>
        <v>40219</v>
      </c>
      <c r="AA20" s="67"/>
      <c r="AB20" s="67"/>
      <c r="AC20" s="69">
        <f>IF(_epmOfflineCondition_,37525,_xll.EVGTS($B$1,1,$B$3,$B$5,$B$7,$B$9,AC$16,AC$17,AC$18,$G$20,$H$20))</f>
        <v>37525</v>
      </c>
      <c r="AD20" s="67"/>
      <c r="AE20" s="67"/>
      <c r="AF20" s="69">
        <f>IF(_epmOfflineCondition_,20050,_xll.EVGTS($B$1,1,$B$3,$B$5,$B$7,$B$9,AF$16,AF$17,AF$18,$G$20,$H$20))</f>
        <v>20050</v>
      </c>
      <c r="AG20" s="67"/>
      <c r="AH20" s="67"/>
      <c r="AI20" s="11"/>
      <c r="AJ20" s="11"/>
      <c r="AK20" s="11"/>
      <c r="AL20" s="11"/>
      <c r="AM20" s="11"/>
      <c r="AN20" s="11"/>
      <c r="AO20" s="11"/>
      <c r="AP20" s="11"/>
    </row>
    <row r="21" spans="1:42"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row>
    <row r="22" spans="1:42" hidden="1" outlineLevel="1" x14ac:dyDescent="0.35">
      <c r="A22" s="65" t="s">
        <v>7</v>
      </c>
      <c r="B22" s="66" t="str">
        <f>IF(_epmOfflineCondition_,"'OTH_OP'!$A$36:$F$38",_xll.EVRNG(A36:F38))</f>
        <v>'OTH_OP'!$A$36:$F$38</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row>
    <row r="23" spans="1:42" hidden="1" outlineLevel="1" x14ac:dyDescent="0.35">
      <c r="A23" s="65" t="s">
        <v>47</v>
      </c>
      <c r="B23" s="66" t="str">
        <f>IF(_epmOfflineCondition_,"'OTH_OP'!$A$44:$B$65",_xll.EVRNG($A$44:$B$65))</f>
        <v>'OTH_OP'!$A$44:$B$65</v>
      </c>
      <c r="C23" s="11"/>
      <c r="D23" s="11"/>
      <c r="E23" s="11"/>
      <c r="F23" s="11"/>
      <c r="G23" s="11"/>
      <c r="H23" s="11"/>
      <c r="I23" s="59"/>
      <c r="J23" s="59"/>
      <c r="K23" s="6"/>
      <c r="L23" s="6"/>
      <c r="M23" s="11"/>
      <c r="N23" s="11"/>
      <c r="O23" s="11"/>
      <c r="P23" s="11"/>
      <c r="Q23" s="11"/>
      <c r="R23" s="11"/>
      <c r="S23" s="11"/>
      <c r="T23" s="11"/>
      <c r="U23" s="11"/>
      <c r="V23" s="11"/>
      <c r="W23" s="11"/>
      <c r="X23" s="11"/>
      <c r="Y23" s="11"/>
      <c r="Z23" s="11"/>
      <c r="AA23" s="11"/>
      <c r="AB23" s="11"/>
      <c r="AC23" s="384"/>
      <c r="AD23" s="11"/>
      <c r="AE23" s="11"/>
      <c r="AF23" s="11"/>
      <c r="AG23" s="11"/>
      <c r="AH23" s="11"/>
      <c r="AI23" s="11"/>
      <c r="AJ23" s="11"/>
      <c r="AK23" s="11"/>
      <c r="AL23" s="11"/>
      <c r="AM23" s="11"/>
      <c r="AN23" s="11"/>
      <c r="AO23" s="11"/>
      <c r="AP23" s="11"/>
    </row>
    <row r="24" spans="1:42"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row>
    <row r="25" spans="1:42"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row>
    <row r="26" spans="1:42" ht="23" x14ac:dyDescent="0.45">
      <c r="A26" s="62" t="s">
        <v>9</v>
      </c>
      <c r="B26" s="63" t="s">
        <v>10</v>
      </c>
      <c r="C26" s="63" t="s">
        <v>357</v>
      </c>
      <c r="D26" s="11"/>
      <c r="E26" s="11"/>
      <c r="F26" s="11"/>
      <c r="G26" s="11"/>
      <c r="H26" s="11"/>
      <c r="I26" s="59"/>
      <c r="J26" s="59"/>
      <c r="K26" s="11"/>
      <c r="L26" s="11"/>
      <c r="M26" s="70" t="str">
        <f>IF(_epmOfflineCondition_,"Anglers Boutique Resorts LLC",IF(_xll.EVDES(B3,$B$1)="#NODATA","",_xll.EVDES(B3,$B$1)))</f>
        <v>Anglers Boutique Resorts LLC</v>
      </c>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1:42" ht="17.5" x14ac:dyDescent="0.35">
      <c r="A27" s="65" t="s">
        <v>11</v>
      </c>
      <c r="B27" s="66" t="s">
        <v>21</v>
      </c>
      <c r="C27" s="66" t="s">
        <v>21</v>
      </c>
      <c r="D27" s="11"/>
      <c r="E27" s="11"/>
      <c r="F27" s="11"/>
      <c r="G27" s="11"/>
      <c r="H27" s="11"/>
      <c r="I27" s="59"/>
      <c r="J27" s="59"/>
      <c r="K27" s="11"/>
      <c r="L27" s="11"/>
      <c r="M27" s="71" t="str">
        <f>IF(_epmOfflineCondition_,"Other Operated Departments",IF(_xll.EVDES(B6,$B$1)="#NODATA","",_xll.EVDES(B6,$B$1)))</f>
        <v>Other Operated Departments</v>
      </c>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1:42" ht="15.5" x14ac:dyDescent="0.35">
      <c r="A28" s="65" t="s">
        <v>12</v>
      </c>
      <c r="B28" s="66" t="s">
        <v>52</v>
      </c>
      <c r="C28" s="66" t="s">
        <v>22</v>
      </c>
      <c r="D28" s="11"/>
      <c r="E28" s="11"/>
      <c r="F28" s="11"/>
      <c r="G28" s="11"/>
      <c r="H28" s="11"/>
      <c r="I28" s="59"/>
      <c r="J28" s="59"/>
      <c r="K28" s="11"/>
      <c r="L28" s="11"/>
      <c r="M28" s="72" t="str">
        <f>IF(_epmOfflineCondition_,"For the Period ended 2021 TOTAL","For the Period ended"&amp;" "&amp;IF(_xll.EVDES($B$10,$B$1)="#NODATA","",_xll.EVDES($B$10,$B$1)))</f>
        <v>For the Period ended 2021 TOTAL</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1:42" ht="15" customHeight="1" x14ac:dyDescent="0.35">
      <c r="A29" s="65" t="s">
        <v>13</v>
      </c>
      <c r="B29" s="66" t="s">
        <v>468</v>
      </c>
      <c r="C29" s="66" t="s">
        <v>467</v>
      </c>
      <c r="D29" s="11"/>
      <c r="E29" s="11"/>
      <c r="F29" s="11"/>
      <c r="G29" s="11"/>
      <c r="H29" s="11"/>
      <c r="I29" s="59"/>
      <c r="J29" s="59"/>
      <c r="K29" s="11"/>
      <c r="L29" s="11"/>
      <c r="M29" s="72" t="str">
        <f>IF(_epmOfflineCondition_,"Local Currency",_xll.EVDES(B9,B1))</f>
        <v>Local Currency</v>
      </c>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1:42" x14ac:dyDescent="0.35">
      <c r="A30" s="65" t="s">
        <v>14</v>
      </c>
      <c r="B30" s="66"/>
      <c r="C30" s="66"/>
      <c r="D30" s="11"/>
      <c r="E30" s="11"/>
      <c r="F30" s="11"/>
      <c r="G30" s="11"/>
      <c r="H30" s="11"/>
      <c r="I30" s="59"/>
      <c r="J30" s="59"/>
      <c r="K30" s="11"/>
      <c r="L30" s="11"/>
      <c r="M30" s="11"/>
      <c r="N30" s="73"/>
      <c r="O30" s="74"/>
      <c r="P30" s="74"/>
      <c r="Q30" s="74"/>
      <c r="R30" s="74"/>
      <c r="S30" s="74"/>
      <c r="T30" s="74"/>
      <c r="U30" s="74"/>
      <c r="V30" s="74"/>
      <c r="W30" s="74"/>
      <c r="X30" s="74"/>
      <c r="Y30" s="74"/>
      <c r="Z30" s="74"/>
      <c r="AA30" s="75"/>
      <c r="AB30" s="11"/>
      <c r="AC30" s="74"/>
      <c r="AD30" s="74"/>
      <c r="AE30" s="74"/>
      <c r="AF30" s="74"/>
      <c r="AG30" s="74"/>
      <c r="AH30" s="74"/>
      <c r="AI30" s="73" t="s">
        <v>748</v>
      </c>
      <c r="AJ30" s="74"/>
      <c r="AK30" s="75"/>
      <c r="AL30" s="74" t="s">
        <v>750</v>
      </c>
      <c r="AM30" s="74"/>
      <c r="AN30" s="11"/>
      <c r="AO30" s="11"/>
      <c r="AP30" s="11"/>
    </row>
    <row r="31" spans="1:42" x14ac:dyDescent="0.35">
      <c r="A31" s="65" t="s">
        <v>15</v>
      </c>
      <c r="B31" s="66"/>
      <c r="C31" s="66"/>
      <c r="D31" s="11"/>
      <c r="E31" s="11"/>
      <c r="F31" s="11"/>
      <c r="G31" s="76"/>
      <c r="H31" s="11"/>
      <c r="I31" s="59"/>
      <c r="J31" s="59"/>
      <c r="K31" s="11"/>
      <c r="L31" s="11"/>
      <c r="M31" s="11"/>
      <c r="N31" s="77" t="str">
        <f>IF(_epmOfflineCondition_,"JAN",IF($D$10="FY",_xll.EVPRO($B$1,N$16,"PERIOD")&amp;" "&amp;LEFT(N$13,4),_xll.EVPRO($B$1,N$16,"PERIOD")))</f>
        <v>JAN</v>
      </c>
      <c r="O31" s="77" t="str">
        <f>IF(_epmOfflineCondition_,"FEB",IF($D$10="FY",_xll.EVPRO($B$1,O$16,"PERIOD")&amp;" "&amp;LEFT(O$13,4),_xll.EVPRO($B$1,O$16,"PERIOD")))</f>
        <v>FEB</v>
      </c>
      <c r="P31" s="77" t="str">
        <f>IF(_epmOfflineCondition_,"MAR",IF($D$10="FY",_xll.EVPRO($B$1,P$16,"PERIOD")&amp;" "&amp;LEFT(P$13,4),_xll.EVPRO($B$1,P$16,"PERIOD")))</f>
        <v>MAR</v>
      </c>
      <c r="Q31" s="77" t="str">
        <f>IF(_epmOfflineCondition_,"APR",IF($D$10="FY",_xll.EVPRO($B$1,Q$16,"PERIOD")&amp;" "&amp;LEFT(Q$13,4),_xll.EVPRO($B$1,Q$16,"PERIOD")))</f>
        <v>APR</v>
      </c>
      <c r="R31" s="77" t="str">
        <f>IF(_epmOfflineCondition_,"MAY",IF($D$10="FY",_xll.EVPRO($B$1,R$16,"PERIOD")&amp;" "&amp;LEFT(R$13,4),_xll.EVPRO($B$1,R$16,"PERIOD")))</f>
        <v>MAY</v>
      </c>
      <c r="S31" s="77" t="str">
        <f>IF(_epmOfflineCondition_,"JUN",IF($D$10="FY",_xll.EVPRO($B$1,S$16,"PERIOD")&amp;" "&amp;LEFT(S$13,4),_xll.EVPRO($B$1,S$16,"PERIOD")))</f>
        <v>JUN</v>
      </c>
      <c r="T31" s="77" t="str">
        <f>IF(_epmOfflineCondition_,"JUL",IF($D$10="FY",_xll.EVPRO($B$1,T$16,"PERIOD")&amp;" "&amp;LEFT(T$13,4),_xll.EVPRO($B$1,T$16,"PERIOD")))</f>
        <v>JUL</v>
      </c>
      <c r="U31" s="77" t="str">
        <f>IF(_epmOfflineCondition_,"AUG",IF($D$10="FY",_xll.EVPRO($B$1,U$16,"PERIOD")&amp;" "&amp;LEFT(U$13,4),_xll.EVPRO($B$1,U$16,"PERIOD")))</f>
        <v>AUG</v>
      </c>
      <c r="V31" s="77" t="str">
        <f>IF(_epmOfflineCondition_,"SEP",IF($D$10="FY",_xll.EVPRO($B$1,V$16,"PERIOD")&amp;" "&amp;LEFT(V$13,4),_xll.EVPRO($B$1,V$16,"PERIOD")))</f>
        <v>SEP</v>
      </c>
      <c r="W31" s="77" t="str">
        <f>IF(_epmOfflineCondition_,"OCT",IF($D$10="FY",_xll.EVPRO($B$1,W$16,"PERIOD")&amp;" "&amp;LEFT(W$13,4),_xll.EVPRO($B$1,W$16,"PERIOD")))</f>
        <v>OCT</v>
      </c>
      <c r="X31" s="77" t="str">
        <f>IF(_epmOfflineCondition_,"NOV",IF($D$10="FY",_xll.EVPRO($B$1,X$16,"PERIOD")&amp;" "&amp;LEFT(X$13,4),_xll.EVPRO($B$1,X$16,"PERIOD")))</f>
        <v>NOV</v>
      </c>
      <c r="Y31" s="77" t="str">
        <f>IF(_epmOfflineCondition_,"DEC",IF($D$10="FY",_xll.EVPRO($B$1,Y$16,"PERIOD")&amp;" "&amp;LEFT(Y$13,4),_xll.EVPRO($B$1,Y$16,"PERIOD")))</f>
        <v>DEC</v>
      </c>
      <c r="Z31" s="77" t="str">
        <f>Z14</f>
        <v>TOTAL</v>
      </c>
      <c r="AA31" s="78"/>
      <c r="AB31" s="11"/>
      <c r="AC31" s="624" t="str">
        <f>IF(_epmOfflineCondition_,"2021 TOTAL",IF(_xll.EVDES(AC16,$B$1)="#NODATA","",_xll.EVDES(AC16,$B$1)))</f>
        <v>2021 TOTAL</v>
      </c>
      <c r="AD31" s="625"/>
      <c r="AE31" s="77" t="s">
        <v>631</v>
      </c>
      <c r="AF31" s="624" t="str">
        <f>IF(_epmOfflineCondition_,"2020 TOTAL",IF(_xll.EVDES(AF16,$B$1)="#NODATA","",_xll.EVDES(AF16,$B$1)))</f>
        <v>2020 TOTAL</v>
      </c>
      <c r="AG31" s="625"/>
      <c r="AH31" s="77" t="s">
        <v>631</v>
      </c>
      <c r="AI31" s="77" t="str">
        <f>IF(_epmOfflineCondition_,"2021",_xll.EVPRO($B$1,Z$16,"YEAR"))</f>
        <v>2021</v>
      </c>
      <c r="AJ31" s="80" t="str">
        <f>IF(_epmOfflineCondition_,"2021",_xll.EVPRO($B$1,AC$16,"YEAR"))</f>
        <v>2021</v>
      </c>
      <c r="AK31" s="80" t="str">
        <f>IF(_epmOfflineCondition_,"2020",_xll.EVPRO($B$1,AF$16,"YEAR"))</f>
        <v>2020</v>
      </c>
      <c r="AL31" s="77" t="str">
        <f>"vs "&amp;AJ31</f>
        <v>vs 2021</v>
      </c>
      <c r="AM31" s="77" t="str">
        <f>"vs "&amp;AK31</f>
        <v>vs 2020</v>
      </c>
      <c r="AN31" s="11"/>
      <c r="AO31" s="11"/>
      <c r="AP31" s="11"/>
    </row>
    <row r="32" spans="1:42" s="8" customFormat="1" ht="30" customHeight="1" x14ac:dyDescent="0.35">
      <c r="A32" s="81" t="s">
        <v>16</v>
      </c>
      <c r="B32" s="82"/>
      <c r="C32" s="82"/>
      <c r="D32" s="83"/>
      <c r="E32" s="83"/>
      <c r="F32" s="83"/>
      <c r="G32" s="363"/>
      <c r="H32" s="84"/>
      <c r="I32" s="85"/>
      <c r="J32" s="85"/>
      <c r="K32" s="83"/>
      <c r="L32" s="83"/>
      <c r="M32" s="83"/>
      <c r="N32" s="87" t="str">
        <f>IF(_epmOfflineCondition_,"Actual",IF(_xll.EVDES(N17,$B$1)="#NODATA","",_xll.EVDES(N17,$B$1)))</f>
        <v>Actual</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0"/>
      <c r="AA32" s="80" t="s">
        <v>58</v>
      </c>
      <c r="AB32" s="83"/>
      <c r="AC32" s="87" t="str">
        <f>IF(_epmOfflineCondition_,"Budget",IF(_xll.EVDES(AC17,$B$1)="#NODATA","",_xll.EVDES(AC17,$B$1)))</f>
        <v>Budget</v>
      </c>
      <c r="AD32" s="80" t="s">
        <v>58</v>
      </c>
      <c r="AE32" s="87" t="s">
        <v>57</v>
      </c>
      <c r="AF32" s="87" t="str">
        <f>IF(_epmOfflineCondition_,"Actual",IF(_xll.EVDES(AF17,$B$1)="#NODATA","",_xll.EVDES(AF17,$B$1)))</f>
        <v>Actual</v>
      </c>
      <c r="AG32" s="80" t="s">
        <v>58</v>
      </c>
      <c r="AH32" s="87" t="s">
        <v>57</v>
      </c>
      <c r="AI32" s="87" t="str">
        <f>Y32</f>
        <v>Actual</v>
      </c>
      <c r="AJ32" s="80" t="str">
        <f>AC32</f>
        <v>Budget</v>
      </c>
      <c r="AK32" s="87" t="str">
        <f>AF32</f>
        <v>Actual</v>
      </c>
      <c r="AL32" s="77" t="s">
        <v>747</v>
      </c>
      <c r="AM32" s="77" t="s">
        <v>747</v>
      </c>
      <c r="AN32" s="83"/>
      <c r="AO32" s="83"/>
      <c r="AP32" s="83"/>
    </row>
    <row r="33" spans="1:42" x14ac:dyDescent="0.35">
      <c r="A33" s="65" t="s">
        <v>17</v>
      </c>
      <c r="B33" s="66"/>
      <c r="C33" s="66"/>
      <c r="D33" s="11"/>
      <c r="E33" s="11"/>
      <c r="F33" s="11"/>
      <c r="G33" s="11"/>
      <c r="H33" s="11" t="s">
        <v>69</v>
      </c>
      <c r="I33" s="59" t="str">
        <f>IF(_epmOfflineCondition_,"B1",_xll.EVPRO($B$1,$H33,"STYLE"))</f>
        <v>B1</v>
      </c>
      <c r="J33" s="59" t="str">
        <f>IF(_epmOfflineCondition_,"Y",_xll.EVPRO($B$1,$H33,"CALC"))</f>
        <v>Y</v>
      </c>
      <c r="K33" s="11"/>
      <c r="L33" s="11"/>
      <c r="M33" s="105" t="str">
        <f>IF(_epmOfflineCondition_,"Revenues",IF(_xll.EVDES(H33,$B$1)="#NODATA","",_xll.EVDES(H33,$B$1)))</f>
        <v>Revenues</v>
      </c>
      <c r="N33" s="129"/>
      <c r="O33" s="130"/>
      <c r="P33" s="130"/>
      <c r="Q33" s="130"/>
      <c r="R33" s="130"/>
      <c r="S33" s="130"/>
      <c r="T33" s="130"/>
      <c r="U33" s="130"/>
      <c r="V33" s="130"/>
      <c r="W33" s="130"/>
      <c r="X33" s="130"/>
      <c r="Y33" s="130"/>
      <c r="Z33" s="130"/>
      <c r="AA33" s="131"/>
      <c r="AB33" s="11"/>
      <c r="AC33" s="129"/>
      <c r="AD33" s="130"/>
      <c r="AE33" s="131"/>
      <c r="AF33" s="129"/>
      <c r="AG33" s="130"/>
      <c r="AH33" s="131"/>
      <c r="AI33" s="11"/>
      <c r="AJ33" s="11"/>
      <c r="AK33" s="11"/>
      <c r="AL33" s="11"/>
      <c r="AM33" s="11"/>
      <c r="AN33" s="11"/>
      <c r="AO33" s="11"/>
      <c r="AP33" s="11"/>
    </row>
    <row r="34" spans="1:42" x14ac:dyDescent="0.35">
      <c r="A34" s="11"/>
      <c r="B34" s="11"/>
      <c r="C34" s="11"/>
      <c r="D34" s="11"/>
      <c r="E34" s="11"/>
      <c r="F34" s="11"/>
      <c r="G34" s="88" t="s">
        <v>365</v>
      </c>
      <c r="H34" s="88" t="s">
        <v>280</v>
      </c>
      <c r="I34" s="122" t="str">
        <f>IF(_epmOfflineCondition_,"7",_xll.EVPRO($B$1,$G34,"HLEVEL"))</f>
        <v>7</v>
      </c>
      <c r="J34" s="122" t="str">
        <f>IF(_epmOfflineCondition_,"Y",_xll.EVPRO($B$1,$H34,"CALC"))</f>
        <v>Y</v>
      </c>
      <c r="K34" s="179" t="str">
        <f t="shared" ref="K34:K39" si="0">IF(AND(I34&gt;="T5"),"&gt;","")</f>
        <v/>
      </c>
      <c r="L34" s="90"/>
      <c r="M34" s="90" t="str">
        <f>IF(_epmOfflineCondition_,"Guest Communications",IF(_xll.EVDES(G34,$B$1)="#NODATA","",_xll.EVDES(G34,$B$1)))</f>
        <v>Guest Communications</v>
      </c>
      <c r="N34" s="143"/>
      <c r="O34" s="143"/>
      <c r="P34" s="143"/>
      <c r="Q34" s="143"/>
      <c r="R34" s="143"/>
      <c r="S34" s="143"/>
      <c r="T34" s="143"/>
      <c r="U34" s="143"/>
      <c r="V34" s="143"/>
      <c r="W34" s="143"/>
      <c r="X34" s="143"/>
      <c r="Y34" s="143"/>
      <c r="Z34" s="250">
        <f t="shared" ref="Z34:Z40" si="1">IF($I34="B1","",SUM(N34:Y34))</f>
        <v>0</v>
      </c>
      <c r="AA34" s="144" t="str">
        <f t="shared" ref="AA34:AA40" si="2">IF(Z34=0,"",IFERROR(Z34/Z$19,""))</f>
        <v/>
      </c>
      <c r="AB34" s="140"/>
      <c r="AC34" s="143"/>
      <c r="AD34" s="144" t="str">
        <f t="shared" ref="AD34:AD40" si="3">IF(AC34=0,"",IFERROR(AC34/AC$19,""))</f>
        <v/>
      </c>
      <c r="AE34" s="145">
        <f t="shared" ref="AE34:AE40" si="4">IF(AND($Z34="",AC34=""),"",$Z34-AC34)</f>
        <v>0</v>
      </c>
      <c r="AF34" s="143"/>
      <c r="AG34" s="144" t="str">
        <f t="shared" ref="AG34:AG40" si="5">IF(AF34=0,"",IFERROR(AF34/AF$19,""))</f>
        <v/>
      </c>
      <c r="AH34" s="145">
        <f t="shared" ref="AH34:AH40" si="6">IF(AND($Z34="",AF34=""),"",$Z34-AF34)</f>
        <v>0</v>
      </c>
      <c r="AI34" s="440">
        <f t="shared" ref="AI34:AI40" si="7">IFERROR(Z34/Z$20,0)</f>
        <v>0</v>
      </c>
      <c r="AJ34" s="441">
        <f t="shared" ref="AJ34:AJ40" si="8">IFERROR(AC34/AC$20,0)</f>
        <v>0</v>
      </c>
      <c r="AK34" s="442">
        <f t="shared" ref="AK34:AK40" si="9">IFERROR(AF34/AF$20,0)</f>
        <v>0</v>
      </c>
      <c r="AL34" s="443">
        <f t="shared" ref="AL34:AL40" si="10">+IFERROR(ROUND(($AA34-AD34)*100,2)&amp;" pts.",0)</f>
        <v>0</v>
      </c>
      <c r="AM34" s="444">
        <f t="shared" ref="AM34:AM40" si="11">+IFERROR(ROUND(($AA34-AG34)*100,2)&amp;" pts.",0)</f>
        <v>0</v>
      </c>
      <c r="AN34" s="11"/>
      <c r="AO34" s="11"/>
      <c r="AP34" s="11"/>
    </row>
    <row r="35" spans="1:42" x14ac:dyDescent="0.35">
      <c r="A35" s="97" t="s">
        <v>92</v>
      </c>
      <c r="B35" s="98" t="s">
        <v>93</v>
      </c>
      <c r="C35" s="98" t="s">
        <v>94</v>
      </c>
      <c r="D35" s="98" t="s">
        <v>95</v>
      </c>
      <c r="E35" s="98" t="s">
        <v>96</v>
      </c>
      <c r="F35" s="99" t="s">
        <v>97</v>
      </c>
      <c r="G35" s="88" t="s">
        <v>366</v>
      </c>
      <c r="H35" s="88" t="s">
        <v>280</v>
      </c>
      <c r="I35" s="122" t="str">
        <f>IF(_epmOfflineCondition_,"7",_xll.EVPRO($B$1,$G35,"HLEVEL"))</f>
        <v>7</v>
      </c>
      <c r="J35" s="122" t="str">
        <f>IF(_epmOfflineCondition_,"Y",_xll.EVPRO($B$1,$H35,"CALC"))</f>
        <v>Y</v>
      </c>
      <c r="K35" s="179" t="str">
        <f t="shared" si="0"/>
        <v/>
      </c>
      <c r="L35" s="90"/>
      <c r="M35" s="90" t="str">
        <f>IF(_epmOfflineCondition_,"Health Club/Spa",IF(_xll.EVDES(G35,$B$1)="#NODATA","",_xll.EVDES(G35,$B$1)))</f>
        <v>Health Club/Spa</v>
      </c>
      <c r="N35" s="143"/>
      <c r="O35" s="143"/>
      <c r="P35" s="143"/>
      <c r="Q35" s="143"/>
      <c r="R35" s="143"/>
      <c r="S35" s="143"/>
      <c r="T35" s="143"/>
      <c r="U35" s="143"/>
      <c r="V35" s="143"/>
      <c r="W35" s="143"/>
      <c r="X35" s="143"/>
      <c r="Y35" s="143"/>
      <c r="Z35" s="250">
        <f t="shared" si="1"/>
        <v>0</v>
      </c>
      <c r="AA35" s="144" t="str">
        <f t="shared" si="2"/>
        <v/>
      </c>
      <c r="AB35" s="140"/>
      <c r="AC35" s="143"/>
      <c r="AD35" s="144" t="str">
        <f t="shared" si="3"/>
        <v/>
      </c>
      <c r="AE35" s="145">
        <f t="shared" si="4"/>
        <v>0</v>
      </c>
      <c r="AF35" s="143"/>
      <c r="AG35" s="144" t="str">
        <f t="shared" si="5"/>
        <v/>
      </c>
      <c r="AH35" s="145">
        <f t="shared" si="6"/>
        <v>0</v>
      </c>
      <c r="AI35" s="440">
        <f t="shared" si="7"/>
        <v>0</v>
      </c>
      <c r="AJ35" s="441">
        <f t="shared" si="8"/>
        <v>0</v>
      </c>
      <c r="AK35" s="442">
        <f t="shared" si="9"/>
        <v>0</v>
      </c>
      <c r="AL35" s="443">
        <f t="shared" si="10"/>
        <v>0</v>
      </c>
      <c r="AM35" s="444">
        <f t="shared" si="11"/>
        <v>0</v>
      </c>
      <c r="AN35" s="11"/>
      <c r="AO35" s="11"/>
      <c r="AP35" s="11"/>
    </row>
    <row r="36" spans="1:42" x14ac:dyDescent="0.35">
      <c r="A36" s="11"/>
      <c r="B36" s="11"/>
      <c r="C36" s="11"/>
      <c r="D36" s="11"/>
      <c r="E36" s="11"/>
      <c r="F36" s="11"/>
      <c r="G36" s="88" t="s">
        <v>380</v>
      </c>
      <c r="H36" s="88" t="s">
        <v>280</v>
      </c>
      <c r="I36" s="122" t="str">
        <f>IF(_epmOfflineCondition_,"7",_xll.EVPRO($B$1,$G36,"HLEVEL"))</f>
        <v>7</v>
      </c>
      <c r="J36" s="122" t="str">
        <f>IF(_epmOfflineCondition_,"Y",_xll.EVPRO($B$1,$H36,"CALC"))</f>
        <v>Y</v>
      </c>
      <c r="K36" s="179" t="str">
        <f t="shared" si="0"/>
        <v/>
      </c>
      <c r="L36" s="90"/>
      <c r="M36" s="90" t="str">
        <f>IF(_epmOfflineCondition_,"Parking",IF(_xll.EVDES(G36,$B$1)="#NODATA","",_xll.EVDES(G36,$B$1)))</f>
        <v>Parking</v>
      </c>
      <c r="N36" s="143"/>
      <c r="O36" s="143"/>
      <c r="P36" s="143"/>
      <c r="Q36" s="143"/>
      <c r="R36" s="143"/>
      <c r="S36" s="143"/>
      <c r="T36" s="143"/>
      <c r="U36" s="143"/>
      <c r="V36" s="143"/>
      <c r="W36" s="143"/>
      <c r="X36" s="143"/>
      <c r="Y36" s="143"/>
      <c r="Z36" s="250">
        <f t="shared" si="1"/>
        <v>0</v>
      </c>
      <c r="AA36" s="144" t="str">
        <f t="shared" si="2"/>
        <v/>
      </c>
      <c r="AB36" s="140"/>
      <c r="AC36" s="143"/>
      <c r="AD36" s="144" t="str">
        <f t="shared" si="3"/>
        <v/>
      </c>
      <c r="AE36" s="145">
        <f t="shared" si="4"/>
        <v>0</v>
      </c>
      <c r="AF36" s="143">
        <v>61112.56</v>
      </c>
      <c r="AG36" s="144">
        <f t="shared" si="5"/>
        <v>0.89328387126668374</v>
      </c>
      <c r="AH36" s="145">
        <f t="shared" si="6"/>
        <v>-61112.56</v>
      </c>
      <c r="AI36" s="440">
        <f t="shared" si="7"/>
        <v>0</v>
      </c>
      <c r="AJ36" s="441">
        <f t="shared" si="8"/>
        <v>0</v>
      </c>
      <c r="AK36" s="442">
        <f t="shared" si="9"/>
        <v>3.0480079800498752</v>
      </c>
      <c r="AL36" s="443">
        <f t="shared" si="10"/>
        <v>0</v>
      </c>
      <c r="AM36" s="444">
        <f t="shared" si="11"/>
        <v>0</v>
      </c>
      <c r="AN36" s="11"/>
      <c r="AO36" s="11"/>
      <c r="AP36" s="11"/>
    </row>
    <row r="37" spans="1:42" x14ac:dyDescent="0.35">
      <c r="A37" s="11" t="s">
        <v>105</v>
      </c>
      <c r="B37" s="11"/>
      <c r="C37" s="104" t="s">
        <v>101</v>
      </c>
      <c r="D37" s="11" t="s">
        <v>106</v>
      </c>
      <c r="E37" s="11"/>
      <c r="F37" s="11" t="s">
        <v>98</v>
      </c>
      <c r="G37" s="88" t="s">
        <v>386</v>
      </c>
      <c r="H37" s="88" t="s">
        <v>280</v>
      </c>
      <c r="I37" s="122" t="str">
        <f>IF(_epmOfflineCondition_,"7",_xll.EVPRO($B$1,$G37,"HLEVEL"))</f>
        <v>7</v>
      </c>
      <c r="J37" s="122" t="str">
        <f>IF(_epmOfflineCondition_,"Y",_xll.EVPRO($B$1,$H37,"CALC"))</f>
        <v>Y</v>
      </c>
      <c r="K37" s="179" t="str">
        <f t="shared" si="0"/>
        <v/>
      </c>
      <c r="L37" s="90"/>
      <c r="M37" s="90" t="str">
        <f>IF(_epmOfflineCondition_,"Retail Shop",IF(_xll.EVDES(G37,$B$1)="#NODATA","",_xll.EVDES(G37,$B$1)))</f>
        <v>Retail Shop</v>
      </c>
      <c r="N37" s="143"/>
      <c r="O37" s="143"/>
      <c r="P37" s="143"/>
      <c r="Q37" s="143"/>
      <c r="R37" s="143"/>
      <c r="S37" s="143"/>
      <c r="T37" s="143"/>
      <c r="U37" s="143"/>
      <c r="V37" s="143"/>
      <c r="W37" s="143"/>
      <c r="X37" s="143"/>
      <c r="Y37" s="143"/>
      <c r="Z37" s="250">
        <f t="shared" si="1"/>
        <v>0</v>
      </c>
      <c r="AA37" s="144" t="str">
        <f t="shared" si="2"/>
        <v/>
      </c>
      <c r="AB37" s="140"/>
      <c r="AC37" s="143"/>
      <c r="AD37" s="144" t="str">
        <f t="shared" si="3"/>
        <v/>
      </c>
      <c r="AE37" s="145">
        <f t="shared" si="4"/>
        <v>0</v>
      </c>
      <c r="AF37" s="143"/>
      <c r="AG37" s="144" t="str">
        <f t="shared" si="5"/>
        <v/>
      </c>
      <c r="AH37" s="145">
        <f t="shared" si="6"/>
        <v>0</v>
      </c>
      <c r="AI37" s="440">
        <f t="shared" si="7"/>
        <v>0</v>
      </c>
      <c r="AJ37" s="441">
        <f t="shared" si="8"/>
        <v>0</v>
      </c>
      <c r="AK37" s="442">
        <f t="shared" si="9"/>
        <v>0</v>
      </c>
      <c r="AL37" s="443">
        <f t="shared" si="10"/>
        <v>0</v>
      </c>
      <c r="AM37" s="444">
        <f t="shared" si="11"/>
        <v>0</v>
      </c>
      <c r="AN37" s="11"/>
      <c r="AO37" s="11"/>
      <c r="AP37" s="11"/>
    </row>
    <row r="38" spans="1:42" x14ac:dyDescent="0.35">
      <c r="A38" s="11" t="s">
        <v>465</v>
      </c>
      <c r="B38" s="11"/>
      <c r="C38" s="104" t="s">
        <v>101</v>
      </c>
      <c r="D38" s="11" t="s">
        <v>106</v>
      </c>
      <c r="E38" s="11"/>
      <c r="F38" s="11" t="s">
        <v>98</v>
      </c>
      <c r="G38" s="88" t="s">
        <v>406</v>
      </c>
      <c r="H38" s="88" t="s">
        <v>280</v>
      </c>
      <c r="I38" s="122" t="str">
        <f>IF(_epmOfflineCondition_,"6",_xll.EVPRO($B$1,$G38,"HLEVEL"))</f>
        <v>6</v>
      </c>
      <c r="J38" s="122" t="str">
        <f>IF(_epmOfflineCondition_,"Y",_xll.EVPRO($B$1,$H38,"CALC"))</f>
        <v>Y</v>
      </c>
      <c r="K38" s="179" t="str">
        <f t="shared" si="0"/>
        <v/>
      </c>
      <c r="L38" s="90"/>
      <c r="M38" s="90" t="str">
        <f>IF(_epmOfflineCondition_,"Food &amp; Beverage Retail Shop",IF(_xll.EVDES(G38,$B$1)="#NODATA","",_xll.EVDES(G38,$B$1)))</f>
        <v>Food &amp; Beverage Retail Shop</v>
      </c>
      <c r="N38" s="143"/>
      <c r="O38" s="143"/>
      <c r="P38" s="143"/>
      <c r="Q38" s="143"/>
      <c r="R38" s="143"/>
      <c r="S38" s="143"/>
      <c r="T38" s="143"/>
      <c r="U38" s="143"/>
      <c r="V38" s="143"/>
      <c r="W38" s="143"/>
      <c r="X38" s="143"/>
      <c r="Y38" s="143"/>
      <c r="Z38" s="250">
        <f t="shared" si="1"/>
        <v>0</v>
      </c>
      <c r="AA38" s="144" t="str">
        <f t="shared" si="2"/>
        <v/>
      </c>
      <c r="AB38" s="140"/>
      <c r="AC38" s="143"/>
      <c r="AD38" s="144" t="str">
        <f t="shared" si="3"/>
        <v/>
      </c>
      <c r="AE38" s="145">
        <f t="shared" si="4"/>
        <v>0</v>
      </c>
      <c r="AF38" s="143"/>
      <c r="AG38" s="144" t="str">
        <f t="shared" si="5"/>
        <v/>
      </c>
      <c r="AH38" s="145">
        <f t="shared" si="6"/>
        <v>0</v>
      </c>
      <c r="AI38" s="440">
        <f t="shared" si="7"/>
        <v>0</v>
      </c>
      <c r="AJ38" s="441">
        <f t="shared" si="8"/>
        <v>0</v>
      </c>
      <c r="AK38" s="442">
        <f t="shared" si="9"/>
        <v>0</v>
      </c>
      <c r="AL38" s="443">
        <f t="shared" si="10"/>
        <v>0</v>
      </c>
      <c r="AM38" s="444">
        <f t="shared" si="11"/>
        <v>0</v>
      </c>
      <c r="AN38" s="11"/>
      <c r="AO38" s="11"/>
      <c r="AP38" s="11"/>
    </row>
    <row r="39" spans="1:42" x14ac:dyDescent="0.35">
      <c r="A39" s="11" t="s">
        <v>466</v>
      </c>
      <c r="B39" s="11"/>
      <c r="C39" s="53" t="s">
        <v>101</v>
      </c>
      <c r="D39" s="11" t="s">
        <v>106</v>
      </c>
      <c r="E39" s="11"/>
      <c r="F39" s="11" t="s">
        <v>98</v>
      </c>
      <c r="G39" s="88" t="s">
        <v>423</v>
      </c>
      <c r="H39" s="88" t="s">
        <v>280</v>
      </c>
      <c r="I39" s="122" t="str">
        <f>IF(_epmOfflineCondition_,"7",_xll.EVPRO($B$1,$G39,"HLEVEL"))</f>
        <v>7</v>
      </c>
      <c r="J39" s="122" t="str">
        <f>IF(_epmOfflineCondition_,"Y",_xll.EVPRO($B$1,$H39,"CALC"))</f>
        <v>Y</v>
      </c>
      <c r="K39" s="179" t="str">
        <f t="shared" si="0"/>
        <v/>
      </c>
      <c r="L39" s="90"/>
      <c r="M39" s="90" t="str">
        <f>IF(_epmOfflineCondition_,"Minor Operated Departments",IF(_xll.EVDES(G39,$B$1)="#NODATA","",_xll.EVDES(G39,$B$1)))</f>
        <v>Minor Operated Departments</v>
      </c>
      <c r="N39" s="143">
        <v>824.59</v>
      </c>
      <c r="O39" s="143">
        <v>828.99</v>
      </c>
      <c r="P39" s="143">
        <v>672.8</v>
      </c>
      <c r="Q39" s="143">
        <v>2811.43</v>
      </c>
      <c r="R39" s="143">
        <v>3214.58</v>
      </c>
      <c r="S39" s="143">
        <v>1023.07</v>
      </c>
      <c r="T39" s="143">
        <v>1081.2</v>
      </c>
      <c r="U39" s="143">
        <v>62.99</v>
      </c>
      <c r="V39" s="143">
        <v>2723.58</v>
      </c>
      <c r="W39" s="143">
        <v>1445.04</v>
      </c>
      <c r="X39" s="143">
        <v>1543.33</v>
      </c>
      <c r="Y39" s="143">
        <v>3350.25</v>
      </c>
      <c r="Z39" s="250">
        <f t="shared" si="1"/>
        <v>19581.849999999999</v>
      </c>
      <c r="AA39" s="144">
        <f t="shared" si="2"/>
        <v>1</v>
      </c>
      <c r="AB39" s="140"/>
      <c r="AC39" s="143">
        <v>15760.5</v>
      </c>
      <c r="AD39" s="144">
        <f t="shared" si="3"/>
        <v>1</v>
      </c>
      <c r="AE39" s="145">
        <f t="shared" si="4"/>
        <v>3821.3499999999985</v>
      </c>
      <c r="AF39" s="143">
        <v>7300.81</v>
      </c>
      <c r="AG39" s="144">
        <f t="shared" si="5"/>
        <v>0.10671612873331632</v>
      </c>
      <c r="AH39" s="145">
        <f t="shared" si="6"/>
        <v>12281.039999999997</v>
      </c>
      <c r="AI39" s="440">
        <f t="shared" si="7"/>
        <v>0.4868805788309008</v>
      </c>
      <c r="AJ39" s="441">
        <f t="shared" si="8"/>
        <v>0.42</v>
      </c>
      <c r="AK39" s="442">
        <f t="shared" si="9"/>
        <v>0.36413017456359104</v>
      </c>
      <c r="AL39" s="443" t="str">
        <f t="shared" si="10"/>
        <v>0 pts.</v>
      </c>
      <c r="AM39" s="444" t="str">
        <f t="shared" si="11"/>
        <v>89.33 pts.</v>
      </c>
      <c r="AN39" s="11"/>
      <c r="AO39" s="11"/>
      <c r="AP39" s="11"/>
    </row>
    <row r="40" spans="1:42" x14ac:dyDescent="0.35">
      <c r="A40" s="11" t="s">
        <v>466</v>
      </c>
      <c r="B40" s="11"/>
      <c r="C40" s="196" t="s">
        <v>101</v>
      </c>
      <c r="D40" s="11" t="s">
        <v>107</v>
      </c>
      <c r="E40" s="11"/>
      <c r="F40" s="11" t="s">
        <v>99</v>
      </c>
      <c r="G40" s="11"/>
      <c r="H40" s="604" t="s">
        <v>69</v>
      </c>
      <c r="I40" s="179"/>
      <c r="J40" s="179"/>
      <c r="K40" s="179"/>
      <c r="L40" s="90"/>
      <c r="M40" s="106" t="s">
        <v>470</v>
      </c>
      <c r="N40" s="123">
        <f t="shared" ref="N40:Y40" si="12">SUM(N34:N39)</f>
        <v>824.59</v>
      </c>
      <c r="O40" s="123">
        <f t="shared" si="12"/>
        <v>828.99</v>
      </c>
      <c r="P40" s="123">
        <f t="shared" si="12"/>
        <v>672.8</v>
      </c>
      <c r="Q40" s="123">
        <f t="shared" si="12"/>
        <v>2811.43</v>
      </c>
      <c r="R40" s="123">
        <f t="shared" si="12"/>
        <v>3214.58</v>
      </c>
      <c r="S40" s="123">
        <f t="shared" si="12"/>
        <v>1023.07</v>
      </c>
      <c r="T40" s="123">
        <f t="shared" si="12"/>
        <v>1081.2</v>
      </c>
      <c r="U40" s="123">
        <f t="shared" si="12"/>
        <v>62.99</v>
      </c>
      <c r="V40" s="123">
        <f t="shared" si="12"/>
        <v>2723.58</v>
      </c>
      <c r="W40" s="123">
        <f t="shared" si="12"/>
        <v>1445.04</v>
      </c>
      <c r="X40" s="123">
        <f t="shared" si="12"/>
        <v>1543.33</v>
      </c>
      <c r="Y40" s="123">
        <f t="shared" si="12"/>
        <v>3350.25</v>
      </c>
      <c r="Z40" s="123">
        <f t="shared" si="1"/>
        <v>19581.849999999999</v>
      </c>
      <c r="AA40" s="124">
        <f t="shared" si="2"/>
        <v>1</v>
      </c>
      <c r="AB40" s="11"/>
      <c r="AC40" s="123">
        <f>SUM(AC34:AC39)</f>
        <v>15760.5</v>
      </c>
      <c r="AD40" s="124">
        <f t="shared" si="3"/>
        <v>1</v>
      </c>
      <c r="AE40" s="125">
        <f t="shared" si="4"/>
        <v>3821.3499999999985</v>
      </c>
      <c r="AF40" s="123">
        <f>SUM(AF34:AF39)</f>
        <v>68413.37</v>
      </c>
      <c r="AG40" s="124">
        <f t="shared" si="5"/>
        <v>1</v>
      </c>
      <c r="AH40" s="125">
        <f t="shared" si="6"/>
        <v>-48831.519999999997</v>
      </c>
      <c r="AI40" s="388">
        <f t="shared" si="7"/>
        <v>0.4868805788309008</v>
      </c>
      <c r="AJ40" s="389">
        <f t="shared" si="8"/>
        <v>0.42</v>
      </c>
      <c r="AK40" s="390">
        <f t="shared" si="9"/>
        <v>3.4121381546134661</v>
      </c>
      <c r="AL40" s="391" t="str">
        <f t="shared" si="10"/>
        <v>0 pts.</v>
      </c>
      <c r="AM40" s="544" t="str">
        <f t="shared" si="11"/>
        <v>0 pts.</v>
      </c>
      <c r="AN40" s="11"/>
      <c r="AO40" s="11"/>
      <c r="AP40" s="11"/>
    </row>
    <row r="41" spans="1:42" x14ac:dyDescent="0.35">
      <c r="A41" s="11"/>
      <c r="B41" s="11"/>
      <c r="C41" s="11"/>
      <c r="D41" s="11"/>
      <c r="E41" s="11"/>
      <c r="F41" s="11"/>
      <c r="G41" s="106"/>
      <c r="H41" s="106"/>
      <c r="I41" s="106"/>
      <c r="J41" s="106"/>
      <c r="K41" s="106"/>
      <c r="L41" s="106"/>
      <c r="M41" s="106"/>
      <c r="N41" s="203"/>
      <c r="O41" s="204"/>
      <c r="P41" s="204"/>
      <c r="Q41" s="204"/>
      <c r="R41" s="204"/>
      <c r="S41" s="204"/>
      <c r="T41" s="204"/>
      <c r="U41" s="204"/>
      <c r="V41" s="204"/>
      <c r="W41" s="204"/>
      <c r="X41" s="204"/>
      <c r="Y41" s="204"/>
      <c r="Z41" s="204"/>
      <c r="AA41" s="118"/>
      <c r="AB41" s="11"/>
      <c r="AC41" s="203"/>
      <c r="AD41" s="204"/>
      <c r="AE41" s="118"/>
      <c r="AF41" s="203"/>
      <c r="AG41" s="204"/>
      <c r="AH41" s="118"/>
      <c r="AI41" s="11"/>
      <c r="AJ41" s="11"/>
      <c r="AK41" s="11"/>
      <c r="AL41" s="11"/>
      <c r="AM41" s="11"/>
      <c r="AN41" s="11"/>
      <c r="AO41" s="11"/>
      <c r="AP41" s="11"/>
    </row>
    <row r="42" spans="1:42" x14ac:dyDescent="0.35">
      <c r="A42" s="11"/>
      <c r="B42" s="11"/>
      <c r="C42" s="11"/>
      <c r="D42" s="11"/>
      <c r="E42" s="11"/>
      <c r="F42" s="11"/>
      <c r="G42" s="11"/>
      <c r="H42" s="11" t="s">
        <v>464</v>
      </c>
      <c r="I42" s="59" t="str">
        <f>IF(_epmOfflineCondition_,"T3",_xll.EVPRO($B$1,$H42,"STYLE"))</f>
        <v>T3</v>
      </c>
      <c r="J42" s="59" t="str">
        <f>IF(_epmOfflineCondition_,"Y",_xll.EVPRO($B$1,$H42,"CALC"))</f>
        <v>Y</v>
      </c>
      <c r="K42" s="11"/>
      <c r="L42" s="11"/>
      <c r="M42" s="105" t="str">
        <f>IF(_epmOfflineCondition_,"Departmental Expenses (Incl COS)",IF(_xll.EVDES(H42,$B$1)="#NODATA","",_xll.EVDES(H42,$B$1)))</f>
        <v>Departmental Expenses (Incl COS)</v>
      </c>
      <c r="N42" s="203"/>
      <c r="O42" s="204"/>
      <c r="P42" s="204"/>
      <c r="Q42" s="204"/>
      <c r="R42" s="204"/>
      <c r="S42" s="204"/>
      <c r="T42" s="204"/>
      <c r="U42" s="204"/>
      <c r="V42" s="204"/>
      <c r="W42" s="204"/>
      <c r="X42" s="204"/>
      <c r="Y42" s="204"/>
      <c r="Z42" s="204"/>
      <c r="AA42" s="118"/>
      <c r="AB42" s="11"/>
      <c r="AC42" s="203"/>
      <c r="AD42" s="204"/>
      <c r="AE42" s="118"/>
      <c r="AF42" s="203"/>
      <c r="AG42" s="204"/>
      <c r="AH42" s="118"/>
      <c r="AI42" s="11"/>
      <c r="AJ42" s="11"/>
      <c r="AK42" s="11"/>
      <c r="AL42" s="11"/>
      <c r="AM42" s="11"/>
      <c r="AN42" s="11"/>
      <c r="AO42" s="11"/>
      <c r="AP42" s="11"/>
    </row>
    <row r="43" spans="1:42" x14ac:dyDescent="0.35">
      <c r="A43" s="62" t="s">
        <v>23</v>
      </c>
      <c r="B43" s="63" t="s">
        <v>24</v>
      </c>
      <c r="C43" s="11"/>
      <c r="D43" s="11"/>
      <c r="E43" s="11"/>
      <c r="F43" s="11"/>
      <c r="G43" s="88" t="s">
        <v>365</v>
      </c>
      <c r="H43" s="88" t="s">
        <v>464</v>
      </c>
      <c r="I43" s="122" t="str">
        <f>IF(_epmOfflineCondition_,"7",_xll.EVPRO($B$1,$G43,"HLEVEL"))</f>
        <v>7</v>
      </c>
      <c r="J43" s="122" t="str">
        <f>IF(_epmOfflineCondition_,"Y",_xll.EVPRO($B$1,$H43,"CALC"))</f>
        <v>Y</v>
      </c>
      <c r="K43" s="90"/>
      <c r="L43" s="90"/>
      <c r="M43" s="90" t="str">
        <f>IF(_epmOfflineCondition_,"Guest Communications",IF(_xll.EVDES(G43,$B$1)="#NODATA","",_xll.EVDES(G43,$B$1)))</f>
        <v>Guest Communications</v>
      </c>
      <c r="N43" s="143"/>
      <c r="O43" s="143"/>
      <c r="P43" s="143"/>
      <c r="Q43" s="143"/>
      <c r="R43" s="143"/>
      <c r="S43" s="143"/>
      <c r="T43" s="143"/>
      <c r="U43" s="143"/>
      <c r="V43" s="143"/>
      <c r="W43" s="143"/>
      <c r="X43" s="143"/>
      <c r="Y43" s="143"/>
      <c r="Z43" s="250">
        <f t="shared" ref="Z43:Z49" si="13">IF($I43="B1","",SUM(N43:Y43))</f>
        <v>0</v>
      </c>
      <c r="AA43" s="144" t="str">
        <f t="shared" ref="AA43:AA49" si="14">IF(Z43=0,"",IFERROR(Z43/Z34,""))</f>
        <v/>
      </c>
      <c r="AB43" s="140"/>
      <c r="AC43" s="143"/>
      <c r="AD43" s="144" t="str">
        <f t="shared" ref="AD43:AD49" si="15">IF(AC43=0,"",IFERROR(AC43/AC34,""))</f>
        <v/>
      </c>
      <c r="AE43" s="145">
        <f t="shared" ref="AE43:AE49" si="16">IF(AND($Z43="",AC43=""),"",$Z43-AC43)</f>
        <v>0</v>
      </c>
      <c r="AF43" s="143"/>
      <c r="AG43" s="144" t="str">
        <f t="shared" ref="AG43:AG49" si="17">IF(AF43=0,"",IFERROR(AF43/AF34,""))</f>
        <v/>
      </c>
      <c r="AH43" s="145">
        <f t="shared" ref="AH43:AH49" si="18">IF(AND($Z43="",AF43=""),"",$Z43-AF43)</f>
        <v>0</v>
      </c>
      <c r="AI43" s="440">
        <f t="shared" ref="AI43:AI49" si="19">IFERROR(Z43/Z$20,0)</f>
        <v>0</v>
      </c>
      <c r="AJ43" s="441">
        <f t="shared" ref="AJ43:AJ49" si="20">IFERROR(AC43/AC$20,0)</f>
        <v>0</v>
      </c>
      <c r="AK43" s="442">
        <f t="shared" ref="AK43:AK49" si="21">IFERROR(AF43/AF$20,0)</f>
        <v>0</v>
      </c>
      <c r="AL43" s="443">
        <f t="shared" ref="AL43:AL49" si="22">+IFERROR(ROUND(($AA43-AD43)*100,2)&amp;" pts.",0)</f>
        <v>0</v>
      </c>
      <c r="AM43" s="444">
        <f t="shared" ref="AM43:AM49" si="23">+IFERROR(ROUND(($AA43-AG43)*100,2)&amp;" pts.",0)</f>
        <v>0</v>
      </c>
      <c r="AN43" s="11"/>
      <c r="AO43" s="11"/>
      <c r="AP43" s="11"/>
    </row>
    <row r="44" spans="1:42" x14ac:dyDescent="0.35">
      <c r="A44" s="65" t="s">
        <v>25</v>
      </c>
      <c r="B44" s="66"/>
      <c r="C44" s="11"/>
      <c r="D44" s="11"/>
      <c r="E44" s="11"/>
      <c r="F44" s="11"/>
      <c r="G44" s="88" t="s">
        <v>366</v>
      </c>
      <c r="H44" s="88" t="s">
        <v>464</v>
      </c>
      <c r="I44" s="122" t="str">
        <f>IF(_epmOfflineCondition_,"7",_xll.EVPRO($B$1,$G44,"HLEVEL"))</f>
        <v>7</v>
      </c>
      <c r="J44" s="122" t="str">
        <f>IF(_epmOfflineCondition_,"Y",_xll.EVPRO($B$1,$H44,"CALC"))</f>
        <v>Y</v>
      </c>
      <c r="K44" s="90"/>
      <c r="L44" s="90"/>
      <c r="M44" s="90" t="str">
        <f>IF(_epmOfflineCondition_,"Health Club/Spa",IF(_xll.EVDES(G44,$B$1)="#NODATA","",_xll.EVDES(G44,$B$1)))</f>
        <v>Health Club/Spa</v>
      </c>
      <c r="N44" s="143"/>
      <c r="O44" s="143"/>
      <c r="P44" s="143"/>
      <c r="Q44" s="143"/>
      <c r="R44" s="143"/>
      <c r="S44" s="143"/>
      <c r="T44" s="143"/>
      <c r="U44" s="143"/>
      <c r="V44" s="143"/>
      <c r="W44" s="143"/>
      <c r="X44" s="143"/>
      <c r="Y44" s="143"/>
      <c r="Z44" s="250">
        <f t="shared" si="13"/>
        <v>0</v>
      </c>
      <c r="AA44" s="144" t="str">
        <f t="shared" si="14"/>
        <v/>
      </c>
      <c r="AB44" s="140"/>
      <c r="AC44" s="143"/>
      <c r="AD44" s="144" t="str">
        <f t="shared" si="15"/>
        <v/>
      </c>
      <c r="AE44" s="145">
        <f t="shared" si="16"/>
        <v>0</v>
      </c>
      <c r="AF44" s="143"/>
      <c r="AG44" s="144" t="str">
        <f t="shared" si="17"/>
        <v/>
      </c>
      <c r="AH44" s="145">
        <f t="shared" si="18"/>
        <v>0</v>
      </c>
      <c r="AI44" s="440">
        <f t="shared" si="19"/>
        <v>0</v>
      </c>
      <c r="AJ44" s="441">
        <f t="shared" si="20"/>
        <v>0</v>
      </c>
      <c r="AK44" s="442">
        <f t="shared" si="21"/>
        <v>0</v>
      </c>
      <c r="AL44" s="443">
        <f t="shared" si="22"/>
        <v>0</v>
      </c>
      <c r="AM44" s="444">
        <f t="shared" si="23"/>
        <v>0</v>
      </c>
      <c r="AN44" s="11"/>
      <c r="AO44" s="11"/>
      <c r="AP44" s="11"/>
    </row>
    <row r="45" spans="1:42" x14ac:dyDescent="0.35">
      <c r="A45" s="65" t="s">
        <v>26</v>
      </c>
      <c r="B45" s="66"/>
      <c r="C45" s="11"/>
      <c r="D45" s="11"/>
      <c r="E45" s="11"/>
      <c r="F45" s="11"/>
      <c r="G45" s="88" t="s">
        <v>380</v>
      </c>
      <c r="H45" s="88" t="s">
        <v>464</v>
      </c>
      <c r="I45" s="122" t="str">
        <f>IF(_epmOfflineCondition_,"7",_xll.EVPRO($B$1,$G45,"HLEVEL"))</f>
        <v>7</v>
      </c>
      <c r="J45" s="122" t="str">
        <f>IF(_epmOfflineCondition_,"Y",_xll.EVPRO($B$1,$H45,"CALC"))</f>
        <v>Y</v>
      </c>
      <c r="K45" s="90"/>
      <c r="L45" s="90"/>
      <c r="M45" s="90" t="str">
        <f>IF(_epmOfflineCondition_,"Parking",IF(_xll.EVDES(G45,$B$1)="#NODATA","",_xll.EVDES(G45,$B$1)))</f>
        <v>Parking</v>
      </c>
      <c r="N45" s="143"/>
      <c r="O45" s="143"/>
      <c r="P45" s="143"/>
      <c r="Q45" s="143"/>
      <c r="R45" s="143"/>
      <c r="S45" s="143"/>
      <c r="T45" s="143"/>
      <c r="U45" s="143"/>
      <c r="V45" s="143"/>
      <c r="W45" s="143"/>
      <c r="X45" s="143"/>
      <c r="Y45" s="143"/>
      <c r="Z45" s="250">
        <f t="shared" si="13"/>
        <v>0</v>
      </c>
      <c r="AA45" s="144" t="str">
        <f t="shared" si="14"/>
        <v/>
      </c>
      <c r="AB45" s="140"/>
      <c r="AC45" s="143"/>
      <c r="AD45" s="144" t="str">
        <f t="shared" si="15"/>
        <v/>
      </c>
      <c r="AE45" s="145">
        <f t="shared" si="16"/>
        <v>0</v>
      </c>
      <c r="AF45" s="143">
        <v>59243.88</v>
      </c>
      <c r="AG45" s="144">
        <f t="shared" si="17"/>
        <v>0.96942232496887715</v>
      </c>
      <c r="AH45" s="145">
        <f t="shared" si="18"/>
        <v>-59243.88</v>
      </c>
      <c r="AI45" s="440">
        <f t="shared" si="19"/>
        <v>0</v>
      </c>
      <c r="AJ45" s="441">
        <f t="shared" si="20"/>
        <v>0</v>
      </c>
      <c r="AK45" s="442">
        <f t="shared" si="21"/>
        <v>2.9548069825436407</v>
      </c>
      <c r="AL45" s="443">
        <f t="shared" si="22"/>
        <v>0</v>
      </c>
      <c r="AM45" s="444">
        <f t="shared" si="23"/>
        <v>0</v>
      </c>
      <c r="AN45" s="11"/>
      <c r="AO45" s="11"/>
      <c r="AP45" s="11"/>
    </row>
    <row r="46" spans="1:42" x14ac:dyDescent="0.35">
      <c r="A46" s="65" t="s">
        <v>27</v>
      </c>
      <c r="B46" s="66"/>
      <c r="C46" s="11"/>
      <c r="D46" s="11"/>
      <c r="E46" s="11"/>
      <c r="F46" s="11"/>
      <c r="G46" s="88" t="s">
        <v>386</v>
      </c>
      <c r="H46" s="88" t="s">
        <v>464</v>
      </c>
      <c r="I46" s="122" t="str">
        <f>IF(_epmOfflineCondition_,"7",_xll.EVPRO($B$1,$G46,"HLEVEL"))</f>
        <v>7</v>
      </c>
      <c r="J46" s="122" t="str">
        <f>IF(_epmOfflineCondition_,"Y",_xll.EVPRO($B$1,$H46,"CALC"))</f>
        <v>Y</v>
      </c>
      <c r="K46" s="90"/>
      <c r="L46" s="90"/>
      <c r="M46" s="90" t="str">
        <f>IF(_epmOfflineCondition_,"Retail Shop",IF(_xll.EVDES(G46,$B$1)="#NODATA","",_xll.EVDES(G46,$B$1)))</f>
        <v>Retail Shop</v>
      </c>
      <c r="N46" s="143"/>
      <c r="O46" s="143"/>
      <c r="P46" s="143"/>
      <c r="Q46" s="143"/>
      <c r="R46" s="143"/>
      <c r="S46" s="143"/>
      <c r="T46" s="143"/>
      <c r="U46" s="143"/>
      <c r="V46" s="143"/>
      <c r="W46" s="143"/>
      <c r="X46" s="143"/>
      <c r="Y46" s="143"/>
      <c r="Z46" s="250">
        <f t="shared" si="13"/>
        <v>0</v>
      </c>
      <c r="AA46" s="144" t="str">
        <f t="shared" si="14"/>
        <v/>
      </c>
      <c r="AB46" s="140"/>
      <c r="AC46" s="143"/>
      <c r="AD46" s="144" t="str">
        <f t="shared" si="15"/>
        <v/>
      </c>
      <c r="AE46" s="145">
        <f t="shared" si="16"/>
        <v>0</v>
      </c>
      <c r="AF46" s="143"/>
      <c r="AG46" s="144" t="str">
        <f t="shared" si="17"/>
        <v/>
      </c>
      <c r="AH46" s="145">
        <f t="shared" si="18"/>
        <v>0</v>
      </c>
      <c r="AI46" s="440">
        <f t="shared" si="19"/>
        <v>0</v>
      </c>
      <c r="AJ46" s="441">
        <f t="shared" si="20"/>
        <v>0</v>
      </c>
      <c r="AK46" s="442">
        <f t="shared" si="21"/>
        <v>0</v>
      </c>
      <c r="AL46" s="443">
        <f t="shared" si="22"/>
        <v>0</v>
      </c>
      <c r="AM46" s="444">
        <f t="shared" si="23"/>
        <v>0</v>
      </c>
      <c r="AN46" s="11"/>
      <c r="AO46" s="11"/>
      <c r="AP46" s="11"/>
    </row>
    <row r="47" spans="1:42" x14ac:dyDescent="0.35">
      <c r="A47" s="65" t="s">
        <v>28</v>
      </c>
      <c r="B47" s="66"/>
      <c r="C47" s="11"/>
      <c r="D47" s="11"/>
      <c r="E47" s="11"/>
      <c r="F47" s="11"/>
      <c r="G47" s="88" t="s">
        <v>406</v>
      </c>
      <c r="H47" s="88" t="s">
        <v>464</v>
      </c>
      <c r="I47" s="122" t="str">
        <f>IF(_epmOfflineCondition_,"6",_xll.EVPRO($B$1,$G47,"HLEVEL"))</f>
        <v>6</v>
      </c>
      <c r="J47" s="122" t="str">
        <f>IF(_epmOfflineCondition_,"Y",_xll.EVPRO($B$1,$H47,"CALC"))</f>
        <v>Y</v>
      </c>
      <c r="K47" s="90"/>
      <c r="L47" s="90"/>
      <c r="M47" s="90" t="str">
        <f>IF(_epmOfflineCondition_,"Food &amp; Beverage Retail Shop",IF(_xll.EVDES(G47,$B$1)="#NODATA","",_xll.EVDES(G47,$B$1)))</f>
        <v>Food &amp; Beverage Retail Shop</v>
      </c>
      <c r="N47" s="143"/>
      <c r="O47" s="143"/>
      <c r="P47" s="143"/>
      <c r="Q47" s="143"/>
      <c r="R47" s="143"/>
      <c r="S47" s="143"/>
      <c r="T47" s="143"/>
      <c r="U47" s="143"/>
      <c r="V47" s="143"/>
      <c r="W47" s="143"/>
      <c r="X47" s="143"/>
      <c r="Y47" s="143"/>
      <c r="Z47" s="250">
        <f t="shared" si="13"/>
        <v>0</v>
      </c>
      <c r="AA47" s="144" t="str">
        <f t="shared" si="14"/>
        <v/>
      </c>
      <c r="AB47" s="140"/>
      <c r="AC47" s="143"/>
      <c r="AD47" s="144" t="str">
        <f t="shared" si="15"/>
        <v/>
      </c>
      <c r="AE47" s="145">
        <f t="shared" si="16"/>
        <v>0</v>
      </c>
      <c r="AF47" s="143"/>
      <c r="AG47" s="144" t="str">
        <f t="shared" si="17"/>
        <v/>
      </c>
      <c r="AH47" s="145">
        <f t="shared" si="18"/>
        <v>0</v>
      </c>
      <c r="AI47" s="440">
        <f t="shared" si="19"/>
        <v>0</v>
      </c>
      <c r="AJ47" s="441">
        <f t="shared" si="20"/>
        <v>0</v>
      </c>
      <c r="AK47" s="442">
        <f t="shared" si="21"/>
        <v>0</v>
      </c>
      <c r="AL47" s="443">
        <f t="shared" si="22"/>
        <v>0</v>
      </c>
      <c r="AM47" s="444">
        <f t="shared" si="23"/>
        <v>0</v>
      </c>
      <c r="AN47" s="11"/>
      <c r="AO47" s="11"/>
      <c r="AP47" s="11"/>
    </row>
    <row r="48" spans="1:42" x14ac:dyDescent="0.35">
      <c r="A48" s="65" t="s">
        <v>29</v>
      </c>
      <c r="B48" s="66"/>
      <c r="C48" s="11"/>
      <c r="D48" s="11"/>
      <c r="E48" s="11"/>
      <c r="F48" s="11"/>
      <c r="G48" s="88" t="s">
        <v>423</v>
      </c>
      <c r="H48" s="88" t="s">
        <v>464</v>
      </c>
      <c r="I48" s="122" t="str">
        <f>IF(_epmOfflineCondition_,"7",_xll.EVPRO($B$1,$G48,"HLEVEL"))</f>
        <v>7</v>
      </c>
      <c r="J48" s="122" t="str">
        <f>IF(_epmOfflineCondition_,"Y",_xll.EVPRO($B$1,$H48,"CALC"))</f>
        <v>Y</v>
      </c>
      <c r="K48" s="90"/>
      <c r="L48" s="90"/>
      <c r="M48" s="90" t="str">
        <f>IF(_epmOfflineCondition_,"Minor Operated Departments",IF(_xll.EVDES(G48,$B$1)="#NODATA","",_xll.EVDES(G48,$B$1)))</f>
        <v>Minor Operated Departments</v>
      </c>
      <c r="N48" s="143">
        <v>451.57</v>
      </c>
      <c r="O48" s="143">
        <v>474.45</v>
      </c>
      <c r="P48" s="143">
        <v>173.26</v>
      </c>
      <c r="Q48" s="143">
        <v>1264.83</v>
      </c>
      <c r="R48" s="143">
        <v>1699.08</v>
      </c>
      <c r="S48" s="143">
        <v>439.54</v>
      </c>
      <c r="T48" s="143">
        <v>634.97</v>
      </c>
      <c r="U48" s="143">
        <v>134.88999999999999</v>
      </c>
      <c r="V48" s="143">
        <v>1021.36</v>
      </c>
      <c r="W48" s="143">
        <v>200.75</v>
      </c>
      <c r="X48" s="143">
        <v>542.35</v>
      </c>
      <c r="Y48" s="143">
        <v>2048</v>
      </c>
      <c r="Z48" s="250">
        <f t="shared" si="13"/>
        <v>9085.0499999999993</v>
      </c>
      <c r="AA48" s="144">
        <f t="shared" si="14"/>
        <v>0.46395258874927547</v>
      </c>
      <c r="AB48" s="140"/>
      <c r="AC48" s="143">
        <v>5764.9657500000003</v>
      </c>
      <c r="AD48" s="144">
        <f t="shared" si="15"/>
        <v>0.36578571428571433</v>
      </c>
      <c r="AE48" s="145">
        <f t="shared" si="16"/>
        <v>3320.084249999999</v>
      </c>
      <c r="AF48" s="143">
        <v>2745.9</v>
      </c>
      <c r="AG48" s="144">
        <f t="shared" si="17"/>
        <v>0.37610895229433444</v>
      </c>
      <c r="AH48" s="145">
        <f t="shared" si="18"/>
        <v>6339.15</v>
      </c>
      <c r="AI48" s="440">
        <f t="shared" si="19"/>
        <v>0.2258895049603421</v>
      </c>
      <c r="AJ48" s="441">
        <f t="shared" si="20"/>
        <v>0.15363000000000002</v>
      </c>
      <c r="AK48" s="442">
        <f t="shared" si="21"/>
        <v>0.13695261845386533</v>
      </c>
      <c r="AL48" s="443" t="str">
        <f t="shared" si="22"/>
        <v>9.82 pts.</v>
      </c>
      <c r="AM48" s="444" t="str">
        <f t="shared" si="23"/>
        <v>8.78 pts.</v>
      </c>
      <c r="AN48" s="11"/>
      <c r="AO48" s="11"/>
      <c r="AP48" s="11"/>
    </row>
    <row r="49" spans="1:42" x14ac:dyDescent="0.35">
      <c r="A49" s="65" t="s">
        <v>30</v>
      </c>
      <c r="B49" s="66" t="s">
        <v>78</v>
      </c>
      <c r="C49" s="11"/>
      <c r="D49" s="11"/>
      <c r="E49" s="11"/>
      <c r="F49" s="11"/>
      <c r="G49" s="11"/>
      <c r="H49" s="604" t="s">
        <v>493</v>
      </c>
      <c r="I49" s="179"/>
      <c r="J49" s="179"/>
      <c r="K49" s="179"/>
      <c r="L49" s="90"/>
      <c r="M49" s="106" t="s">
        <v>469</v>
      </c>
      <c r="N49" s="123">
        <f t="shared" ref="N49:Y49" si="24">SUM(N43:N48)</f>
        <v>451.57</v>
      </c>
      <c r="O49" s="123">
        <f t="shared" si="24"/>
        <v>474.45</v>
      </c>
      <c r="P49" s="123">
        <f t="shared" si="24"/>
        <v>173.26</v>
      </c>
      <c r="Q49" s="123">
        <f t="shared" si="24"/>
        <v>1264.83</v>
      </c>
      <c r="R49" s="123">
        <f t="shared" si="24"/>
        <v>1699.08</v>
      </c>
      <c r="S49" s="123">
        <f t="shared" si="24"/>
        <v>439.54</v>
      </c>
      <c r="T49" s="123">
        <f t="shared" si="24"/>
        <v>634.97</v>
      </c>
      <c r="U49" s="123">
        <f t="shared" si="24"/>
        <v>134.88999999999999</v>
      </c>
      <c r="V49" s="123">
        <f t="shared" si="24"/>
        <v>1021.36</v>
      </c>
      <c r="W49" s="123">
        <f t="shared" si="24"/>
        <v>200.75</v>
      </c>
      <c r="X49" s="123">
        <f t="shared" si="24"/>
        <v>542.35</v>
      </c>
      <c r="Y49" s="123">
        <f t="shared" si="24"/>
        <v>2048</v>
      </c>
      <c r="Z49" s="123">
        <f t="shared" si="13"/>
        <v>9085.0499999999993</v>
      </c>
      <c r="AA49" s="124">
        <f t="shared" si="14"/>
        <v>0.46395258874927547</v>
      </c>
      <c r="AB49" s="11"/>
      <c r="AC49" s="123">
        <f>SUM(AC43:AC48)</f>
        <v>5764.9657500000003</v>
      </c>
      <c r="AD49" s="124">
        <f t="shared" si="15"/>
        <v>0.36578571428571433</v>
      </c>
      <c r="AE49" s="125">
        <f t="shared" si="16"/>
        <v>3320.084249999999</v>
      </c>
      <c r="AF49" s="123">
        <f>SUM(AF43:AF48)</f>
        <v>61989.78</v>
      </c>
      <c r="AG49" s="124">
        <f t="shared" si="17"/>
        <v>0.90610621871134256</v>
      </c>
      <c r="AH49" s="125">
        <f t="shared" si="18"/>
        <v>-52904.729999999996</v>
      </c>
      <c r="AI49" s="388">
        <f t="shared" si="19"/>
        <v>0.2258895049603421</v>
      </c>
      <c r="AJ49" s="389">
        <f t="shared" si="20"/>
        <v>0.15363000000000002</v>
      </c>
      <c r="AK49" s="390">
        <f t="shared" si="21"/>
        <v>3.0917596009975061</v>
      </c>
      <c r="AL49" s="391" t="str">
        <f t="shared" si="22"/>
        <v>9.82 pts.</v>
      </c>
      <c r="AM49" s="544" t="str">
        <f t="shared" si="23"/>
        <v>-44.22 pts.</v>
      </c>
      <c r="AN49" s="11"/>
      <c r="AO49" s="11"/>
      <c r="AP49" s="11"/>
    </row>
    <row r="50" spans="1:42" x14ac:dyDescent="0.35">
      <c r="A50" s="65" t="s">
        <v>31</v>
      </c>
      <c r="B50" s="66" t="s">
        <v>78</v>
      </c>
      <c r="C50" s="11"/>
      <c r="D50" s="11"/>
      <c r="E50" s="11"/>
      <c r="F50" s="11"/>
      <c r="G50" s="106"/>
      <c r="H50" s="106"/>
      <c r="I50" s="106"/>
      <c r="J50" s="106"/>
      <c r="K50" s="106"/>
      <c r="L50" s="106"/>
      <c r="M50" s="106"/>
      <c r="N50" s="203"/>
      <c r="O50" s="204"/>
      <c r="P50" s="204"/>
      <c r="Q50" s="204"/>
      <c r="R50" s="204"/>
      <c r="S50" s="204"/>
      <c r="T50" s="204"/>
      <c r="U50" s="204"/>
      <c r="V50" s="204"/>
      <c r="W50" s="204"/>
      <c r="X50" s="204"/>
      <c r="Y50" s="204"/>
      <c r="Z50" s="204"/>
      <c r="AA50" s="118"/>
      <c r="AB50" s="11"/>
      <c r="AC50" s="203"/>
      <c r="AD50" s="204"/>
      <c r="AE50" s="118"/>
      <c r="AF50" s="203"/>
      <c r="AG50" s="204"/>
      <c r="AH50" s="118"/>
      <c r="AI50" s="11"/>
      <c r="AJ50" s="11"/>
      <c r="AK50" s="11"/>
      <c r="AL50" s="11"/>
      <c r="AM50" s="11"/>
      <c r="AN50" s="11"/>
      <c r="AO50" s="11"/>
      <c r="AP50" s="11"/>
    </row>
    <row r="51" spans="1:42" x14ac:dyDescent="0.35">
      <c r="A51" s="65" t="s">
        <v>32</v>
      </c>
      <c r="B51" s="66"/>
      <c r="C51" s="11"/>
      <c r="D51" s="11"/>
      <c r="E51" s="11"/>
      <c r="F51" s="11"/>
      <c r="G51" s="11"/>
      <c r="H51" s="11" t="s">
        <v>81</v>
      </c>
      <c r="I51" s="59" t="str">
        <f>IF(_epmOfflineCondition_,"T3",_xll.EVPRO($B$1,$H51,"STYLE"))</f>
        <v>T3</v>
      </c>
      <c r="J51" s="59" t="str">
        <f>IF(_epmOfflineCondition_,"Y",_xll.EVPRO($B$1,$H51,"CALC"))</f>
        <v>Y</v>
      </c>
      <c r="K51" s="11"/>
      <c r="L51" s="11"/>
      <c r="M51" s="105" t="str">
        <f>IF(_epmOfflineCondition_,"Department Profit (Loss)",IF(_xll.EVDES(H51,$B$1)="#NODATA","",_xll.EVDES(H51,$B$1)))</f>
        <v>Department Profit (Loss)</v>
      </c>
      <c r="N51" s="203"/>
      <c r="O51" s="204"/>
      <c r="P51" s="204"/>
      <c r="Q51" s="204"/>
      <c r="R51" s="204"/>
      <c r="S51" s="204"/>
      <c r="T51" s="204"/>
      <c r="U51" s="204"/>
      <c r="V51" s="204"/>
      <c r="W51" s="204"/>
      <c r="X51" s="204"/>
      <c r="Y51" s="204"/>
      <c r="Z51" s="204"/>
      <c r="AA51" s="118"/>
      <c r="AB51" s="11"/>
      <c r="AC51" s="203"/>
      <c r="AD51" s="204"/>
      <c r="AE51" s="118"/>
      <c r="AF51" s="203"/>
      <c r="AG51" s="204"/>
      <c r="AH51" s="118"/>
      <c r="AI51" s="11"/>
      <c r="AJ51" s="11"/>
      <c r="AK51" s="11"/>
      <c r="AL51" s="11"/>
      <c r="AM51" s="11"/>
      <c r="AN51" s="11"/>
      <c r="AO51" s="11"/>
      <c r="AP51" s="11"/>
    </row>
    <row r="52" spans="1:42" x14ac:dyDescent="0.35">
      <c r="A52" s="65" t="s">
        <v>33</v>
      </c>
      <c r="B52" s="66"/>
      <c r="C52" s="11"/>
      <c r="D52" s="11"/>
      <c r="E52" s="11"/>
      <c r="F52" s="11"/>
      <c r="G52" s="88" t="s">
        <v>365</v>
      </c>
      <c r="H52" s="88" t="s">
        <v>81</v>
      </c>
      <c r="I52" s="122" t="str">
        <f>IF(_epmOfflineCondition_,"7",_xll.EVPRO($B$1,$G52,"HLEVEL"))</f>
        <v>7</v>
      </c>
      <c r="J52" s="122" t="str">
        <f>IF(_epmOfflineCondition_,"Y",_xll.EVPRO($B$1,$H52,"CALC"))</f>
        <v>Y</v>
      </c>
      <c r="K52" s="90"/>
      <c r="L52" s="90"/>
      <c r="M52" s="90" t="str">
        <f>IF(_epmOfflineCondition_,"Guest Communications",IF(_xll.EVDES(G52,$B$1)="#NODATA","",_xll.EVDES(G52,$B$1)))</f>
        <v>Guest Communications</v>
      </c>
      <c r="N52" s="143">
        <f t="shared" ref="N52:Y52" si="25">IFERROR(N34-N43,"")</f>
        <v>0</v>
      </c>
      <c r="O52" s="143">
        <f t="shared" si="25"/>
        <v>0</v>
      </c>
      <c r="P52" s="143">
        <f t="shared" si="25"/>
        <v>0</v>
      </c>
      <c r="Q52" s="143">
        <f t="shared" si="25"/>
        <v>0</v>
      </c>
      <c r="R52" s="143">
        <f t="shared" si="25"/>
        <v>0</v>
      </c>
      <c r="S52" s="143">
        <f t="shared" si="25"/>
        <v>0</v>
      </c>
      <c r="T52" s="143">
        <f t="shared" si="25"/>
        <v>0</v>
      </c>
      <c r="U52" s="143">
        <f t="shared" si="25"/>
        <v>0</v>
      </c>
      <c r="V52" s="143">
        <f t="shared" si="25"/>
        <v>0</v>
      </c>
      <c r="W52" s="143">
        <f t="shared" si="25"/>
        <v>0</v>
      </c>
      <c r="X52" s="143">
        <f t="shared" si="25"/>
        <v>0</v>
      </c>
      <c r="Y52" s="143">
        <f t="shared" si="25"/>
        <v>0</v>
      </c>
      <c r="Z52" s="250">
        <f t="shared" ref="Z52:Z58" si="26">IF($I52="B1","",SUM(N52:Y52))</f>
        <v>0</v>
      </c>
      <c r="AA52" s="144" t="str">
        <f t="shared" ref="AA52:AA58" si="27">IF(Z52=0,"",IFERROR(Z52/Z34,""))</f>
        <v/>
      </c>
      <c r="AB52" s="140"/>
      <c r="AC52" s="143">
        <f t="shared" ref="AC52:AC57" si="28">IFERROR(AC34-AC43,"")</f>
        <v>0</v>
      </c>
      <c r="AD52" s="144" t="str">
        <f t="shared" ref="AD52:AD58" si="29">IF(AC52=0,"",IFERROR(AC52/AC34,""))</f>
        <v/>
      </c>
      <c r="AE52" s="145">
        <f t="shared" ref="AE52:AE58" si="30">IF(AND($Z52="",AC52=""),"",$Z52-AC52)</f>
        <v>0</v>
      </c>
      <c r="AF52" s="143">
        <f t="shared" ref="AF52:AF57" si="31">IFERROR(AF34-AF43,"")</f>
        <v>0</v>
      </c>
      <c r="AG52" s="144" t="str">
        <f t="shared" ref="AG52:AG58" si="32">IF(AF52=0,"",IFERROR(AF52/AF34,""))</f>
        <v/>
      </c>
      <c r="AH52" s="145">
        <f t="shared" ref="AH52:AH58" si="33">IF(AND($Z52="",AF52=""),"",$Z52-AF52)</f>
        <v>0</v>
      </c>
      <c r="AI52" s="440">
        <f t="shared" ref="AI52:AI58" si="34">IFERROR(Z52/Z$20,0)</f>
        <v>0</v>
      </c>
      <c r="AJ52" s="441">
        <f t="shared" ref="AJ52:AJ58" si="35">IFERROR(AC52/AC$20,0)</f>
        <v>0</v>
      </c>
      <c r="AK52" s="442">
        <f t="shared" ref="AK52:AK58" si="36">IFERROR(AF52/AF$20,0)</f>
        <v>0</v>
      </c>
      <c r="AL52" s="443">
        <f t="shared" ref="AL52:AL58" si="37">+IFERROR(ROUND(($AA52-AD52)*100,2)&amp;" pts.",0)</f>
        <v>0</v>
      </c>
      <c r="AM52" s="444">
        <f t="shared" ref="AM52:AM58" si="38">+IFERROR(ROUND(($AA52-AG52)*100,2)&amp;" pts.",0)</f>
        <v>0</v>
      </c>
      <c r="AN52" s="11"/>
      <c r="AO52" s="11"/>
      <c r="AP52" s="11"/>
    </row>
    <row r="53" spans="1:42" x14ac:dyDescent="0.35">
      <c r="A53" s="65" t="s">
        <v>34</v>
      </c>
      <c r="B53" s="66"/>
      <c r="C53" s="11"/>
      <c r="D53" s="11"/>
      <c r="E53" s="11"/>
      <c r="F53" s="11"/>
      <c r="G53" s="88" t="s">
        <v>366</v>
      </c>
      <c r="H53" s="88" t="s">
        <v>81</v>
      </c>
      <c r="I53" s="122" t="str">
        <f>IF(_epmOfflineCondition_,"7",_xll.EVPRO($B$1,$G53,"HLEVEL"))</f>
        <v>7</v>
      </c>
      <c r="J53" s="122" t="str">
        <f>IF(_epmOfflineCondition_,"Y",_xll.EVPRO($B$1,$H53,"CALC"))</f>
        <v>Y</v>
      </c>
      <c r="K53" s="90"/>
      <c r="L53" s="90"/>
      <c r="M53" s="90" t="str">
        <f>IF(_epmOfflineCondition_,"Health Club/Spa",IF(_xll.EVDES(G53,$B$1)="#NODATA","",_xll.EVDES(G53,$B$1)))</f>
        <v>Health Club/Spa</v>
      </c>
      <c r="N53" s="143">
        <f t="shared" ref="N53:Y53" si="39">IFERROR(N35-N44,"")</f>
        <v>0</v>
      </c>
      <c r="O53" s="143">
        <f t="shared" si="39"/>
        <v>0</v>
      </c>
      <c r="P53" s="143">
        <f t="shared" si="39"/>
        <v>0</v>
      </c>
      <c r="Q53" s="143">
        <f t="shared" si="39"/>
        <v>0</v>
      </c>
      <c r="R53" s="143">
        <f t="shared" si="39"/>
        <v>0</v>
      </c>
      <c r="S53" s="143">
        <f t="shared" si="39"/>
        <v>0</v>
      </c>
      <c r="T53" s="143">
        <f t="shared" si="39"/>
        <v>0</v>
      </c>
      <c r="U53" s="143">
        <f t="shared" si="39"/>
        <v>0</v>
      </c>
      <c r="V53" s="143">
        <f t="shared" si="39"/>
        <v>0</v>
      </c>
      <c r="W53" s="143">
        <f t="shared" si="39"/>
        <v>0</v>
      </c>
      <c r="X53" s="143">
        <f t="shared" si="39"/>
        <v>0</v>
      </c>
      <c r="Y53" s="143">
        <f t="shared" si="39"/>
        <v>0</v>
      </c>
      <c r="Z53" s="250">
        <f t="shared" si="26"/>
        <v>0</v>
      </c>
      <c r="AA53" s="144" t="str">
        <f t="shared" si="27"/>
        <v/>
      </c>
      <c r="AB53" s="140"/>
      <c r="AC53" s="143">
        <f t="shared" si="28"/>
        <v>0</v>
      </c>
      <c r="AD53" s="144" t="str">
        <f t="shared" si="29"/>
        <v/>
      </c>
      <c r="AE53" s="145">
        <f t="shared" si="30"/>
        <v>0</v>
      </c>
      <c r="AF53" s="143">
        <f t="shared" si="31"/>
        <v>0</v>
      </c>
      <c r="AG53" s="144" t="str">
        <f t="shared" si="32"/>
        <v/>
      </c>
      <c r="AH53" s="145">
        <f t="shared" si="33"/>
        <v>0</v>
      </c>
      <c r="AI53" s="440">
        <f t="shared" si="34"/>
        <v>0</v>
      </c>
      <c r="AJ53" s="441">
        <f t="shared" si="35"/>
        <v>0</v>
      </c>
      <c r="AK53" s="442">
        <f t="shared" si="36"/>
        <v>0</v>
      </c>
      <c r="AL53" s="443">
        <f t="shared" si="37"/>
        <v>0</v>
      </c>
      <c r="AM53" s="444">
        <f t="shared" si="38"/>
        <v>0</v>
      </c>
      <c r="AN53" s="11"/>
      <c r="AO53" s="11"/>
      <c r="AP53" s="11"/>
    </row>
    <row r="54" spans="1:42" x14ac:dyDescent="0.35">
      <c r="A54" s="65" t="s">
        <v>35</v>
      </c>
      <c r="B54" s="66"/>
      <c r="C54" s="11"/>
      <c r="D54" s="11"/>
      <c r="E54" s="11"/>
      <c r="F54" s="11"/>
      <c r="G54" s="88" t="s">
        <v>380</v>
      </c>
      <c r="H54" s="88" t="s">
        <v>81</v>
      </c>
      <c r="I54" s="122" t="str">
        <f>IF(_epmOfflineCondition_,"7",_xll.EVPRO($B$1,$G54,"HLEVEL"))</f>
        <v>7</v>
      </c>
      <c r="J54" s="122" t="str">
        <f>IF(_epmOfflineCondition_,"Y",_xll.EVPRO($B$1,$H54,"CALC"))</f>
        <v>Y</v>
      </c>
      <c r="K54" s="90"/>
      <c r="L54" s="90"/>
      <c r="M54" s="90" t="str">
        <f>IF(_epmOfflineCondition_,"Parking",IF(_xll.EVDES(G54,$B$1)="#NODATA","",_xll.EVDES(G54,$B$1)))</f>
        <v>Parking</v>
      </c>
      <c r="N54" s="143">
        <f t="shared" ref="N54:Y54" si="40">IFERROR(N36-N45,"")</f>
        <v>0</v>
      </c>
      <c r="O54" s="143">
        <f t="shared" si="40"/>
        <v>0</v>
      </c>
      <c r="P54" s="143">
        <f t="shared" si="40"/>
        <v>0</v>
      </c>
      <c r="Q54" s="143">
        <f t="shared" si="40"/>
        <v>0</v>
      </c>
      <c r="R54" s="143">
        <f t="shared" si="40"/>
        <v>0</v>
      </c>
      <c r="S54" s="143">
        <f t="shared" si="40"/>
        <v>0</v>
      </c>
      <c r="T54" s="143">
        <f t="shared" si="40"/>
        <v>0</v>
      </c>
      <c r="U54" s="143">
        <f t="shared" si="40"/>
        <v>0</v>
      </c>
      <c r="V54" s="143">
        <f t="shared" si="40"/>
        <v>0</v>
      </c>
      <c r="W54" s="143">
        <f t="shared" si="40"/>
        <v>0</v>
      </c>
      <c r="X54" s="143">
        <f t="shared" si="40"/>
        <v>0</v>
      </c>
      <c r="Y54" s="143">
        <f t="shared" si="40"/>
        <v>0</v>
      </c>
      <c r="Z54" s="250">
        <f t="shared" si="26"/>
        <v>0</v>
      </c>
      <c r="AA54" s="144" t="str">
        <f t="shared" si="27"/>
        <v/>
      </c>
      <c r="AB54" s="140"/>
      <c r="AC54" s="143">
        <f t="shared" si="28"/>
        <v>0</v>
      </c>
      <c r="AD54" s="144" t="str">
        <f t="shared" si="29"/>
        <v/>
      </c>
      <c r="AE54" s="145">
        <f t="shared" si="30"/>
        <v>0</v>
      </c>
      <c r="AF54" s="143">
        <f t="shared" si="31"/>
        <v>1868.6800000000003</v>
      </c>
      <c r="AG54" s="144">
        <f t="shared" si="32"/>
        <v>3.0577675031122905E-2</v>
      </c>
      <c r="AH54" s="145">
        <f t="shared" si="33"/>
        <v>-1868.6800000000003</v>
      </c>
      <c r="AI54" s="440">
        <f t="shared" si="34"/>
        <v>0</v>
      </c>
      <c r="AJ54" s="441">
        <f t="shared" si="35"/>
        <v>0</v>
      </c>
      <c r="AK54" s="442">
        <f t="shared" si="36"/>
        <v>9.3200997506234423E-2</v>
      </c>
      <c r="AL54" s="443">
        <f t="shared" si="37"/>
        <v>0</v>
      </c>
      <c r="AM54" s="444">
        <f t="shared" si="38"/>
        <v>0</v>
      </c>
      <c r="AN54" s="11"/>
      <c r="AO54" s="11"/>
      <c r="AP54" s="11"/>
    </row>
    <row r="55" spans="1:42" x14ac:dyDescent="0.35">
      <c r="A55" s="65" t="s">
        <v>36</v>
      </c>
      <c r="B55" s="66"/>
      <c r="C55" s="11"/>
      <c r="D55" s="11"/>
      <c r="E55" s="11"/>
      <c r="F55" s="11"/>
      <c r="G55" s="88" t="s">
        <v>386</v>
      </c>
      <c r="H55" s="88" t="s">
        <v>81</v>
      </c>
      <c r="I55" s="122" t="str">
        <f>IF(_epmOfflineCondition_,"7",_xll.EVPRO($B$1,$G55,"HLEVEL"))</f>
        <v>7</v>
      </c>
      <c r="J55" s="122" t="str">
        <f>IF(_epmOfflineCondition_,"Y",_xll.EVPRO($B$1,$H55,"CALC"))</f>
        <v>Y</v>
      </c>
      <c r="K55" s="90"/>
      <c r="L55" s="90"/>
      <c r="M55" s="90" t="str">
        <f>IF(_epmOfflineCondition_,"Retail Shop",IF(_xll.EVDES(G55,$B$1)="#NODATA","",_xll.EVDES(G55,$B$1)))</f>
        <v>Retail Shop</v>
      </c>
      <c r="N55" s="143">
        <f t="shared" ref="N55:Y55" si="41">IFERROR(N37-N46,"")</f>
        <v>0</v>
      </c>
      <c r="O55" s="143">
        <f t="shared" si="41"/>
        <v>0</v>
      </c>
      <c r="P55" s="143">
        <f t="shared" si="41"/>
        <v>0</v>
      </c>
      <c r="Q55" s="143">
        <f t="shared" si="41"/>
        <v>0</v>
      </c>
      <c r="R55" s="143">
        <f t="shared" si="41"/>
        <v>0</v>
      </c>
      <c r="S55" s="143">
        <f t="shared" si="41"/>
        <v>0</v>
      </c>
      <c r="T55" s="143">
        <f t="shared" si="41"/>
        <v>0</v>
      </c>
      <c r="U55" s="143">
        <f t="shared" si="41"/>
        <v>0</v>
      </c>
      <c r="V55" s="143">
        <f t="shared" si="41"/>
        <v>0</v>
      </c>
      <c r="W55" s="143">
        <f t="shared" si="41"/>
        <v>0</v>
      </c>
      <c r="X55" s="143">
        <f t="shared" si="41"/>
        <v>0</v>
      </c>
      <c r="Y55" s="143">
        <f t="shared" si="41"/>
        <v>0</v>
      </c>
      <c r="Z55" s="250">
        <f t="shared" si="26"/>
        <v>0</v>
      </c>
      <c r="AA55" s="144" t="str">
        <f t="shared" si="27"/>
        <v/>
      </c>
      <c r="AB55" s="140"/>
      <c r="AC55" s="143">
        <f t="shared" si="28"/>
        <v>0</v>
      </c>
      <c r="AD55" s="144" t="str">
        <f t="shared" si="29"/>
        <v/>
      </c>
      <c r="AE55" s="145">
        <f t="shared" si="30"/>
        <v>0</v>
      </c>
      <c r="AF55" s="143">
        <f t="shared" si="31"/>
        <v>0</v>
      </c>
      <c r="AG55" s="144" t="str">
        <f t="shared" si="32"/>
        <v/>
      </c>
      <c r="AH55" s="145">
        <f t="shared" si="33"/>
        <v>0</v>
      </c>
      <c r="AI55" s="440">
        <f t="shared" si="34"/>
        <v>0</v>
      </c>
      <c r="AJ55" s="441">
        <f t="shared" si="35"/>
        <v>0</v>
      </c>
      <c r="AK55" s="442">
        <f t="shared" si="36"/>
        <v>0</v>
      </c>
      <c r="AL55" s="443">
        <f t="shared" si="37"/>
        <v>0</v>
      </c>
      <c r="AM55" s="444">
        <f t="shared" si="38"/>
        <v>0</v>
      </c>
      <c r="AN55" s="11"/>
      <c r="AO55" s="11"/>
      <c r="AP55" s="11"/>
    </row>
    <row r="56" spans="1:42" x14ac:dyDescent="0.35">
      <c r="A56" s="65" t="s">
        <v>37</v>
      </c>
      <c r="B56" s="66"/>
      <c r="C56" s="11"/>
      <c r="D56" s="11"/>
      <c r="E56" s="11"/>
      <c r="F56" s="11"/>
      <c r="G56" s="88" t="s">
        <v>406</v>
      </c>
      <c r="H56" s="88" t="s">
        <v>81</v>
      </c>
      <c r="I56" s="122" t="str">
        <f>IF(_epmOfflineCondition_,"6",_xll.EVPRO($B$1,$G56,"HLEVEL"))</f>
        <v>6</v>
      </c>
      <c r="J56" s="122" t="str">
        <f>IF(_epmOfflineCondition_,"Y",_xll.EVPRO($B$1,$H56,"CALC"))</f>
        <v>Y</v>
      </c>
      <c r="K56" s="90"/>
      <c r="L56" s="90"/>
      <c r="M56" s="90" t="str">
        <f>IF(_epmOfflineCondition_,"Food &amp; Beverage Retail Shop",IF(_xll.EVDES(G56,$B$1)="#NODATA","",_xll.EVDES(G56,$B$1)))</f>
        <v>Food &amp; Beverage Retail Shop</v>
      </c>
      <c r="N56" s="143">
        <f t="shared" ref="N56:Y56" si="42">IFERROR(N38-N47,"")</f>
        <v>0</v>
      </c>
      <c r="O56" s="143">
        <f t="shared" si="42"/>
        <v>0</v>
      </c>
      <c r="P56" s="143">
        <f t="shared" si="42"/>
        <v>0</v>
      </c>
      <c r="Q56" s="143">
        <f t="shared" si="42"/>
        <v>0</v>
      </c>
      <c r="R56" s="143">
        <f t="shared" si="42"/>
        <v>0</v>
      </c>
      <c r="S56" s="143">
        <f t="shared" si="42"/>
        <v>0</v>
      </c>
      <c r="T56" s="143">
        <f t="shared" si="42"/>
        <v>0</v>
      </c>
      <c r="U56" s="143">
        <f t="shared" si="42"/>
        <v>0</v>
      </c>
      <c r="V56" s="143">
        <f t="shared" si="42"/>
        <v>0</v>
      </c>
      <c r="W56" s="143">
        <f t="shared" si="42"/>
        <v>0</v>
      </c>
      <c r="X56" s="143">
        <f t="shared" si="42"/>
        <v>0</v>
      </c>
      <c r="Y56" s="143">
        <f t="shared" si="42"/>
        <v>0</v>
      </c>
      <c r="Z56" s="250">
        <f t="shared" si="26"/>
        <v>0</v>
      </c>
      <c r="AA56" s="144" t="str">
        <f t="shared" si="27"/>
        <v/>
      </c>
      <c r="AB56" s="140"/>
      <c r="AC56" s="143">
        <f t="shared" si="28"/>
        <v>0</v>
      </c>
      <c r="AD56" s="144" t="str">
        <f t="shared" si="29"/>
        <v/>
      </c>
      <c r="AE56" s="145">
        <f t="shared" si="30"/>
        <v>0</v>
      </c>
      <c r="AF56" s="143">
        <f t="shared" si="31"/>
        <v>0</v>
      </c>
      <c r="AG56" s="144" t="str">
        <f t="shared" si="32"/>
        <v/>
      </c>
      <c r="AH56" s="145">
        <f t="shared" si="33"/>
        <v>0</v>
      </c>
      <c r="AI56" s="440">
        <f t="shared" si="34"/>
        <v>0</v>
      </c>
      <c r="AJ56" s="441">
        <f t="shared" si="35"/>
        <v>0</v>
      </c>
      <c r="AK56" s="442">
        <f t="shared" si="36"/>
        <v>0</v>
      </c>
      <c r="AL56" s="443">
        <f t="shared" si="37"/>
        <v>0</v>
      </c>
      <c r="AM56" s="444">
        <f t="shared" si="38"/>
        <v>0</v>
      </c>
      <c r="AN56" s="11"/>
      <c r="AO56" s="387"/>
      <c r="AP56" s="387"/>
    </row>
    <row r="57" spans="1:42" x14ac:dyDescent="0.35">
      <c r="A57" s="65" t="s">
        <v>38</v>
      </c>
      <c r="B57" s="66"/>
      <c r="C57" s="11"/>
      <c r="D57" s="11"/>
      <c r="E57" s="11"/>
      <c r="F57" s="11"/>
      <c r="G57" s="88" t="s">
        <v>423</v>
      </c>
      <c r="H57" s="88" t="s">
        <v>81</v>
      </c>
      <c r="I57" s="122" t="str">
        <f>IF(_epmOfflineCondition_,"7",_xll.EVPRO($B$1,$G57,"HLEVEL"))</f>
        <v>7</v>
      </c>
      <c r="J57" s="122" t="str">
        <f>IF(_epmOfflineCondition_,"Y",_xll.EVPRO($B$1,$H57,"CALC"))</f>
        <v>Y</v>
      </c>
      <c r="K57" s="90"/>
      <c r="L57" s="90"/>
      <c r="M57" s="90" t="str">
        <f>IF(_epmOfflineCondition_,"Minor Operated Departments",IF(_xll.EVDES(G57,$B$1)="#NODATA","",_xll.EVDES(G57,$B$1)))</f>
        <v>Minor Operated Departments</v>
      </c>
      <c r="N57" s="143">
        <f t="shared" ref="N57:Y57" si="43">IFERROR(N39-N48,"")</f>
        <v>373.02000000000004</v>
      </c>
      <c r="O57" s="143">
        <f t="shared" si="43"/>
        <v>354.54</v>
      </c>
      <c r="P57" s="143">
        <f t="shared" si="43"/>
        <v>499.53999999999996</v>
      </c>
      <c r="Q57" s="143">
        <f t="shared" si="43"/>
        <v>1546.6</v>
      </c>
      <c r="R57" s="143">
        <f t="shared" si="43"/>
        <v>1515.5</v>
      </c>
      <c r="S57" s="143">
        <f t="shared" si="43"/>
        <v>583.53</v>
      </c>
      <c r="T57" s="143">
        <f t="shared" si="43"/>
        <v>446.23</v>
      </c>
      <c r="U57" s="143">
        <f t="shared" si="43"/>
        <v>-71.899999999999977</v>
      </c>
      <c r="V57" s="143">
        <f t="shared" si="43"/>
        <v>1702.2199999999998</v>
      </c>
      <c r="W57" s="143">
        <f t="shared" si="43"/>
        <v>1244.29</v>
      </c>
      <c r="X57" s="143">
        <f t="shared" si="43"/>
        <v>1000.9799999999999</v>
      </c>
      <c r="Y57" s="143">
        <f t="shared" si="43"/>
        <v>1302.25</v>
      </c>
      <c r="Z57" s="250">
        <f t="shared" si="26"/>
        <v>10496.8</v>
      </c>
      <c r="AA57" s="144">
        <f t="shared" si="27"/>
        <v>0.53604741125072453</v>
      </c>
      <c r="AB57" s="140"/>
      <c r="AC57" s="143">
        <f t="shared" si="28"/>
        <v>9995.5342500000006</v>
      </c>
      <c r="AD57" s="144">
        <f t="shared" si="29"/>
        <v>0.63421428571428573</v>
      </c>
      <c r="AE57" s="145">
        <f t="shared" si="30"/>
        <v>501.26574999999866</v>
      </c>
      <c r="AF57" s="143">
        <f t="shared" si="31"/>
        <v>4554.91</v>
      </c>
      <c r="AG57" s="144">
        <f t="shared" si="32"/>
        <v>0.6238910477056655</v>
      </c>
      <c r="AH57" s="145">
        <f t="shared" si="33"/>
        <v>5941.8899999999994</v>
      </c>
      <c r="AI57" s="440">
        <f t="shared" si="34"/>
        <v>0.2609910738705587</v>
      </c>
      <c r="AJ57" s="441">
        <f t="shared" si="35"/>
        <v>0.26637</v>
      </c>
      <c r="AK57" s="442">
        <f t="shared" si="36"/>
        <v>0.22717755610972568</v>
      </c>
      <c r="AL57" s="443" t="str">
        <f t="shared" si="37"/>
        <v>-9.82 pts.</v>
      </c>
      <c r="AM57" s="444" t="str">
        <f t="shared" si="38"/>
        <v>-8.78 pts.</v>
      </c>
      <c r="AN57" s="11"/>
      <c r="AO57" s="11"/>
      <c r="AP57" s="11"/>
    </row>
    <row r="58" spans="1:42" x14ac:dyDescent="0.35">
      <c r="A58" s="65" t="s">
        <v>39</v>
      </c>
      <c r="B58" s="66"/>
      <c r="C58" s="11"/>
      <c r="D58" s="11"/>
      <c r="E58" s="11"/>
      <c r="F58" s="11"/>
      <c r="G58" s="11"/>
      <c r="H58" s="179"/>
      <c r="I58" s="179"/>
      <c r="J58" s="179"/>
      <c r="K58" s="179"/>
      <c r="L58" s="90"/>
      <c r="M58" s="106" t="s">
        <v>471</v>
      </c>
      <c r="N58" s="123">
        <f t="shared" ref="N58:Y58" si="44">SUM(N52:N57)</f>
        <v>373.02000000000004</v>
      </c>
      <c r="O58" s="123">
        <f t="shared" si="44"/>
        <v>354.54</v>
      </c>
      <c r="P58" s="123">
        <f t="shared" si="44"/>
        <v>499.53999999999996</v>
      </c>
      <c r="Q58" s="123">
        <f t="shared" si="44"/>
        <v>1546.6</v>
      </c>
      <c r="R58" s="123">
        <f t="shared" si="44"/>
        <v>1515.5</v>
      </c>
      <c r="S58" s="123">
        <f t="shared" si="44"/>
        <v>583.53</v>
      </c>
      <c r="T58" s="123">
        <f t="shared" si="44"/>
        <v>446.23</v>
      </c>
      <c r="U58" s="123">
        <f t="shared" si="44"/>
        <v>-71.899999999999977</v>
      </c>
      <c r="V58" s="123">
        <f t="shared" si="44"/>
        <v>1702.2199999999998</v>
      </c>
      <c r="W58" s="123">
        <f t="shared" si="44"/>
        <v>1244.29</v>
      </c>
      <c r="X58" s="123">
        <f t="shared" si="44"/>
        <v>1000.9799999999999</v>
      </c>
      <c r="Y58" s="123">
        <f t="shared" si="44"/>
        <v>1302.25</v>
      </c>
      <c r="Z58" s="123">
        <f t="shared" si="26"/>
        <v>10496.8</v>
      </c>
      <c r="AA58" s="124">
        <f t="shared" si="27"/>
        <v>0.53604741125072453</v>
      </c>
      <c r="AB58" s="11"/>
      <c r="AC58" s="123">
        <f>SUM(AC52:AC57)</f>
        <v>9995.5342500000006</v>
      </c>
      <c r="AD58" s="124">
        <f t="shared" si="29"/>
        <v>0.63421428571428573</v>
      </c>
      <c r="AE58" s="125">
        <f t="shared" si="30"/>
        <v>501.26574999999866</v>
      </c>
      <c r="AF58" s="123">
        <f>SUM(AF52:AF57)</f>
        <v>6423.59</v>
      </c>
      <c r="AG58" s="124">
        <f t="shared" si="32"/>
        <v>9.3893781288657469E-2</v>
      </c>
      <c r="AH58" s="125">
        <f t="shared" si="33"/>
        <v>4073.2099999999991</v>
      </c>
      <c r="AI58" s="388">
        <f t="shared" si="34"/>
        <v>0.2609910738705587</v>
      </c>
      <c r="AJ58" s="389">
        <f t="shared" si="35"/>
        <v>0.26637</v>
      </c>
      <c r="AK58" s="390">
        <f t="shared" si="36"/>
        <v>0.32037855361596013</v>
      </c>
      <c r="AL58" s="391" t="str">
        <f t="shared" si="37"/>
        <v>-9.82 pts.</v>
      </c>
      <c r="AM58" s="544" t="str">
        <f t="shared" si="38"/>
        <v>44.22 pts.</v>
      </c>
      <c r="AN58" s="11"/>
      <c r="AO58" s="11"/>
      <c r="AP58" s="11"/>
    </row>
    <row r="59" spans="1:42" x14ac:dyDescent="0.35">
      <c r="A59" s="65" t="s">
        <v>40</v>
      </c>
      <c r="B59" s="66"/>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row>
    <row r="60" spans="1:42" ht="15" thickBot="1" x14ac:dyDescent="0.4">
      <c r="A60" s="65" t="s">
        <v>41</v>
      </c>
      <c r="B60" s="66"/>
      <c r="C60" s="11"/>
      <c r="D60" s="11"/>
      <c r="E60" s="11"/>
      <c r="F60" s="11"/>
      <c r="G60" s="88" t="s">
        <v>463</v>
      </c>
      <c r="H60" s="88" t="s">
        <v>81</v>
      </c>
      <c r="I60" s="136" t="str">
        <f>IF(_epmOfflineCondition_,"T3",_xll.EVPRO($B$1,$H60,"STYLE"))</f>
        <v>T3</v>
      </c>
      <c r="J60" s="136" t="str">
        <f>IF(_epmOfflineCondition_,"Y",_xll.EVPRO($B$1,$H60,"CALC"))</f>
        <v>Y</v>
      </c>
      <c r="K60" s="106"/>
      <c r="L60" s="106"/>
      <c r="M60" s="106" t="str">
        <f>IF(_epmOfflineCondition_,"Department Profit (Loss)",IF(_xll.EVDES(H60,$B$1)="#NODATA","",_xll.EVDES(H60,$B$1)))</f>
        <v>Department Profit (Loss)</v>
      </c>
      <c r="N60" s="126">
        <f>IF(_epmOfflineCondition_,373.02,_xll.EVGTS($B$1,1,$B$3,$B$5,$B$7,$B$9,N$16,N$17,N$18,$G$60,$H$60))</f>
        <v>373.02</v>
      </c>
      <c r="O60" s="126">
        <f>IF(_epmOfflineCondition_,354.54,_xll.EVGTS($B$1,1,$B$3,$B$5,$B$7,$B$9,O$16,O$17,O$18,$G$60,$H$60))</f>
        <v>354.54</v>
      </c>
      <c r="P60" s="126">
        <f>IF(_epmOfflineCondition_,499.54,_xll.EVGTS($B$1,1,$B$3,$B$5,$B$7,$B$9,P$16,P$17,P$18,$G$60,$H$60))</f>
        <v>499.54</v>
      </c>
      <c r="Q60" s="126">
        <f>IF(_epmOfflineCondition_,1546.6,_xll.EVGTS($B$1,1,$B$3,$B$5,$B$7,$B$9,Q$16,Q$17,Q$18,$G$60,$H$60))</f>
        <v>1546.6</v>
      </c>
      <c r="R60" s="126">
        <f>IF(_epmOfflineCondition_,1515.5,_xll.EVGTS($B$1,1,$B$3,$B$5,$B$7,$B$9,R$16,R$17,R$18,$G$60,$H$60))</f>
        <v>1515.5</v>
      </c>
      <c r="S60" s="126">
        <f>IF(_epmOfflineCondition_,583.53,_xll.EVGTS($B$1,1,$B$3,$B$5,$B$7,$B$9,S$16,S$17,S$18,$G$60,$H$60))</f>
        <v>583.53</v>
      </c>
      <c r="T60" s="126">
        <f>IF(_epmOfflineCondition_,446.23,_xll.EVGTS($B$1,1,$B$3,$B$5,$B$7,$B$9,T$16,T$17,T$18,$G$60,$H$60))</f>
        <v>446.23</v>
      </c>
      <c r="U60" s="126">
        <f>IF(_epmOfflineCondition_,-71.9,_xll.EVGTS($B$1,1,$B$3,$B$5,$B$7,$B$9,U$16,U$17,U$18,$G$60,$H$60))</f>
        <v>-71.900000000000006</v>
      </c>
      <c r="V60" s="126">
        <f>IF(_epmOfflineCondition_,1702.22,_xll.EVGTS($B$1,1,$B$3,$B$5,$B$7,$B$9,V$16,V$17,V$18,$G$60,$H$60))</f>
        <v>1702.22</v>
      </c>
      <c r="W60" s="126">
        <f>IF(_epmOfflineCondition_,1244.29,_xll.EVGTS($B$1,1,$B$3,$B$5,$B$7,$B$9,W$16,W$17,W$18,$G$60,$H$60))</f>
        <v>1244.29</v>
      </c>
      <c r="X60" s="126">
        <f>IF(_epmOfflineCondition_,1000.98,_xll.EVGTS($B$1,1,$B$3,$B$5,$B$7,$B$9,X$16,X$17,X$18,$G$60,$H$60))</f>
        <v>1000.98</v>
      </c>
      <c r="Y60" s="126">
        <f>IF(_epmOfflineCondition_,1302.25,_xll.EVGTS($B$1,1,$B$3,$B$5,$B$7,$B$9,Y$16,Y$17,Y$18,$G$60,$H$60))</f>
        <v>1302.25</v>
      </c>
      <c r="Z60" s="126">
        <f>IF($I60="B1","",SUM(N60:Y60))</f>
        <v>10496.8</v>
      </c>
      <c r="AA60" s="127">
        <f>IF(Z60=0,"",IFERROR(Z60/Z$19,""))</f>
        <v>0.53604741125072453</v>
      </c>
      <c r="AB60" s="11"/>
      <c r="AC60" s="126">
        <f>IF(_epmOfflineCondition_,9995.53425,_xll.EVGTS($B$1,1,$B$3,$B$5,$B$7,$B$9,AC$16,AC$17,AC$18,$G$60,$H$60))</f>
        <v>9995.5342500000006</v>
      </c>
      <c r="AD60" s="127">
        <f>IF(AC60=0,"",IFERROR(AC60/AC$19,""))</f>
        <v>0.63421428571428573</v>
      </c>
      <c r="AE60" s="128">
        <f>IF(AND($Z60="",AC60=""),"",$Z60-AC60)</f>
        <v>501.26574999999866</v>
      </c>
      <c r="AF60" s="126">
        <f>IF(_epmOfflineCondition_,6423.59000000001,_xll.EVGTS($B$1,1,$B$3,$B$5,$B$7,$B$9,AF$16,AF$17,AF$18,$G$60,$H$60))</f>
        <v>6423.5900000000101</v>
      </c>
      <c r="AG60" s="127">
        <f>IF(AF60=0,"",IFERROR(AF60/AF$19,""))</f>
        <v>9.3893781288657621E-2</v>
      </c>
      <c r="AH60" s="128">
        <f>IF(AND($Z60="",AF60=""),"",$Z60-AF60)</f>
        <v>4073.2099999999891</v>
      </c>
      <c r="AI60" s="419">
        <f>IFERROR(Z60/Z$20,0)</f>
        <v>0.2609910738705587</v>
      </c>
      <c r="AJ60" s="420">
        <f>IFERROR(AC60/AC$20,0)</f>
        <v>0.26637</v>
      </c>
      <c r="AK60" s="421">
        <f>IFERROR(AF60/AF$20,0)</f>
        <v>0.32037855361596063</v>
      </c>
      <c r="AL60" s="422" t="str">
        <f>+IFERROR(ROUND(($AA60-AD60)*100,2)&amp;" pts.",0)</f>
        <v>-9.82 pts.</v>
      </c>
      <c r="AM60" s="545" t="str">
        <f>+IFERROR(ROUND(($AA60-AG60)*100,2)&amp;" pts.",0)</f>
        <v>44.22 pts.</v>
      </c>
      <c r="AN60" s="11"/>
      <c r="AO60" s="11"/>
      <c r="AP60" s="11"/>
    </row>
    <row r="61" spans="1:42" ht="15" thickTop="1" x14ac:dyDescent="0.35">
      <c r="A61" s="65" t="s">
        <v>42</v>
      </c>
      <c r="B61" s="66"/>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row>
    <row r="62" spans="1:42" x14ac:dyDescent="0.35">
      <c r="A62" s="65" t="s">
        <v>43</v>
      </c>
      <c r="B62" s="66"/>
      <c r="C62" s="11"/>
      <c r="D62" s="11"/>
      <c r="E62" s="11"/>
      <c r="F62" s="11"/>
      <c r="G62" s="11"/>
      <c r="H62" s="11"/>
      <c r="I62" s="59"/>
      <c r="J62" s="59"/>
      <c r="K62" s="11"/>
      <c r="L62" s="11"/>
      <c r="M62" s="104" t="str">
        <f>$M$51&amp;" - Check"</f>
        <v>Department Profit (Loss) - Check</v>
      </c>
      <c r="N62" s="209">
        <f t="shared" ref="N62:Z62" si="45">SUMIF($H$34:$H$49,"REV",N34:N49)-SUMIF($H$34:$H$49,"EXP",N34:N49)-N60</f>
        <v>0</v>
      </c>
      <c r="O62" s="209">
        <f t="shared" si="45"/>
        <v>0</v>
      </c>
      <c r="P62" s="209">
        <f t="shared" si="45"/>
        <v>0</v>
      </c>
      <c r="Q62" s="209">
        <f t="shared" si="45"/>
        <v>0</v>
      </c>
      <c r="R62" s="209">
        <f t="shared" si="45"/>
        <v>0</v>
      </c>
      <c r="S62" s="209">
        <f t="shared" si="45"/>
        <v>0</v>
      </c>
      <c r="T62" s="209">
        <f t="shared" si="45"/>
        <v>0</v>
      </c>
      <c r="U62" s="209">
        <f t="shared" si="45"/>
        <v>0</v>
      </c>
      <c r="V62" s="209">
        <f t="shared" si="45"/>
        <v>0</v>
      </c>
      <c r="W62" s="209">
        <f t="shared" si="45"/>
        <v>0</v>
      </c>
      <c r="X62" s="209">
        <f t="shared" si="45"/>
        <v>0</v>
      </c>
      <c r="Y62" s="209">
        <f t="shared" si="45"/>
        <v>0</v>
      </c>
      <c r="Z62" s="209">
        <f t="shared" si="45"/>
        <v>0</v>
      </c>
      <c r="AA62" s="100"/>
      <c r="AB62" s="11"/>
      <c r="AC62" s="209">
        <f>SUMIF($H$34:$H$49,"REV",AC34:AC49)-SUMIF($H$34:$H$49,"EXP",AC34:AC49)-AC60</f>
        <v>0</v>
      </c>
      <c r="AD62" s="100"/>
      <c r="AE62" s="91"/>
      <c r="AF62" s="209">
        <f>SUMIF($H$34:$H$49,"REV",AF34:AF49)-SUMIF($H$34:$H$49,"EXP",AF34:AF49)-AF60</f>
        <v>-1.3642420526593924E-11</v>
      </c>
      <c r="AG62" s="100"/>
      <c r="AH62" s="91"/>
      <c r="AI62" s="11"/>
      <c r="AJ62" s="11"/>
      <c r="AK62" s="11"/>
      <c r="AL62" s="11"/>
      <c r="AM62" s="11"/>
      <c r="AN62" s="11"/>
      <c r="AO62" s="11"/>
      <c r="AP62" s="11"/>
    </row>
    <row r="63" spans="1:42" x14ac:dyDescent="0.35">
      <c r="A63" s="65" t="s">
        <v>44</v>
      </c>
      <c r="B63" s="66"/>
      <c r="C63" s="11"/>
      <c r="D63" s="11"/>
      <c r="E63" s="11"/>
      <c r="F63" s="11"/>
      <c r="G63" s="11"/>
      <c r="H63" s="11"/>
      <c r="I63" s="59"/>
      <c r="J63" s="59"/>
      <c r="K63" s="11"/>
      <c r="L63" s="11"/>
      <c r="M63" s="11"/>
      <c r="N63" s="137"/>
      <c r="O63" s="137"/>
      <c r="P63" s="137"/>
      <c r="Q63" s="137"/>
      <c r="R63" s="137"/>
      <c r="S63" s="137"/>
      <c r="T63" s="137"/>
      <c r="U63" s="137"/>
      <c r="V63" s="137"/>
      <c r="W63" s="137"/>
      <c r="X63" s="137"/>
      <c r="Y63" s="137"/>
      <c r="Z63" s="137"/>
      <c r="AA63" s="11"/>
      <c r="AB63" s="11"/>
      <c r="AC63" s="11"/>
      <c r="AD63" s="11"/>
      <c r="AE63" s="11"/>
      <c r="AF63" s="11"/>
      <c r="AG63" s="11"/>
      <c r="AH63" s="11"/>
      <c r="AI63" s="11"/>
      <c r="AJ63" s="11"/>
      <c r="AK63" s="11"/>
      <c r="AL63" s="11"/>
      <c r="AM63" s="11"/>
      <c r="AN63" s="11"/>
      <c r="AO63" s="11"/>
      <c r="AP63" s="11"/>
    </row>
    <row r="64" spans="1:42" x14ac:dyDescent="0.35">
      <c r="A64" s="65" t="s">
        <v>45</v>
      </c>
      <c r="B64" s="66"/>
      <c r="C64" s="11"/>
      <c r="D64" s="11"/>
      <c r="E64" s="11"/>
      <c r="F64" s="11"/>
      <c r="G64" s="11"/>
      <c r="H64" s="11"/>
      <c r="I64" s="59"/>
      <c r="J64" s="59"/>
      <c r="K64" s="11"/>
      <c r="L64" s="11"/>
      <c r="M64" s="11"/>
      <c r="N64" s="137"/>
      <c r="O64" s="137"/>
      <c r="P64" s="137"/>
      <c r="Q64" s="137"/>
      <c r="R64" s="137"/>
      <c r="S64" s="137"/>
      <c r="T64" s="137"/>
      <c r="U64" s="137"/>
      <c r="V64" s="137"/>
      <c r="W64" s="137"/>
      <c r="X64" s="137"/>
      <c r="Y64" s="137"/>
      <c r="Z64" s="137"/>
      <c r="AA64" s="11"/>
      <c r="AB64" s="11"/>
      <c r="AC64" s="137"/>
      <c r="AD64" s="11"/>
      <c r="AE64" s="11"/>
      <c r="AF64" s="137"/>
      <c r="AG64" s="11"/>
      <c r="AH64" s="11"/>
      <c r="AI64" s="11"/>
      <c r="AJ64" s="11"/>
      <c r="AK64" s="11"/>
      <c r="AL64" s="11"/>
      <c r="AM64" s="11"/>
      <c r="AN64" s="11"/>
      <c r="AO64" s="11"/>
      <c r="AP64" s="11"/>
    </row>
    <row r="65" spans="1:42" x14ac:dyDescent="0.35">
      <c r="A65" s="65" t="s">
        <v>46</v>
      </c>
      <c r="B65" s="66"/>
      <c r="C65" s="11"/>
      <c r="D65" s="11"/>
      <c r="E65" s="11"/>
      <c r="F65" s="11"/>
      <c r="G65" s="11"/>
      <c r="H65" s="11"/>
      <c r="I65" s="59"/>
      <c r="J65" s="59"/>
      <c r="K65" s="11"/>
      <c r="L65" s="11"/>
      <c r="M65" s="11"/>
      <c r="N65" s="137"/>
      <c r="O65" s="137"/>
      <c r="P65" s="137"/>
      <c r="Q65" s="137"/>
      <c r="R65" s="137"/>
      <c r="S65" s="137"/>
      <c r="T65" s="137"/>
      <c r="U65" s="137"/>
      <c r="V65" s="137"/>
      <c r="W65" s="137"/>
      <c r="X65" s="137"/>
      <c r="Y65" s="137"/>
      <c r="Z65" s="137"/>
      <c r="AA65" s="11"/>
      <c r="AB65" s="11"/>
      <c r="AC65" s="137"/>
      <c r="AD65" s="11"/>
      <c r="AE65" s="11"/>
      <c r="AF65" s="137"/>
      <c r="AG65" s="11"/>
      <c r="AH65" s="11"/>
      <c r="AI65" s="11"/>
      <c r="AJ65" s="11"/>
      <c r="AK65" s="11"/>
      <c r="AL65" s="11"/>
      <c r="AM65" s="11"/>
      <c r="AN65" s="11"/>
      <c r="AO65" s="11"/>
      <c r="AP65" s="11"/>
    </row>
    <row r="66" spans="1:42" x14ac:dyDescent="0.35">
      <c r="A66" s="11"/>
      <c r="B66" s="11"/>
      <c r="C66" s="11"/>
      <c r="D66" s="11"/>
      <c r="E66" s="11"/>
      <c r="F66" s="11"/>
      <c r="G66" s="11"/>
      <c r="H66" s="11"/>
      <c r="I66" s="59"/>
      <c r="J66" s="59"/>
      <c r="K66" s="11"/>
      <c r="L66" s="11"/>
      <c r="M66" s="11"/>
      <c r="N66" s="137"/>
      <c r="O66" s="137"/>
      <c r="P66" s="137"/>
      <c r="Q66" s="137"/>
      <c r="R66" s="137"/>
      <c r="S66" s="137"/>
      <c r="T66" s="137"/>
      <c r="U66" s="137"/>
      <c r="V66" s="137"/>
      <c r="W66" s="137"/>
      <c r="X66" s="137"/>
      <c r="Y66" s="137"/>
      <c r="Z66" s="137"/>
      <c r="AA66" s="11"/>
      <c r="AB66" s="11"/>
      <c r="AC66" s="137"/>
      <c r="AD66" s="11"/>
      <c r="AE66" s="11"/>
      <c r="AF66" s="137"/>
      <c r="AG66" s="11"/>
      <c r="AH66" s="11"/>
      <c r="AI66" s="11"/>
      <c r="AJ66" s="11"/>
      <c r="AK66" s="11"/>
      <c r="AL66" s="11"/>
      <c r="AM66" s="11"/>
      <c r="AN66" s="11"/>
      <c r="AO66" s="11"/>
      <c r="AP66" s="11"/>
    </row>
    <row r="67" spans="1:42" x14ac:dyDescent="0.35">
      <c r="A67" s="11"/>
      <c r="B67" s="11"/>
      <c r="C67" s="11"/>
      <c r="D67" s="11"/>
      <c r="E67" s="11"/>
      <c r="F67" s="11"/>
      <c r="G67" s="11"/>
      <c r="H67" s="11"/>
      <c r="I67" s="59"/>
      <c r="J67" s="59"/>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row>
    <row r="68" spans="1:42" x14ac:dyDescent="0.35">
      <c r="A68" s="11"/>
      <c r="B68" s="11"/>
      <c r="C68" s="11"/>
      <c r="D68" s="11"/>
      <c r="E68" s="11"/>
      <c r="F68" s="11"/>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row>
    <row r="69" spans="1:42"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row>
    <row r="70" spans="1:42" x14ac:dyDescent="0.35">
      <c r="A70" s="11"/>
      <c r="B70" s="11"/>
      <c r="C70" s="11"/>
      <c r="D70" s="11"/>
      <c r="E70" s="11"/>
      <c r="F70" s="11"/>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row>
    <row r="71" spans="1:42" x14ac:dyDescent="0.35">
      <c r="A71" s="11"/>
      <c r="B71" s="11"/>
      <c r="C71" s="11"/>
      <c r="D71" s="11"/>
      <c r="E71" s="11"/>
      <c r="F71" s="11"/>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row>
    <row r="72" spans="1:42" x14ac:dyDescent="0.35">
      <c r="A72" s="11"/>
      <c r="B72" s="11"/>
      <c r="C72" s="11"/>
      <c r="D72" s="11"/>
      <c r="E72" s="11"/>
      <c r="F72" s="11"/>
      <c r="G72" s="76"/>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row>
    <row r="73" spans="1:42" x14ac:dyDescent="0.35">
      <c r="A73" s="11"/>
      <c r="B73" s="11"/>
      <c r="C73" s="11"/>
      <c r="D73" s="11"/>
      <c r="E73" s="11"/>
      <c r="F73" s="11"/>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row>
    <row r="74" spans="1:42" x14ac:dyDescent="0.35">
      <c r="A74" s="11"/>
      <c r="B74" s="11"/>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row>
    <row r="75" spans="1:42" x14ac:dyDescent="0.35">
      <c r="A75" s="11"/>
      <c r="B75" s="11"/>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row>
    <row r="76" spans="1:42" x14ac:dyDescent="0.35">
      <c r="A76" s="11"/>
      <c r="B76" s="11"/>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row>
    <row r="77" spans="1:42" x14ac:dyDescent="0.35">
      <c r="A77" s="11"/>
      <c r="B77" s="11"/>
      <c r="C77" s="11"/>
      <c r="D77" s="11"/>
      <c r="E77" s="11"/>
      <c r="F77" s="11"/>
      <c r="G77" s="76"/>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row>
    <row r="78" spans="1:42"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row>
    <row r="79" spans="1:42" x14ac:dyDescent="0.35">
      <c r="A79" s="11"/>
      <c r="B79" s="11"/>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row>
    <row r="80" spans="1:42" x14ac:dyDescent="0.35">
      <c r="A80" s="1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row>
    <row r="81" spans="1:42"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row>
    <row r="82" spans="1:42"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row>
    <row r="83" spans="1:42" x14ac:dyDescent="0.3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row>
    <row r="84" spans="1:42" x14ac:dyDescent="0.35">
      <c r="A84" s="11"/>
      <c r="B84" s="11"/>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row>
    <row r="85" spans="1:42" x14ac:dyDescent="0.35">
      <c r="A85" s="11"/>
      <c r="B85" s="11"/>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row>
    <row r="86" spans="1:42" x14ac:dyDescent="0.35">
      <c r="A86" s="11"/>
      <c r="B86" s="11"/>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row>
    <row r="87" spans="1:42" x14ac:dyDescent="0.35">
      <c r="A87" s="11"/>
      <c r="B87" s="11"/>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row>
    <row r="88" spans="1:42" x14ac:dyDescent="0.35">
      <c r="A88" s="11"/>
      <c r="B88" s="11"/>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row>
    <row r="89" spans="1:42" x14ac:dyDescent="0.35">
      <c r="A89" s="11"/>
      <c r="B89" s="11"/>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row>
    <row r="90" spans="1:42" x14ac:dyDescent="0.35">
      <c r="A90" s="11"/>
      <c r="B90" s="11"/>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row>
    <row r="91" spans="1:42"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row>
    <row r="92" spans="1:42" x14ac:dyDescent="0.35">
      <c r="A92" s="11"/>
      <c r="B92" s="11"/>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row>
    <row r="93" spans="1:42" x14ac:dyDescent="0.35">
      <c r="A93" s="11"/>
      <c r="B93" s="11"/>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row>
    <row r="94" spans="1:42" x14ac:dyDescent="0.35">
      <c r="A94" s="11"/>
      <c r="B94" s="11"/>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row>
    <row r="95" spans="1:42" x14ac:dyDescent="0.35">
      <c r="A95" s="11"/>
      <c r="B95" s="11"/>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row>
    <row r="96" spans="1:42" x14ac:dyDescent="0.35">
      <c r="A96" s="11"/>
      <c r="B96" s="11"/>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row>
    <row r="97" spans="1:42" x14ac:dyDescent="0.35">
      <c r="A97" s="11"/>
      <c r="B97" s="11"/>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row>
    <row r="98" spans="1:42" x14ac:dyDescent="0.35">
      <c r="A98" s="11"/>
      <c r="B98" s="11"/>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row>
    <row r="99" spans="1:42" x14ac:dyDescent="0.35">
      <c r="A99" s="11"/>
      <c r="B99" s="11"/>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row>
    <row r="100" spans="1:42" x14ac:dyDescent="0.3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row>
    <row r="101" spans="1:42"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row>
    <row r="102" spans="1:42"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row>
    <row r="103" spans="1:42"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row>
    <row r="104" spans="1:42" x14ac:dyDescent="0.35">
      <c r="A104" s="11"/>
      <c r="B104" s="11"/>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row>
    <row r="105" spans="1:42" x14ac:dyDescent="0.3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row>
    <row r="106" spans="1:42" x14ac:dyDescent="0.3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row>
    <row r="107" spans="1:42" x14ac:dyDescent="0.35">
      <c r="A107" s="11"/>
      <c r="B107" s="11"/>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row>
    <row r="108" spans="1:42" x14ac:dyDescent="0.35">
      <c r="A108" s="11"/>
      <c r="B108" s="11"/>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row>
    <row r="109" spans="1:42" x14ac:dyDescent="0.35">
      <c r="A109" s="11"/>
      <c r="B109" s="11"/>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row>
    <row r="110" spans="1:42"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row>
    <row r="111" spans="1:42" x14ac:dyDescent="0.3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row>
    <row r="112" spans="1:42"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row>
    <row r="113" spans="1:42"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row>
    <row r="114" spans="1:42"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row>
    <row r="115" spans="1:42" x14ac:dyDescent="0.3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row>
    <row r="116" spans="1:42" x14ac:dyDescent="0.35">
      <c r="A116" s="11"/>
      <c r="B116" s="11"/>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row>
    <row r="117" spans="1:42" x14ac:dyDescent="0.35">
      <c r="A117" s="11"/>
      <c r="B117" s="11"/>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row>
    <row r="118" spans="1:42" x14ac:dyDescent="0.35">
      <c r="A118" s="11"/>
      <c r="B118" s="11"/>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row>
    <row r="119" spans="1:42" x14ac:dyDescent="0.35">
      <c r="A119" s="11"/>
      <c r="B119" s="11"/>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row>
    <row r="120" spans="1:42" x14ac:dyDescent="0.3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row>
    <row r="121" spans="1:42" x14ac:dyDescent="0.3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row>
    <row r="122" spans="1:42"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row>
    <row r="123" spans="1:42"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row>
    <row r="124" spans="1:42" x14ac:dyDescent="0.35">
      <c r="A124" s="11"/>
      <c r="B124" s="11"/>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row>
    <row r="125" spans="1:42" x14ac:dyDescent="0.35">
      <c r="A125" s="11"/>
      <c r="B125" s="11"/>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row>
    <row r="126" spans="1:42" x14ac:dyDescent="0.35">
      <c r="A126" s="11"/>
      <c r="B126" s="11"/>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row>
    <row r="127" spans="1:42" x14ac:dyDescent="0.35">
      <c r="A127" s="11"/>
      <c r="B127" s="11"/>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row>
    <row r="128" spans="1:42" x14ac:dyDescent="0.35">
      <c r="A128" s="11"/>
      <c r="B128" s="11"/>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row>
    <row r="129" spans="1:42" x14ac:dyDescent="0.35">
      <c r="A129" s="11"/>
      <c r="B129" s="11"/>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row>
    <row r="130" spans="1:42" x14ac:dyDescent="0.35">
      <c r="A130" s="11"/>
      <c r="B130" s="11"/>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row>
    <row r="131" spans="1:42" x14ac:dyDescent="0.3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row>
    <row r="132" spans="1:42" x14ac:dyDescent="0.35">
      <c r="A132" s="11"/>
      <c r="B132" s="11"/>
      <c r="C132" s="11"/>
      <c r="D132" s="11"/>
      <c r="E132" s="11"/>
      <c r="F132" s="11"/>
      <c r="G132" s="11"/>
      <c r="H132" s="11"/>
      <c r="I132" s="267"/>
      <c r="J132" s="11"/>
      <c r="K132" s="267"/>
      <c r="L132" s="267"/>
      <c r="M132" s="11"/>
      <c r="N132" s="267"/>
      <c r="O132" s="267"/>
      <c r="P132" s="267"/>
      <c r="Q132" s="267"/>
      <c r="R132" s="267"/>
      <c r="S132" s="267"/>
      <c r="T132" s="267"/>
      <c r="U132" s="267"/>
      <c r="V132" s="267"/>
      <c r="W132" s="267"/>
      <c r="X132" s="267"/>
      <c r="Y132" s="267"/>
      <c r="Z132" s="267"/>
      <c r="AA132" s="11"/>
      <c r="AB132" s="11"/>
      <c r="AC132" s="267"/>
      <c r="AD132" s="11"/>
      <c r="AE132" s="267"/>
      <c r="AF132" s="11"/>
      <c r="AG132" s="267"/>
      <c r="AH132" s="11"/>
      <c r="AI132" s="11"/>
      <c r="AJ132" s="11"/>
      <c r="AK132" s="11"/>
      <c r="AL132" s="11"/>
      <c r="AM132" s="11"/>
      <c r="AN132" s="11"/>
      <c r="AO132" s="11"/>
      <c r="AP132" s="11"/>
    </row>
    <row r="133" spans="1:42"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row>
    <row r="134" spans="1:42"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row>
    <row r="135" spans="1:42" x14ac:dyDescent="0.3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row>
    <row r="136" spans="1:42" x14ac:dyDescent="0.35">
      <c r="A136" s="11"/>
      <c r="B136" s="11"/>
      <c r="C136" s="11"/>
      <c r="D136" s="11"/>
      <c r="E136" s="11"/>
      <c r="F136" s="11"/>
      <c r="G136" s="11"/>
      <c r="H136" s="11"/>
      <c r="I136" s="267"/>
      <c r="J136" s="11"/>
      <c r="K136" s="267"/>
      <c r="L136" s="267"/>
      <c r="M136" s="11"/>
      <c r="N136" s="267"/>
      <c r="O136" s="267"/>
      <c r="P136" s="267"/>
      <c r="Q136" s="267"/>
      <c r="R136" s="267"/>
      <c r="S136" s="267"/>
      <c r="T136" s="267"/>
      <c r="U136" s="267"/>
      <c r="V136" s="267"/>
      <c r="W136" s="267"/>
      <c r="X136" s="267"/>
      <c r="Y136" s="267"/>
      <c r="Z136" s="267"/>
      <c r="AA136" s="11"/>
      <c r="AB136" s="11"/>
      <c r="AC136" s="267"/>
      <c r="AD136" s="11"/>
      <c r="AE136" s="267"/>
      <c r="AF136" s="11"/>
      <c r="AG136" s="267"/>
      <c r="AH136" s="11"/>
      <c r="AI136" s="11"/>
      <c r="AJ136" s="11"/>
      <c r="AK136" s="11"/>
      <c r="AL136" s="11"/>
      <c r="AM136" s="11"/>
      <c r="AN136" s="11"/>
      <c r="AO136" s="11"/>
      <c r="AP136" s="11"/>
    </row>
    <row r="137" spans="1:42"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row>
    <row r="138" spans="1:42"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row>
    <row r="139" spans="1:42"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row>
    <row r="140" spans="1:42"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row>
    <row r="141" spans="1:42"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row>
    <row r="142" spans="1:42"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row>
    <row r="143" spans="1:42"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row>
    <row r="144" spans="1:42" x14ac:dyDescent="0.35">
      <c r="A144" s="11"/>
      <c r="B144" s="11"/>
      <c r="C144" s="11"/>
      <c r="D144" s="11"/>
      <c r="E144" s="267"/>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row>
    <row r="145" spans="1:42"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row>
    <row r="146" spans="1:42"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row>
    <row r="147" spans="1:42"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row>
    <row r="148" spans="1:42" x14ac:dyDescent="0.35">
      <c r="A148" s="11"/>
      <c r="B148" s="11"/>
      <c r="C148" s="11"/>
      <c r="D148" s="11"/>
      <c r="E148" s="267"/>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row>
    <row r="149" spans="1:42"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row>
    <row r="150" spans="1:42"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row>
    <row r="151" spans="1:42"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row>
    <row r="152" spans="1:42"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row>
    <row r="153" spans="1:42"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row>
    <row r="154" spans="1:42"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row>
    <row r="155" spans="1:42"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row>
    <row r="156" spans="1:42" x14ac:dyDescent="0.35">
      <c r="A156" s="11"/>
      <c r="B156" s="11"/>
      <c r="C156" s="11"/>
      <c r="D156" s="11"/>
      <c r="E156" s="11"/>
      <c r="F156" s="11"/>
      <c r="G156" s="267"/>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row>
    <row r="157" spans="1:42"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row>
    <row r="158" spans="1:42"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row>
    <row r="159" spans="1:42"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row>
    <row r="160" spans="1:42" x14ac:dyDescent="0.35">
      <c r="A160" s="11"/>
      <c r="B160" s="11"/>
      <c r="C160" s="11"/>
      <c r="D160" s="11"/>
      <c r="E160" s="11"/>
      <c r="F160" s="11"/>
      <c r="G160" s="267"/>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row>
  </sheetData>
  <sheetProtection algorithmName="SHA-512" hashValue="Kch+oO6zesxxVm1VlzZ7Q1v7u+OLxbBRsseDvMeqlHNgP01FIxJObAxTwItw+qDkBYX1o306lTmH67RZFGknJw==" saltValue="1xUj1ecZLKcR7Clc05HTEQ==" spinCount="100000" sheet="1" scenarios="1"/>
  <mergeCells count="2">
    <mergeCell ref="AC31:AD31"/>
    <mergeCell ref="AF31:AG31"/>
  </mergeCells>
  <dataValidations disablePrompts="1" count="2">
    <dataValidation type="list" allowBlank="1" sqref="B28:C28" xr:uid="{00000000-0002-0000-1E00-000000000000}">
      <formula1>"ACCOUNT,BUSINESSUNIT,CATEGORY,DATASRC,DEPARTMENT,INTCO,MEASURES,RPTCURRENCY,TIME"</formula1>
    </dataValidation>
    <dataValidation type="list" allowBlank="1" sqref="B29:C29" xr:uid="{00000000-0002-0000-1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3016" r:id="rId7" name="FPMExcelClientSheetOptionstb1">
          <controlPr defaultSize="0" autoLine="0" r:id="rId8">
            <anchor moveWithCells="1" sizeWithCells="1">
              <from>
                <xdr:col>0</xdr:col>
                <xdr:colOff>0</xdr:colOff>
                <xdr:row>0</xdr:row>
                <xdr:rowOff>0</xdr:rowOff>
              </from>
              <to>
                <xdr:col>12</xdr:col>
                <xdr:colOff>908050</xdr:colOff>
                <xdr:row>0</xdr:row>
                <xdr:rowOff>0</xdr:rowOff>
              </to>
            </anchor>
          </controlPr>
        </control>
      </mc:Choice>
      <mc:Fallback>
        <control shapeId="43016" r:id="rId7" name="FPMExcelClientSheetOptionstb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365</v>
      </c>
      <c r="C6" s="11" t="str">
        <f>IF(_epmOfflineCondition_,"Guest Communications",_xll.EVDES(B6,$B$1))</f>
        <v>Guest Communications</v>
      </c>
      <c r="D6" s="11"/>
      <c r="E6" s="58" t="str">
        <f>IF(_epmOfflineCondition_,"D1131",_xll.EVPRO($B$1,$B$6,$F$6))</f>
        <v>D1131</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row>
    <row r="14" spans="1:35"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row>
    <row r="17" spans="1:35" hidden="1" outlineLevel="1" x14ac:dyDescent="0.35">
      <c r="A17" s="65" t="s">
        <v>2</v>
      </c>
      <c r="B17" s="66" t="str">
        <f>IF(_epmOfflineCondition_,"'Telcom_Legacy'!$B$2:$B$10",_xll.EVRNG($B$2:$B$10))</f>
        <v>'Telcom_Legacy'!$B$2:$B$10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IF(_epmOfflineCondition_,"'Telcom_Legacy'!$O$16:$AI$18",_xll.EVRNG(O16:AI18))</f>
        <v>'Telcom_Legacy'!$O$16:$AI$18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IF(_epmOfflineCondition_,"'Telcom_Legacy'!$H$34:$H$39",_xll.EVRNG(H34:H39))</f>
        <v>'Telcom_Legacy'!$H$34:$H$39</v>
      </c>
      <c r="C19" s="11"/>
      <c r="D19" s="11"/>
      <c r="E19" s="11"/>
      <c r="F19" s="11"/>
      <c r="G19" s="67" t="str">
        <f>$B$6</f>
        <v>D_TELCOM</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t="str">
        <f>IF(_epmOfflineCondition_,"'Telcom_Legacy'!$A$36:$F$40",_xll.EVRNG(A36:F40))</f>
        <v>'Telcom_Legacy'!$A$36:$F$40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IF(_epmOfflineCondition_,"'Telcom_Legacy'!$A$117:$B$138",_xll.EVRNG($A$117:$B$138))</f>
        <v>'Telcom_Legacy'!$A$117:$B$138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IF(_epmOfflineCondition_,"Guest Communications Department",IF(_xll.EVDES(B6,$B$1)="#NODATA","",_xll.EVDES(B6,$B$1)&amp;" Department"))</f>
        <v>Guest Communications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tr">
        <f>"DEP(410000) AND "&amp;$E$6&amp;"=Y,400000"</f>
        <v>DEP(410000) AND D1131=Y,400000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row>
    <row r="32" spans="1:35"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88" t="s">
        <v>656</v>
      </c>
      <c r="I34" s="122" t="str">
        <f>IF(_epmOfflineCondition_,"N",_xll.EVPRO($B$1,$H34,"STYLE"))</f>
        <v>N</v>
      </c>
      <c r="J34" s="122" t="str">
        <f>IF(_epmOfflineCondition_,"N",_xll.EVPRO($B$1,$H34,"CALC"))</f>
        <v>N</v>
      </c>
      <c r="K34" s="179" t="str">
        <f t="shared" ref="K34:K39" si="0">IF(AND(I34&gt;="T5"),"&gt;","")</f>
        <v/>
      </c>
      <c r="L34" s="90" t="str">
        <f>IF(_epmOfflineCondition_,"410100",_xll.EVPRO($B$1,H34,"JDEID"))</f>
        <v>410100</v>
      </c>
      <c r="M34" s="90" t="str">
        <f>IF(_epmOfflineCondition_,"204010",IF(AND(I34="N",J34="N"),_xll.EVPRO($B$1,H34,"PSFTID"),""))</f>
        <v>204010</v>
      </c>
      <c r="N34" s="90" t="str">
        <f>IF(_epmOfflineCondition_,"Local Call Revenue",IF(_xll.EVDES(H34,$B$1)="#NODATA","",_xll.EVDES(H34,$B$1)))</f>
        <v>Local Call Revenue</v>
      </c>
      <c r="O34" s="435"/>
      <c r="P34" s="250"/>
      <c r="Q34" s="250"/>
      <c r="R34" s="250"/>
      <c r="S34" s="250"/>
      <c r="T34" s="250"/>
      <c r="U34" s="250"/>
      <c r="V34" s="250"/>
      <c r="W34" s="250"/>
      <c r="X34" s="250"/>
      <c r="Y34" s="250"/>
      <c r="Z34" s="250"/>
      <c r="AA34" s="250">
        <f t="shared" ref="AA34:AA39" si="1">IF($I34="B1","",SUM(O34:Z34))</f>
        <v>0</v>
      </c>
      <c r="AB34" s="436" t="str">
        <f t="shared" ref="AB34:AB39" si="2">IF(AA34=0,"",IFERROR(AA34/AA$19,""))</f>
        <v/>
      </c>
      <c r="AC34" s="528"/>
      <c r="AD34" s="250"/>
      <c r="AE34" s="436" t="str">
        <f t="shared" ref="AE34:AE39" si="3">IF(AD34=0,"",IFERROR(AD34/AD$19,""))</f>
        <v/>
      </c>
      <c r="AF34" s="438">
        <f t="shared" ref="AF34:AF39" si="4">IF(AND($AA34="",AD34=""),"",$AA34-AD34)</f>
        <v>0</v>
      </c>
      <c r="AG34" s="250"/>
      <c r="AH34" s="436" t="str">
        <f t="shared" ref="AH34:AH39" si="5">IF(AG34=0,"",IFERROR(AG34/AG$19,""))</f>
        <v/>
      </c>
      <c r="AI34" s="439">
        <f t="shared" ref="AI34:AI39" si="6">IF(AND($AA34="",AG34=""),"",$AA34-AG34)</f>
        <v>0</v>
      </c>
    </row>
    <row r="35" spans="1:35" x14ac:dyDescent="0.35">
      <c r="A35" s="97" t="s">
        <v>92</v>
      </c>
      <c r="B35" s="98" t="s">
        <v>93</v>
      </c>
      <c r="C35" s="98" t="s">
        <v>94</v>
      </c>
      <c r="D35" s="98" t="s">
        <v>95</v>
      </c>
      <c r="E35" s="98" t="s">
        <v>96</v>
      </c>
      <c r="F35" s="99" t="s">
        <v>97</v>
      </c>
      <c r="G35" s="11"/>
      <c r="H35" s="88" t="s">
        <v>657</v>
      </c>
      <c r="I35" s="122" t="str">
        <f>IF(_epmOfflineCondition_,"N",_xll.EVPRO($B$1,$H35,"STYLE"))</f>
        <v>N</v>
      </c>
      <c r="J35" s="122" t="str">
        <f>IF(_epmOfflineCondition_,"N",_xll.EVPRO($B$1,$H35,"CALC"))</f>
        <v>N</v>
      </c>
      <c r="K35" s="179" t="str">
        <f t="shared" si="0"/>
        <v/>
      </c>
      <c r="L35" s="90" t="str">
        <f>IF(_epmOfflineCondition_,"410200",_xll.EVPRO($B$1,H35,"JDEID"))</f>
        <v>410200</v>
      </c>
      <c r="M35" s="90" t="str">
        <f>IF(_epmOfflineCondition_,"204012",IF(AND(I35="N",J35="N"),_xll.EVPRO($B$1,H35,"PSFTID"),""))</f>
        <v>204012</v>
      </c>
      <c r="N35" s="90" t="str">
        <f>IF(_epmOfflineCondition_,"Long Distance Revenue",IF(_xll.EVDES(H35,$B$1)="#NODATA","",_xll.EVDES(H35,$B$1)))</f>
        <v>Long Distance Revenue</v>
      </c>
      <c r="O35" s="435"/>
      <c r="P35" s="250"/>
      <c r="Q35" s="250"/>
      <c r="R35" s="250"/>
      <c r="S35" s="250"/>
      <c r="T35" s="250"/>
      <c r="U35" s="250"/>
      <c r="V35" s="250"/>
      <c r="W35" s="250"/>
      <c r="X35" s="250"/>
      <c r="Y35" s="250"/>
      <c r="Z35" s="250"/>
      <c r="AA35" s="250">
        <f t="shared" si="1"/>
        <v>0</v>
      </c>
      <c r="AB35" s="436" t="str">
        <f t="shared" si="2"/>
        <v/>
      </c>
      <c r="AC35" s="528"/>
      <c r="AD35" s="250"/>
      <c r="AE35" s="436" t="str">
        <f t="shared" si="3"/>
        <v/>
      </c>
      <c r="AF35" s="438">
        <f t="shared" si="4"/>
        <v>0</v>
      </c>
      <c r="AG35" s="250"/>
      <c r="AH35" s="436" t="str">
        <f t="shared" si="5"/>
        <v/>
      </c>
      <c r="AI35" s="439">
        <f t="shared" si="6"/>
        <v>0</v>
      </c>
    </row>
    <row r="36" spans="1:35" x14ac:dyDescent="0.35">
      <c r="A36" s="11"/>
      <c r="B36" s="11"/>
      <c r="C36" s="11"/>
      <c r="D36" s="11"/>
      <c r="E36" s="11"/>
      <c r="F36" s="11"/>
      <c r="G36" s="11"/>
      <c r="H36" s="88" t="s">
        <v>658</v>
      </c>
      <c r="I36" s="122" t="str">
        <f>IF(_epmOfflineCondition_,"N",_xll.EVPRO($B$1,$H36,"STYLE"))</f>
        <v>N</v>
      </c>
      <c r="J36" s="122" t="str">
        <f>IF(_epmOfflineCondition_,"N",_xll.EVPRO($B$1,$H36,"CALC"))</f>
        <v>N</v>
      </c>
      <c r="K36" s="179" t="str">
        <f t="shared" si="0"/>
        <v/>
      </c>
      <c r="L36" s="90" t="str">
        <f>IF(_epmOfflineCondition_,"410300",_xll.EVPRO($B$1,H36,"JDEID"))</f>
        <v>410300</v>
      </c>
      <c r="M36" s="90" t="str">
        <f>IF(_epmOfflineCondition_,"204019",IF(AND(I36="N",J36="N"),_xll.EVPRO($B$1,H36,"PSFTID"),""))</f>
        <v>204019</v>
      </c>
      <c r="N36" s="90" t="str">
        <f>IF(_epmOfflineCondition_,"Internet Revenue",IF(_xll.EVDES(H36,$B$1)="#NODATA","",_xll.EVDES(H36,$B$1)))</f>
        <v>Internet Revenue</v>
      </c>
      <c r="O36" s="435"/>
      <c r="P36" s="250"/>
      <c r="Q36" s="250"/>
      <c r="R36" s="250"/>
      <c r="S36" s="250"/>
      <c r="T36" s="250"/>
      <c r="U36" s="250"/>
      <c r="V36" s="250"/>
      <c r="W36" s="250"/>
      <c r="X36" s="250"/>
      <c r="Y36" s="250"/>
      <c r="Z36" s="250"/>
      <c r="AA36" s="250">
        <f t="shared" si="1"/>
        <v>0</v>
      </c>
      <c r="AB36" s="436" t="str">
        <f t="shared" si="2"/>
        <v/>
      </c>
      <c r="AC36" s="528"/>
      <c r="AD36" s="250"/>
      <c r="AE36" s="436" t="str">
        <f t="shared" si="3"/>
        <v/>
      </c>
      <c r="AF36" s="438">
        <f t="shared" si="4"/>
        <v>0</v>
      </c>
      <c r="AG36" s="250"/>
      <c r="AH36" s="436" t="str">
        <f t="shared" si="5"/>
        <v/>
      </c>
      <c r="AI36" s="439">
        <f t="shared" si="6"/>
        <v>0</v>
      </c>
    </row>
    <row r="37" spans="1:35" x14ac:dyDescent="0.35">
      <c r="A37" s="11" t="s">
        <v>209</v>
      </c>
      <c r="B37" s="11" t="s">
        <v>21</v>
      </c>
      <c r="C37" s="395"/>
      <c r="D37" s="11" t="s">
        <v>590</v>
      </c>
      <c r="E37" s="11"/>
      <c r="F37" s="11" t="s">
        <v>99</v>
      </c>
      <c r="G37" s="11"/>
      <c r="H37" s="88" t="s">
        <v>659</v>
      </c>
      <c r="I37" s="122" t="str">
        <f>IF(_epmOfflineCondition_,"N",_xll.EVPRO($B$1,$H37,"STYLE"))</f>
        <v>N</v>
      </c>
      <c r="J37" s="122" t="str">
        <f>IF(_epmOfflineCondition_,"N",_xll.EVPRO($B$1,$H37,"CALC"))</f>
        <v>N</v>
      </c>
      <c r="K37" s="179" t="str">
        <f t="shared" si="0"/>
        <v/>
      </c>
      <c r="L37" s="90" t="str">
        <f>IF(_epmOfflineCondition_,"410400",_xll.EVPRO($B$1,H37,"JDEID"))</f>
        <v>410400</v>
      </c>
      <c r="M37" s="90" t="str">
        <f>IF(_epmOfflineCondition_,"204098",IF(AND(I37="N",J37="N"),_xll.EVPRO($B$1,H37,"PSFTID"),""))</f>
        <v>204098</v>
      </c>
      <c r="N37" s="90" t="str">
        <f>IF(_epmOfflineCondition_,"Other Revenue",IF(_xll.EVDES(H37,$B$1)="#NODATA","",_xll.EVDES(H37,$B$1)))</f>
        <v>Other Revenue</v>
      </c>
      <c r="O37" s="435"/>
      <c r="P37" s="250"/>
      <c r="Q37" s="250"/>
      <c r="R37" s="250"/>
      <c r="S37" s="250"/>
      <c r="T37" s="250"/>
      <c r="U37" s="250"/>
      <c r="V37" s="250"/>
      <c r="W37" s="250"/>
      <c r="X37" s="250"/>
      <c r="Y37" s="250"/>
      <c r="Z37" s="250"/>
      <c r="AA37" s="250">
        <f t="shared" si="1"/>
        <v>0</v>
      </c>
      <c r="AB37" s="436" t="str">
        <f t="shared" si="2"/>
        <v/>
      </c>
      <c r="AC37" s="528"/>
      <c r="AD37" s="250"/>
      <c r="AE37" s="436" t="str">
        <f t="shared" si="3"/>
        <v/>
      </c>
      <c r="AF37" s="438">
        <f t="shared" si="4"/>
        <v>0</v>
      </c>
      <c r="AG37" s="250"/>
      <c r="AH37" s="436" t="str">
        <f t="shared" si="5"/>
        <v/>
      </c>
      <c r="AI37" s="439">
        <f t="shared" si="6"/>
        <v>0</v>
      </c>
    </row>
    <row r="38" spans="1:35" x14ac:dyDescent="0.35">
      <c r="A38" s="11" t="s">
        <v>105</v>
      </c>
      <c r="B38" s="11"/>
      <c r="C38" s="104" t="s">
        <v>101</v>
      </c>
      <c r="D38" s="11" t="s">
        <v>106</v>
      </c>
      <c r="E38" s="11"/>
      <c r="F38" s="11" t="s">
        <v>98</v>
      </c>
      <c r="G38" s="11"/>
      <c r="H38" s="88" t="s">
        <v>660</v>
      </c>
      <c r="I38" s="122" t="str">
        <f>IF(_epmOfflineCondition_,"N",_xll.EVPRO($B$1,$H38,"STYLE"))</f>
        <v>N</v>
      </c>
      <c r="J38" s="122" t="str">
        <f>IF(_epmOfflineCondition_,"N",_xll.EVPRO($B$1,$H38,"CALC"))</f>
        <v>N</v>
      </c>
      <c r="K38" s="179" t="str">
        <f t="shared" si="0"/>
        <v/>
      </c>
      <c r="L38" s="90" t="str">
        <f>IF(_epmOfflineCondition_,"410500",_xll.EVPRO($B$1,H38,"JDEID"))</f>
        <v>410500</v>
      </c>
      <c r="M38" s="90" t="str">
        <f>IF(_epmOfflineCondition_,"200529",IF(AND(I38="N",J38="N"),_xll.EVPRO($B$1,H38,"PSFTID"),""))</f>
        <v>200529</v>
      </c>
      <c r="N38" s="90" t="str">
        <f>IF(_epmOfflineCondition_,"Guest Comm: Allowances",IF(_xll.EVDES(H38,$B$1)="#NODATA","",_xll.EVDES(H38,$B$1)))</f>
        <v>Guest Comm: Allowances</v>
      </c>
      <c r="O38" s="445"/>
      <c r="P38" s="251"/>
      <c r="Q38" s="251"/>
      <c r="R38" s="251"/>
      <c r="S38" s="251"/>
      <c r="T38" s="251"/>
      <c r="U38" s="251"/>
      <c r="V38" s="251"/>
      <c r="W38" s="251"/>
      <c r="X38" s="251"/>
      <c r="Y38" s="251"/>
      <c r="Z38" s="251"/>
      <c r="AA38" s="251">
        <f t="shared" si="1"/>
        <v>0</v>
      </c>
      <c r="AB38" s="446" t="str">
        <f t="shared" si="2"/>
        <v/>
      </c>
      <c r="AC38" s="437"/>
      <c r="AD38" s="251"/>
      <c r="AE38" s="446" t="str">
        <f t="shared" si="3"/>
        <v/>
      </c>
      <c r="AF38" s="447">
        <f t="shared" si="4"/>
        <v>0</v>
      </c>
      <c r="AG38" s="251"/>
      <c r="AH38" s="446" t="str">
        <f t="shared" si="5"/>
        <v/>
      </c>
      <c r="AI38" s="448">
        <f t="shared" si="6"/>
        <v>0</v>
      </c>
    </row>
    <row r="39" spans="1:35" x14ac:dyDescent="0.35">
      <c r="A39" s="11" t="s">
        <v>108</v>
      </c>
      <c r="B39" s="11"/>
      <c r="C39" s="106" t="s">
        <v>101</v>
      </c>
      <c r="D39" s="11" t="s">
        <v>106</v>
      </c>
      <c r="E39" s="11"/>
      <c r="F39" s="11" t="s">
        <v>98</v>
      </c>
      <c r="G39" s="11"/>
      <c r="H39" s="88" t="s">
        <v>280</v>
      </c>
      <c r="I39" s="188" t="str">
        <f>IF(_epmOfflineCondition_,"T3",_xll.EVPRO($B$1,$H39,"STYLE"))</f>
        <v>T3</v>
      </c>
      <c r="J39" s="188" t="str">
        <f>IF(_epmOfflineCondition_,"Y",_xll.EVPRO($B$1,$H39,"CALC"))</f>
        <v>Y</v>
      </c>
      <c r="K39" s="189" t="str">
        <f t="shared" si="0"/>
        <v/>
      </c>
      <c r="L39" s="190" t="str">
        <f>IF(_epmOfflineCondition_,"400000",_xll.EVPRO($B$1,H39,"JDEID"))</f>
        <v>400000</v>
      </c>
      <c r="M39" s="190" t="str">
        <f>IF(_epmOfflineCondition_,"",IF(AND(I39="N",J39="N"),_xll.EVPRO($B$1,H39,"PSFTID"),""))</f>
        <v/>
      </c>
      <c r="N39" s="190" t="str">
        <f>IF(_epmOfflineCondition_,"Total Revenue",IF(_xll.EVDES(H39,$B$1)="#NODATA","",_xll.EVDES(H39,$B$1)))</f>
        <v>Total Revenue</v>
      </c>
      <c r="O39" s="454"/>
      <c r="P39" s="225"/>
      <c r="Q39" s="225"/>
      <c r="R39" s="225"/>
      <c r="S39" s="225"/>
      <c r="T39" s="225"/>
      <c r="U39" s="225"/>
      <c r="V39" s="225"/>
      <c r="W39" s="225"/>
      <c r="X39" s="225"/>
      <c r="Y39" s="225"/>
      <c r="Z39" s="225"/>
      <c r="AA39" s="225">
        <f t="shared" si="1"/>
        <v>0</v>
      </c>
      <c r="AB39" s="226" t="str">
        <f t="shared" si="2"/>
        <v/>
      </c>
      <c r="AC39" s="227"/>
      <c r="AD39" s="225"/>
      <c r="AE39" s="226" t="str">
        <f t="shared" si="3"/>
        <v/>
      </c>
      <c r="AF39" s="228">
        <f t="shared" si="4"/>
        <v>0</v>
      </c>
      <c r="AG39" s="225"/>
      <c r="AH39" s="226" t="str">
        <f t="shared" si="5"/>
        <v/>
      </c>
      <c r="AI39" s="455">
        <f t="shared" si="6"/>
        <v>0</v>
      </c>
    </row>
    <row r="40" spans="1:35" x14ac:dyDescent="0.35">
      <c r="A40" s="11" t="s">
        <v>108</v>
      </c>
      <c r="B40" s="11"/>
      <c r="C40" s="196" t="s">
        <v>101</v>
      </c>
      <c r="D40" s="11" t="s">
        <v>107</v>
      </c>
      <c r="E40" s="11"/>
      <c r="F40" s="11" t="s">
        <v>99</v>
      </c>
      <c r="G40" s="11"/>
      <c r="H40" s="11"/>
      <c r="I40" s="59"/>
      <c r="J40" s="59"/>
      <c r="K40" s="11"/>
      <c r="L40" s="11"/>
      <c r="M40" s="11"/>
      <c r="N40" s="11"/>
      <c r="O40" s="203"/>
      <c r="P40" s="204"/>
      <c r="Q40" s="204"/>
      <c r="R40" s="204"/>
      <c r="S40" s="204"/>
      <c r="T40" s="204"/>
      <c r="U40" s="204"/>
      <c r="V40" s="204"/>
      <c r="W40" s="204"/>
      <c r="X40" s="204"/>
      <c r="Y40" s="204"/>
      <c r="Z40" s="204"/>
      <c r="AA40" s="204"/>
      <c r="AB40" s="118"/>
      <c r="AC40" s="11"/>
      <c r="AD40" s="203"/>
      <c r="AE40" s="204"/>
      <c r="AF40" s="118"/>
      <c r="AG40" s="203"/>
      <c r="AH40" s="204"/>
      <c r="AI40" s="118"/>
    </row>
    <row r="41" spans="1:35" x14ac:dyDescent="0.35">
      <c r="A41" s="11"/>
      <c r="B41" s="11"/>
      <c r="C41" s="11"/>
      <c r="D41" s="11"/>
      <c r="E41" s="11"/>
      <c r="F41" s="11"/>
      <c r="G41" s="11"/>
      <c r="H41" s="11" t="s">
        <v>281</v>
      </c>
      <c r="I41" s="59" t="str">
        <f>IF(_epmOfflineCondition_,"B1",_xll.EVPRO($B$1,$H41,"STYLE"))</f>
        <v>B1</v>
      </c>
      <c r="J41" s="59" t="str">
        <f>IF(_epmOfflineCondition_,"Y",_xll.EVPRO($B$1,$H41,"CALC"))</f>
        <v>Y</v>
      </c>
      <c r="K41" s="11"/>
      <c r="L41" s="11"/>
      <c r="M41" s="11"/>
      <c r="N41" s="105" t="str">
        <f>IF(_epmOfflineCondition_,"Cost of Sales",IF(_xll.EVDES(H41,$B$1)="#NODATA","",_xll.EVDES(H41,$B$1)))</f>
        <v>Cost of Sales</v>
      </c>
      <c r="O41" s="203"/>
      <c r="P41" s="204"/>
      <c r="Q41" s="204"/>
      <c r="R41" s="204"/>
      <c r="S41" s="204"/>
      <c r="T41" s="204"/>
      <c r="U41" s="204"/>
      <c r="V41" s="204"/>
      <c r="W41" s="204"/>
      <c r="X41" s="204"/>
      <c r="Y41" s="204"/>
      <c r="Z41" s="204"/>
      <c r="AA41" s="204"/>
      <c r="AB41" s="118"/>
      <c r="AC41" s="11"/>
      <c r="AD41" s="203"/>
      <c r="AE41" s="204"/>
      <c r="AF41" s="118"/>
      <c r="AG41" s="203"/>
      <c r="AH41" s="204"/>
      <c r="AI41" s="118"/>
    </row>
    <row r="42" spans="1:35" x14ac:dyDescent="0.35">
      <c r="A42" s="11"/>
      <c r="B42" s="11"/>
      <c r="C42" s="11"/>
      <c r="D42" s="11"/>
      <c r="E42" s="11"/>
      <c r="F42" s="11"/>
      <c r="G42" s="11"/>
      <c r="H42" s="88" t="s">
        <v>661</v>
      </c>
      <c r="I42" s="122" t="str">
        <f>IF(_epmOfflineCondition_,"N",_xll.EVPRO($B$1,$H42,"STYLE"))</f>
        <v>N</v>
      </c>
      <c r="J42" s="122" t="str">
        <f>IF(_epmOfflineCondition_,"N",_xll.EVPRO($B$1,$H42,"CALC"))</f>
        <v>N</v>
      </c>
      <c r="K42" s="179" t="str">
        <f t="shared" ref="K42:K48" si="7">IF(AND(I42&gt;="T5"),"&gt;","")</f>
        <v/>
      </c>
      <c r="L42" s="90" t="str">
        <f>IF(_epmOfflineCondition_,"510100",_xll.EVPRO($B$1,H42,"JDEID"))</f>
        <v>510100</v>
      </c>
      <c r="M42" s="90" t="str">
        <f>IF(_epmOfflineCondition_,"304014",IF(AND(I42="N",J42="N"),_xll.EVPRO($B$1,H42,"PSFTID"),""))</f>
        <v>304014</v>
      </c>
      <c r="N42" s="90" t="str">
        <f>IF(_epmOfflineCondition_,"Cost of Local Calls",IF(_xll.EVDES(H42,$B$1)="#NODATA","",_xll.EVDES(H42,$B$1)))</f>
        <v>Cost of Local Calls</v>
      </c>
      <c r="O42" s="435"/>
      <c r="P42" s="250"/>
      <c r="Q42" s="250"/>
      <c r="R42" s="250"/>
      <c r="S42" s="250"/>
      <c r="T42" s="250"/>
      <c r="U42" s="250"/>
      <c r="V42" s="250"/>
      <c r="W42" s="250"/>
      <c r="X42" s="250"/>
      <c r="Y42" s="250"/>
      <c r="Z42" s="250"/>
      <c r="AA42" s="250">
        <f>IF($I42="B1","",SUM(O42:Z42))</f>
        <v>0</v>
      </c>
      <c r="AB42" s="436" t="str">
        <f>IF(_epmOfflineCondition_,"",IF(AA42=0,"",IFERROR(AA42/_xll.EVGTS($B$1,1,_xll.EVPRO($B$1,$H42,"COSBASIS"),$B$3,$B$5,$B$6,$B$7,$B$9,AA$16,AA$17,AA$11),"")))</f>
        <v/>
      </c>
      <c r="AC42" s="528"/>
      <c r="AD42" s="250"/>
      <c r="AE42" s="436" t="str">
        <f>IF(_epmOfflineCondition_,"",IF(AD42=0,"",IFERROR(AD42/_xll.EVGTS($B$1,1,_xll.EVPRO($B$1,$H42,"COSBASIS"),$B$3,$B$5,$B$6,$B$7,$B$9,AD$16,AD$17,AD$18),"")))</f>
        <v/>
      </c>
      <c r="AF42" s="438">
        <f t="shared" ref="AF42:AF48" si="8">IF(AND($AA42="",AD42=""),"",$AA42-AD42)</f>
        <v>0</v>
      </c>
      <c r="AG42" s="250"/>
      <c r="AH42" s="436" t="str">
        <f>IF(_epmOfflineCondition_,"",IF(AG42=0,"",IFERROR(AG42/_xll.EVGTS($B$1,1,_xll.EVPRO($B$1,$H42,"COSBASIS"),$B$3,$B$5,$B$6,$B$7,$B$9,AG$16,AG$17,AG$18),"")))</f>
        <v/>
      </c>
      <c r="AI42" s="439">
        <f t="shared" ref="AI42:AI48" si="9">IF(AND($AA42="",AG42=""),"",$AA42-AG42)</f>
        <v>0</v>
      </c>
    </row>
    <row r="43" spans="1:35" x14ac:dyDescent="0.35">
      <c r="A43" s="61" t="str">
        <f>IF(_epmOfflineCondition_,"Evdre:Ok",_xll.EVDRE($B$1,A46:B53,A56:B62))</f>
        <v>Evdre:Ok</v>
      </c>
      <c r="B43" s="11"/>
      <c r="C43" s="11"/>
      <c r="D43" s="11"/>
      <c r="E43" s="11"/>
      <c r="F43" s="11"/>
      <c r="G43" s="11"/>
      <c r="H43" s="88" t="s">
        <v>662</v>
      </c>
      <c r="I43" s="122" t="str">
        <f>IF(_epmOfflineCondition_,"N",_xll.EVPRO($B$1,$H43,"STYLE"))</f>
        <v>N</v>
      </c>
      <c r="J43" s="122" t="str">
        <f>IF(_epmOfflineCondition_,"N",_xll.EVPRO($B$1,$H43,"CALC"))</f>
        <v>N</v>
      </c>
      <c r="K43" s="179" t="str">
        <f t="shared" si="7"/>
        <v/>
      </c>
      <c r="L43" s="90" t="str">
        <f>IF(_epmOfflineCondition_,"510200",_xll.EVPRO($B$1,H43,"JDEID"))</f>
        <v>510200</v>
      </c>
      <c r="M43" s="90" t="str">
        <f>IF(_epmOfflineCondition_,"304010",IF(AND(I43="N",J43="N"),_xll.EVPRO($B$1,H43,"PSFTID"),""))</f>
        <v>304010</v>
      </c>
      <c r="N43" s="90" t="str">
        <f>IF(_epmOfflineCondition_,"Cost of Long Distance Calls",IF(_xll.EVDES(H43,$B$1)="#NODATA","",_xll.EVDES(H43,$B$1)))</f>
        <v>Cost of Long Distance Calls</v>
      </c>
      <c r="O43" s="435"/>
      <c r="P43" s="250"/>
      <c r="Q43" s="250"/>
      <c r="R43" s="250"/>
      <c r="S43" s="250"/>
      <c r="T43" s="250"/>
      <c r="U43" s="250"/>
      <c r="V43" s="250"/>
      <c r="W43" s="250"/>
      <c r="X43" s="250"/>
      <c r="Y43" s="250"/>
      <c r="Z43" s="250"/>
      <c r="AA43" s="250">
        <f>IF($I43="B1","",SUM(O43:Z43))</f>
        <v>0</v>
      </c>
      <c r="AB43" s="436" t="str">
        <f>IF(_epmOfflineCondition_,"",IF(AA43=0,"",IFERROR(AA43/_xll.EVGTS($B$1,1,_xll.EVPRO($B$1,$H43,"COSBASIS"),$B$3,$B$5,$B$6,$B$7,$B$9,AA$16,AA$17,AA$11),"")))</f>
        <v/>
      </c>
      <c r="AC43" s="528"/>
      <c r="AD43" s="250"/>
      <c r="AE43" s="436" t="str">
        <f>IF(_epmOfflineCondition_,"",IF(AD43=0,"",IFERROR(AD43/_xll.EVGTS($B$1,1,_xll.EVPRO($B$1,$H43,"COSBASIS"),$B$3,$B$5,$B$6,$B$7,$B$9,AD$16,AD$17,AD$18),"")))</f>
        <v/>
      </c>
      <c r="AF43" s="438">
        <f t="shared" si="8"/>
        <v>0</v>
      </c>
      <c r="AG43" s="250"/>
      <c r="AH43" s="436" t="str">
        <f>IF(_epmOfflineCondition_,"",IF(AG43=0,"",IFERROR(AG43/_xll.EVGTS($B$1,1,_xll.EVPRO($B$1,$H43,"COSBASIS"),$B$3,$B$5,$B$6,$B$7,$B$9,AG$16,AG$17,AG$18),"")))</f>
        <v/>
      </c>
      <c r="AI43" s="439">
        <f t="shared" si="9"/>
        <v>0</v>
      </c>
    </row>
    <row r="44" spans="1:35" x14ac:dyDescent="0.35">
      <c r="A44" s="11"/>
      <c r="B44" s="11"/>
      <c r="C44" s="11"/>
      <c r="D44" s="11"/>
      <c r="E44" s="11"/>
      <c r="F44" s="11"/>
      <c r="G44" s="11"/>
      <c r="H44" s="88" t="s">
        <v>663</v>
      </c>
      <c r="I44" s="122" t="str">
        <f>IF(_epmOfflineCondition_,"N",_xll.EVPRO($B$1,$H44,"STYLE"))</f>
        <v>N</v>
      </c>
      <c r="J44" s="122" t="str">
        <f>IF(_epmOfflineCondition_,"N",_xll.EVPRO($B$1,$H44,"CALC"))</f>
        <v>N</v>
      </c>
      <c r="K44" s="179" t="str">
        <f t="shared" si="7"/>
        <v/>
      </c>
      <c r="L44" s="90" t="str">
        <f>IF(_epmOfflineCondition_,"510300",_xll.EVPRO($B$1,H44,"JDEID"))</f>
        <v>510300</v>
      </c>
      <c r="M44" s="90" t="str">
        <f>IF(_epmOfflineCondition_,"306048",IF(AND(I44="N",J44="N"),_xll.EVPRO($B$1,H44,"PSFTID"),""))</f>
        <v>306048</v>
      </c>
      <c r="N44" s="90" t="str">
        <f>IF(_epmOfflineCondition_,"Cost of Internet Service",IF(_xll.EVDES(H44,$B$1)="#NODATA","",_xll.EVDES(H44,$B$1)))</f>
        <v>Cost of Internet Service</v>
      </c>
      <c r="O44" s="435"/>
      <c r="P44" s="250"/>
      <c r="Q44" s="250"/>
      <c r="R44" s="250"/>
      <c r="S44" s="250"/>
      <c r="T44" s="250"/>
      <c r="U44" s="250"/>
      <c r="V44" s="250"/>
      <c r="W44" s="250"/>
      <c r="X44" s="250"/>
      <c r="Y44" s="250"/>
      <c r="Z44" s="250"/>
      <c r="AA44" s="250">
        <f>IF($I44="B1","",SUM(O44:Z44))</f>
        <v>0</v>
      </c>
      <c r="AB44" s="436" t="str">
        <f>IF(_epmOfflineCondition_,"",IF(AA44=0,"",IFERROR(AA44/_xll.EVGTS($B$1,1,_xll.EVPRO($B$1,$H44,"COSBASIS"),$B$3,$B$5,$B$6,$B$7,$B$9,AA$16,AA$17,AA$11),"")))</f>
        <v/>
      </c>
      <c r="AC44" s="528"/>
      <c r="AD44" s="250"/>
      <c r="AE44" s="436" t="str">
        <f>IF(_epmOfflineCondition_,"",IF(AD44=0,"",IFERROR(AD44/_xll.EVGTS($B$1,1,_xll.EVPRO($B$1,$H44,"COSBASIS"),$B$3,$B$5,$B$6,$B$7,$B$9,AD$16,AD$17,AD$18),"")))</f>
        <v/>
      </c>
      <c r="AF44" s="438">
        <f t="shared" si="8"/>
        <v>0</v>
      </c>
      <c r="AG44" s="250"/>
      <c r="AH44" s="436" t="str">
        <f>IF(_epmOfflineCondition_,"",IF(AG44=0,"",IFERROR(AG44/_xll.EVGTS($B$1,1,_xll.EVPRO($B$1,$H44,"COSBASIS"),$B$3,$B$5,$B$6,$B$7,$B$9,AG$16,AG$17,AG$18),"")))</f>
        <v/>
      </c>
      <c r="AI44" s="439">
        <f t="shared" si="9"/>
        <v>0</v>
      </c>
    </row>
    <row r="45" spans="1:35" x14ac:dyDescent="0.35">
      <c r="A45" s="62" t="s">
        <v>0</v>
      </c>
      <c r="B45" s="63" t="s">
        <v>1</v>
      </c>
      <c r="C45" s="11"/>
      <c r="D45" s="11"/>
      <c r="E45" s="11"/>
      <c r="F45" s="11"/>
      <c r="G45" s="11"/>
      <c r="H45" s="88" t="s">
        <v>664</v>
      </c>
      <c r="I45" s="122" t="str">
        <f>IF(_epmOfflineCondition_,"N",_xll.EVPRO($B$1,$H45,"STYLE"))</f>
        <v>N</v>
      </c>
      <c r="J45" s="122" t="str">
        <f>IF(_epmOfflineCondition_,"N",_xll.EVPRO($B$1,$H45,"CALC"))</f>
        <v>N</v>
      </c>
      <c r="K45" s="179" t="str">
        <f t="shared" si="7"/>
        <v/>
      </c>
      <c r="L45" s="90" t="str">
        <f>IF(_epmOfflineCondition_,"510400",_xll.EVPRO($B$1,H45,"JDEID"))</f>
        <v>510400</v>
      </c>
      <c r="M45" s="90" t="str">
        <f>IF(_epmOfflineCondition_,"306001",IF(AND(I45="N",J45="N"),_xll.EVPRO($B$1,H45,"PSFTID"),""))</f>
        <v>306001</v>
      </c>
      <c r="N45" s="90" t="str">
        <f>IF(_epmOfflineCondition_,"Other Cost of Sales",IF(_xll.EVDES(H45,$B$1)="#NODATA","",_xll.EVDES(H45,$B$1)))</f>
        <v>Other Cost of Sales</v>
      </c>
      <c r="O45" s="445"/>
      <c r="P45" s="251"/>
      <c r="Q45" s="251"/>
      <c r="R45" s="251"/>
      <c r="S45" s="251"/>
      <c r="T45" s="251"/>
      <c r="U45" s="251"/>
      <c r="V45" s="251"/>
      <c r="W45" s="251"/>
      <c r="X45" s="251"/>
      <c r="Y45" s="251"/>
      <c r="Z45" s="251"/>
      <c r="AA45" s="251">
        <f>IF($I45="B1","",SUM(O45:Z45))</f>
        <v>0</v>
      </c>
      <c r="AB45" s="446" t="str">
        <f>IF(_epmOfflineCondition_,"",IF(AA45=0,"",IFERROR(AA45/_xll.EVGTS($B$1,1,_xll.EVPRO($B$1,$H45,"COSBASIS"),$B$3,$B$5,$B$6,$B$7,$B$9,AA$16,AA$17,AA$11),"")))</f>
        <v/>
      </c>
      <c r="AC45" s="437"/>
      <c r="AD45" s="251"/>
      <c r="AE45" s="446" t="str">
        <f>IF(_epmOfflineCondition_,"",IF(AD45=0,"",IFERROR(AD45/_xll.EVGTS($B$1,1,_xll.EVPRO($B$1,$H45,"COSBASIS"),$B$3,$B$5,$B$6,$B$7,$B$9,AD$16,AD$17,AD$18),"")))</f>
        <v/>
      </c>
      <c r="AF45" s="447">
        <f t="shared" si="8"/>
        <v>0</v>
      </c>
      <c r="AG45" s="251"/>
      <c r="AH45" s="446" t="str">
        <f>IF(_epmOfflineCondition_,"",IF(AG45=0,"",IFERROR(AG45/_xll.EVGTS($B$1,1,_xll.EVPRO($B$1,$H45,"COSBASIS"),$B$3,$B$5,$B$6,$B$7,$B$9,AG$16,AG$17,AG$18),"")))</f>
        <v/>
      </c>
      <c r="AI45" s="448">
        <f t="shared" si="9"/>
        <v>0</v>
      </c>
    </row>
    <row r="46" spans="1:35" x14ac:dyDescent="0.35">
      <c r="A46" s="65" t="s">
        <v>2</v>
      </c>
      <c r="B46" s="66" t="str">
        <f>IF(_epmOfflineCondition_,"'Telcom_Legacy'!$B$2:$B$10",_xll.EVRNG($B$2:$B$10))</f>
        <v>'Telcom_Legacy'!$B$2:$B$10</v>
      </c>
      <c r="C46" s="11"/>
      <c r="D46" s="11"/>
      <c r="E46" s="11"/>
      <c r="F46" s="11"/>
      <c r="G46" s="11"/>
      <c r="H46" s="88" t="s">
        <v>289</v>
      </c>
      <c r="I46" s="188" t="str">
        <f>IF(_epmOfflineCondition_,"T3",_xll.EVPRO($B$1,$H46,"STYLE"))</f>
        <v>T3</v>
      </c>
      <c r="J46" s="188" t="str">
        <f>IF(_epmOfflineCondition_,"Y",_xll.EVPRO($B$1,$H46,"CALC"))</f>
        <v>Y</v>
      </c>
      <c r="K46" s="189" t="str">
        <f t="shared" si="7"/>
        <v/>
      </c>
      <c r="L46" s="190" t="str">
        <f>IF(_epmOfflineCondition_,"500001",_xll.EVPRO($B$1,H46,"JDEID"))</f>
        <v>500001</v>
      </c>
      <c r="M46" s="190" t="str">
        <f>IF(_epmOfflineCondition_,"",IF(AND(I46="N",J46="N"),_xll.EVPRO($B$1,H46,"PSFTID"),""))</f>
        <v/>
      </c>
      <c r="N46" s="190" t="str">
        <f>IF(_epmOfflineCondition_,"Total Cost of Sales",IF(_xll.EVDES(H46,$B$1)="#NODATA","",_xll.EVDES(H46,$B$1)))</f>
        <v>Total Cost of Sales</v>
      </c>
      <c r="O46" s="454"/>
      <c r="P46" s="225"/>
      <c r="Q46" s="225"/>
      <c r="R46" s="225"/>
      <c r="S46" s="225"/>
      <c r="T46" s="225"/>
      <c r="U46" s="225"/>
      <c r="V46" s="225"/>
      <c r="W46" s="225"/>
      <c r="X46" s="225"/>
      <c r="Y46" s="225"/>
      <c r="Z46" s="225"/>
      <c r="AA46" s="225">
        <f>IF($I46="B1","",SUM(O46:Z46))</f>
        <v>0</v>
      </c>
      <c r="AB46" s="226" t="str">
        <f>IF(_epmOfflineCondition_,"",IF(AA46=0,"",IFERROR(AA46/_xll.EVGTS($B$1,1,_xll.EVPRO($B$1,$H46,"COSBASIS"),$B$3,$B$5,$B$6,$B$7,$B$9,AA$16,AA$17,AA$11),"")))</f>
        <v/>
      </c>
      <c r="AC46" s="227"/>
      <c r="AD46" s="225"/>
      <c r="AE46" s="226" t="str">
        <f>IF(_epmOfflineCondition_,"",IF(AD46=0,"",IFERROR(AD46/_xll.EVGTS($B$1,1,_xll.EVPRO($B$1,$H46,"COSBASIS"),$B$3,$B$5,$B$6,$B$7,$B$9,AD$16,AD$17,AD$18),"")))</f>
        <v/>
      </c>
      <c r="AF46" s="228">
        <f t="shared" si="8"/>
        <v>0</v>
      </c>
      <c r="AG46" s="225"/>
      <c r="AH46" s="226" t="str">
        <f>IF(_epmOfflineCondition_,"",IF(AG46=0,"",IFERROR(AG46/_xll.EVGTS($B$1,1,_xll.EVPRO($B$1,$H46,"COSBASIS"),$B$3,$B$5,$B$6,$B$7,$B$9,AG$16,AG$17,AG$18),"")))</f>
        <v/>
      </c>
      <c r="AI46" s="455">
        <f t="shared" si="9"/>
        <v>0</v>
      </c>
    </row>
    <row r="47" spans="1:35" x14ac:dyDescent="0.35">
      <c r="A47" s="65" t="s">
        <v>3</v>
      </c>
      <c r="B47" s="66" t="str">
        <f>IF(_epmOfflineCondition_,"'Telcom_Legacy'!$O$16:$AI$18",_xll.EVRNG(O16:AI18))</f>
        <v>'Telcom_Legacy'!$O$16:$AI$18</v>
      </c>
      <c r="C47" s="11"/>
      <c r="D47" s="11"/>
      <c r="E47" s="11"/>
      <c r="F47" s="11"/>
      <c r="G47" s="11"/>
      <c r="H47" s="185" t="s">
        <v>175</v>
      </c>
      <c r="I47" s="89" t="str">
        <f>IF(_epmOfflineCondition_,"B1",_xll.EVPRO($B$1,$H47,"STYLE"))</f>
        <v>B1</v>
      </c>
      <c r="J47" s="89" t="str">
        <f>IF(_epmOfflineCondition_,"Y",_xll.EVPRO($B$1,$H47,"CALC"))</f>
        <v>Y</v>
      </c>
      <c r="K47" s="265" t="str">
        <f t="shared" si="7"/>
        <v/>
      </c>
      <c r="L47" s="265"/>
      <c r="M47" s="265"/>
      <c r="N47" s="106" t="str">
        <f>IF(_epmOfflineCondition_,"BLANKROW",IF(_xll.EVDES(H47,$B$1)="#NODATA","",_xll.EVDES(H47,$B$1)))</f>
        <v>BLANKROW</v>
      </c>
      <c r="O47" s="205"/>
      <c r="P47" s="205"/>
      <c r="Q47" s="205"/>
      <c r="R47" s="205"/>
      <c r="S47" s="205"/>
      <c r="T47" s="205"/>
      <c r="U47" s="205"/>
      <c r="V47" s="205"/>
      <c r="W47" s="205"/>
      <c r="X47" s="205"/>
      <c r="Y47" s="205"/>
      <c r="Z47" s="205"/>
      <c r="AA47" s="205"/>
      <c r="AB47" s="206" t="str">
        <f>IF(_epmOfflineCondition_,"",IF(O47=0,"",IFERROR(O47/_xll.EVGTS($B$1,1,INDEX($C$144:$C$167,MATCH($H47,$A$144:$A$167,0)),$B$3,$B$5,$B$6,$B$7,$B$9,O$16,O$17,O$18),"")))</f>
        <v/>
      </c>
      <c r="AC47" s="11"/>
      <c r="AD47" s="205"/>
      <c r="AE47" s="206" t="str">
        <f>IF(_epmOfflineCondition_,"",IF(AD47=0,"",IFERROR(AD47/_xll.EVGTS($B$1,1,INDEX($C$144:$C$167,MATCH($H47,$A$144:$A$167,0)),$B$3,$B$5,$B$6,$B$7,$B$9,AD$16,AD$17,AD$18),"")))</f>
        <v/>
      </c>
      <c r="AF47" s="207" t="str">
        <f t="shared" si="8"/>
        <v/>
      </c>
      <c r="AG47" s="205"/>
      <c r="AH47" s="206" t="str">
        <f>IF(_epmOfflineCondition_,"",IF(AG47=0,"",IFERROR(AG47/_xll.EVGTS($B$1,1,INDEX($C$144:$C$167,MATCH($H47,$A$144:$A$167,0)),$B$3,$B$5,$B$6,$B$7,$B$9,AG$16,AG$17,AG$18),"")))</f>
        <v/>
      </c>
      <c r="AI47" s="207" t="str">
        <f t="shared" si="9"/>
        <v/>
      </c>
    </row>
    <row r="48" spans="1:35" x14ac:dyDescent="0.35">
      <c r="A48" s="65" t="s">
        <v>4</v>
      </c>
      <c r="B48" s="66" t="str">
        <f>IF(_epmOfflineCondition_,"'Telcom_Legacy'!$H$42:$H$46",_xll.EVRNG(H42:H46))</f>
        <v>'Telcom_Legacy'!$H$42:$H$46</v>
      </c>
      <c r="C48" s="11"/>
      <c r="D48" s="11"/>
      <c r="E48" s="11"/>
      <c r="F48" s="11"/>
      <c r="G48" s="11"/>
      <c r="H48" s="185" t="s">
        <v>292</v>
      </c>
      <c r="I48" s="89" t="str">
        <f>IF(_epmOfflineCondition_,"T3",_xll.EVPRO($B$1,$H48,"STYLE"))</f>
        <v>T3</v>
      </c>
      <c r="J48" s="89" t="str">
        <f>IF(_epmOfflineCondition_,"Y",_xll.EVPRO($B$1,$H48,"CALC"))</f>
        <v>Y</v>
      </c>
      <c r="K48" s="265" t="str">
        <f t="shared" si="7"/>
        <v/>
      </c>
      <c r="L48" s="265"/>
      <c r="M48" s="265"/>
      <c r="N48" s="106" t="str">
        <f>IF(_epmOfflineCondition_,"Gross Profit",IF(_xll.EVDES(H48,$B$1)="#NODATA","",_xll.EVDES(H48,$B$1)))</f>
        <v>Gross Profit</v>
      </c>
      <c r="O48" s="123">
        <f t="shared" ref="O48:Z48" si="10">SUMIF($H$34:$H$46,"400000",O34:O46)-SUMIF($H$34:$H$46,"500001",O34:O46)</f>
        <v>0</v>
      </c>
      <c r="P48" s="123">
        <f t="shared" si="10"/>
        <v>0</v>
      </c>
      <c r="Q48" s="123">
        <f t="shared" si="10"/>
        <v>0</v>
      </c>
      <c r="R48" s="123">
        <f t="shared" si="10"/>
        <v>0</v>
      </c>
      <c r="S48" s="123">
        <f t="shared" si="10"/>
        <v>0</v>
      </c>
      <c r="T48" s="123">
        <f t="shared" si="10"/>
        <v>0</v>
      </c>
      <c r="U48" s="123">
        <f t="shared" si="10"/>
        <v>0</v>
      </c>
      <c r="V48" s="123">
        <f t="shared" si="10"/>
        <v>0</v>
      </c>
      <c r="W48" s="123">
        <f t="shared" si="10"/>
        <v>0</v>
      </c>
      <c r="X48" s="123">
        <f t="shared" si="10"/>
        <v>0</v>
      </c>
      <c r="Y48" s="123">
        <f t="shared" si="10"/>
        <v>0</v>
      </c>
      <c r="Z48" s="123">
        <f t="shared" si="10"/>
        <v>0</v>
      </c>
      <c r="AA48" s="191">
        <f>IF($I48="B1","",SUM(O48:Z48))</f>
        <v>0</v>
      </c>
      <c r="AB48" s="192" t="str">
        <f>IF(AA48=0,"",IFERROR(AA48/AA$19,""))</f>
        <v/>
      </c>
      <c r="AC48" s="11"/>
      <c r="AD48" s="123">
        <f>SUMIF($H$34:$H$46,"400000",AD34:AD46)-SUMIF($H$34:$H$46,"500001",AD34:AD46)</f>
        <v>0</v>
      </c>
      <c r="AE48" s="192" t="str">
        <f>IF(AD48=0,"",IFERROR(AD48/AD$19,""))</f>
        <v/>
      </c>
      <c r="AF48" s="125">
        <f t="shared" si="8"/>
        <v>0</v>
      </c>
      <c r="AG48" s="123">
        <f>SUMIF($H$34:$H$46,"400000",AG34:AG46)-SUMIF($H$34:$H$46,"500001",AG34:AG46)</f>
        <v>0</v>
      </c>
      <c r="AH48" s="192" t="str">
        <f>IF(AG48=0,"",IFERROR(AG48/AG$19,""))</f>
        <v/>
      </c>
      <c r="AI48" s="125">
        <f t="shared" si="9"/>
        <v>0</v>
      </c>
    </row>
    <row r="49" spans="1:35" x14ac:dyDescent="0.35">
      <c r="A49" s="65" t="s">
        <v>5</v>
      </c>
      <c r="B49" s="66"/>
      <c r="C49" s="11"/>
      <c r="D49" s="11"/>
      <c r="E49" s="11"/>
      <c r="F49" s="384"/>
      <c r="G49" s="11"/>
      <c r="H49" s="11"/>
      <c r="I49" s="59"/>
      <c r="J49" s="59"/>
      <c r="K49" s="11"/>
      <c r="L49" s="11"/>
      <c r="M49" s="11"/>
      <c r="N49" s="11"/>
      <c r="O49" s="393"/>
      <c r="P49" s="394"/>
      <c r="Q49" s="394"/>
      <c r="R49" s="394"/>
      <c r="S49" s="394"/>
      <c r="T49" s="394"/>
      <c r="U49" s="394"/>
      <c r="V49" s="394"/>
      <c r="W49" s="394"/>
      <c r="X49" s="394"/>
      <c r="Y49" s="394"/>
      <c r="Z49" s="394"/>
      <c r="AA49" s="394"/>
      <c r="AB49" s="118"/>
      <c r="AC49" s="11"/>
      <c r="AD49" s="203"/>
      <c r="AE49" s="204"/>
      <c r="AF49" s="118"/>
      <c r="AG49" s="204"/>
      <c r="AH49" s="204"/>
      <c r="AI49" s="118"/>
    </row>
    <row r="50" spans="1:35" x14ac:dyDescent="0.35">
      <c r="A50" s="65" t="s">
        <v>6</v>
      </c>
      <c r="B50" s="66"/>
      <c r="C50" s="11"/>
      <c r="D50" s="11"/>
      <c r="E50" s="11"/>
      <c r="F50" s="384"/>
      <c r="G50" s="11"/>
      <c r="H50" s="11" t="s">
        <v>73</v>
      </c>
      <c r="I50" s="59" t="str">
        <f>IF(_epmOfflineCondition_,"B1",_xll.EVPRO($B$1,$H50,"STYLE"))</f>
        <v>B1</v>
      </c>
      <c r="J50" s="59" t="str">
        <f>IF(_epmOfflineCondition_,"Y",_xll.EVPRO($B$1,$H50,"CALC"))</f>
        <v>Y</v>
      </c>
      <c r="K50" s="11"/>
      <c r="L50" s="11"/>
      <c r="M50" s="11"/>
      <c r="N50" s="105" t="str">
        <f>IF(_epmOfflineCondition_,"Labor &amp; Related Expenses",IF(_xll.EVDES(H50,$B$1)="#NODATA","",_xll.EVDES(H50,$B$1)))</f>
        <v>Labor &amp; Related Expenses</v>
      </c>
      <c r="O50" s="203"/>
      <c r="P50" s="204"/>
      <c r="Q50" s="204"/>
      <c r="R50" s="204"/>
      <c r="S50" s="204"/>
      <c r="T50" s="204"/>
      <c r="U50" s="204"/>
      <c r="V50" s="204"/>
      <c r="W50" s="204"/>
      <c r="X50" s="204"/>
      <c r="Y50" s="204"/>
      <c r="Z50" s="204"/>
      <c r="AA50" s="204"/>
      <c r="AB50" s="410"/>
      <c r="AC50" s="11"/>
      <c r="AD50" s="411"/>
      <c r="AE50" s="412"/>
      <c r="AF50" s="118"/>
      <c r="AG50" s="204"/>
      <c r="AH50" s="412"/>
      <c r="AI50" s="118"/>
    </row>
    <row r="51" spans="1:35" x14ac:dyDescent="0.35">
      <c r="A51" s="65" t="s">
        <v>7</v>
      </c>
      <c r="B51" s="66" t="str">
        <f>IF(_epmOfflineCondition_,"'Telcom_Legacy'!$A$65:$F$69",_xll.EVRNG(A65:F69))</f>
        <v>'Telcom_Legacy'!$A$65:$F$69</v>
      </c>
      <c r="C51" s="11"/>
      <c r="D51" s="11"/>
      <c r="E51" s="11"/>
      <c r="F51" s="384"/>
      <c r="G51" s="11"/>
      <c r="H51" s="11" t="s">
        <v>74</v>
      </c>
      <c r="I51" s="59" t="str">
        <f>IF(_epmOfflineCondition_,"B1",_xll.EVPRO($B$1,$H51,"STYLE"))</f>
        <v>B1</v>
      </c>
      <c r="J51" s="59" t="str">
        <f>IF(_epmOfflineCondition_,"Y",_xll.EVPRO($B$1,$H51,"CALC"))</f>
        <v>Y</v>
      </c>
      <c r="K51" s="11"/>
      <c r="L51" s="11"/>
      <c r="M51" s="11"/>
      <c r="N51" s="53" t="str">
        <f>IF(_epmOfflineCondition_,"Salaries &amp; Wages",IF(_xll.EVDES(H51,$B$1)="#NODATA","",_xll.EVDES(H51,$B$1)))</f>
        <v>Salaries &amp; Wages</v>
      </c>
      <c r="O51" s="119"/>
      <c r="P51" s="120"/>
      <c r="Q51" s="120"/>
      <c r="R51" s="120"/>
      <c r="S51" s="120"/>
      <c r="T51" s="120"/>
      <c r="U51" s="120"/>
      <c r="V51" s="120"/>
      <c r="W51" s="120"/>
      <c r="X51" s="120"/>
      <c r="Y51" s="120"/>
      <c r="Z51" s="120"/>
      <c r="AA51" s="120"/>
      <c r="AB51" s="121"/>
      <c r="AC51" s="11"/>
      <c r="AD51" s="119"/>
      <c r="AE51" s="120"/>
      <c r="AF51" s="121"/>
      <c r="AG51" s="120"/>
      <c r="AH51" s="120"/>
      <c r="AI51" s="121"/>
    </row>
    <row r="52" spans="1:35" hidden="1" x14ac:dyDescent="0.35">
      <c r="A52" s="65" t="s">
        <v>47</v>
      </c>
      <c r="B52" s="66" t="str">
        <f>IF(_epmOfflineCondition_,"'Telcom_Legacy'!$A$117:$B$138",_xll.EVRNG($A$117:$B$138))</f>
        <v>'Telcom_Legacy'!$A$117:$B$138</v>
      </c>
      <c r="C52" s="11"/>
      <c r="D52" s="11"/>
      <c r="E52" s="11"/>
      <c r="F52" s="11"/>
      <c r="G52" s="11"/>
      <c r="H52" s="88" t="s">
        <v>667</v>
      </c>
      <c r="I52" s="122" t="str">
        <f>IF(_epmOfflineCondition_,"",_xll.EVPRO($B$1,$H52,"STYLE"))</f>
        <v/>
      </c>
      <c r="J52" s="122" t="str">
        <f>IF(_epmOfflineCondition_,"",_xll.EVPRO($B$1,$H52,"CALC"))</f>
        <v/>
      </c>
      <c r="K52" s="179" t="str">
        <f>IF(AND(I52&gt;="T3"),"&gt;","")</f>
        <v/>
      </c>
      <c r="L52" s="90" t="str">
        <f>IF(_epmOfflineCondition_,"",_xll.EVPRO($B$1,H52,"JDEID"))</f>
        <v/>
      </c>
      <c r="M52" s="90" t="str">
        <f>IF(_epmOfflineCondition_,"",IF(AND(I52="N",J52="N"),_xll.EVPRO($B$1,H52,"PSFTID"),""))</f>
        <v/>
      </c>
      <c r="N52" s="90" t="str">
        <f>IF(_epmOfflineCondition_,"",IF(_xll.EVDES(H52,$B$1)="#NODATA","",_xll.EVDES(H52,$B$1)))</f>
        <v/>
      </c>
      <c r="O52" s="216"/>
      <c r="P52" s="216"/>
      <c r="Q52" s="216"/>
      <c r="R52" s="216"/>
      <c r="S52" s="216"/>
      <c r="T52" s="216"/>
      <c r="U52" s="216"/>
      <c r="V52" s="216"/>
      <c r="W52" s="216"/>
      <c r="X52" s="216"/>
      <c r="Y52" s="216"/>
      <c r="Z52" s="216"/>
      <c r="AA52" s="251">
        <f>IF($I52="B1","",SUM(O52:Z52))</f>
        <v>0</v>
      </c>
      <c r="AB52" s="218" t="str">
        <f>IF(O52=0,"",IFERROR(O52/O$19,""))</f>
        <v/>
      </c>
      <c r="AC52" s="140"/>
      <c r="AD52" s="216"/>
      <c r="AE52" s="218" t="str">
        <f>IF(AD52=0,"",IFERROR(AD52/AD$19,""))</f>
        <v/>
      </c>
      <c r="AF52" s="233">
        <f>IF(AND($AA52="",AD52=""),"",$AA52-AD52)</f>
        <v>0</v>
      </c>
      <c r="AG52" s="216"/>
      <c r="AH52" s="218" t="str">
        <f>IF(AG52=0,"",IFERROR(AG52/AG$19,""))</f>
        <v/>
      </c>
      <c r="AI52" s="233">
        <f>IF(AND($AA52="",AG52=""),"",$AA52-AG52)</f>
        <v>0</v>
      </c>
    </row>
    <row r="53" spans="1:35" hidden="1" x14ac:dyDescent="0.35">
      <c r="A53" s="65" t="s">
        <v>8</v>
      </c>
      <c r="B53" s="66"/>
      <c r="C53" s="11"/>
      <c r="D53" s="11"/>
      <c r="E53" s="11"/>
      <c r="F53" s="11"/>
      <c r="G53" s="11"/>
      <c r="H53" s="88"/>
      <c r="I53" s="122" t="str">
        <f>IF(_epmOfflineCondition_,"",_xll.EVPRO($B$1,$H53,"STYLE"))</f>
        <v/>
      </c>
      <c r="J53" s="122" t="str">
        <f>IF(_epmOfflineCondition_,"",_xll.EVPRO($B$1,$H53,"CALC"))</f>
        <v/>
      </c>
      <c r="K53" s="179" t="str">
        <f>IF(AND(I53&gt;="T3"),"&gt;","")</f>
        <v/>
      </c>
      <c r="L53" s="90" t="str">
        <f>IF(_epmOfflineCondition_,"",_xll.EVPRO($B$1,H53,"JDEID"))</f>
        <v/>
      </c>
      <c r="M53" s="90" t="str">
        <f>IF(_epmOfflineCondition_,"",IF(AND(I53="N",J53="N"),_xll.EVPRO($B$1,H53,"PSFTID"),""))</f>
        <v/>
      </c>
      <c r="N53" s="90" t="str">
        <f>IF(_epmOfflineCondition_,"",IF(_xll.EVDES(H53,$B$1)="#NODATA","",_xll.EVDES(H53,$B$1)))</f>
        <v/>
      </c>
      <c r="O53" s="216"/>
      <c r="P53" s="216"/>
      <c r="Q53" s="216"/>
      <c r="R53" s="216"/>
      <c r="S53" s="216"/>
      <c r="T53" s="216"/>
      <c r="U53" s="216"/>
      <c r="V53" s="216"/>
      <c r="W53" s="216"/>
      <c r="X53" s="216"/>
      <c r="Y53" s="216"/>
      <c r="Z53" s="216"/>
      <c r="AA53" s="251">
        <f>IF($I53="B1","",SUM(O53:Z53))</f>
        <v>0</v>
      </c>
      <c r="AB53" s="218" t="str">
        <f>IF(O53=0,"",IFERROR(O53/O$19,""))</f>
        <v/>
      </c>
      <c r="AC53" s="140"/>
      <c r="AD53" s="216"/>
      <c r="AE53" s="218" t="str">
        <f>IF(AD53=0,"",IFERROR(AD53/AD$19,""))</f>
        <v/>
      </c>
      <c r="AF53" s="233">
        <f>IF(AND($AA53="",AD53=""),"",$AA53-AD53)</f>
        <v>0</v>
      </c>
      <c r="AG53" s="216"/>
      <c r="AH53" s="218" t="str">
        <f>IF(AG53=0,"",IFERROR(AG53/AG$19,""))</f>
        <v/>
      </c>
      <c r="AI53" s="233">
        <f>IF(AND($AA53="",AG53=""),"",$AA53-AG53)</f>
        <v>0</v>
      </c>
    </row>
    <row r="54" spans="1:35" x14ac:dyDescent="0.35">
      <c r="A54" s="11"/>
      <c r="B54" s="11"/>
      <c r="C54" s="11"/>
      <c r="D54" s="11"/>
      <c r="E54" s="11"/>
      <c r="F54" s="11"/>
      <c r="G54" s="11"/>
      <c r="H54" s="88" t="s">
        <v>75</v>
      </c>
      <c r="I54" s="89" t="str">
        <f>IF(_epmOfflineCondition_,"B1",_xll.EVPRO($B$1,$H54,"STYLE"))</f>
        <v>B1</v>
      </c>
      <c r="J54" s="89" t="str">
        <f>IF(_epmOfflineCondition_,"Y",_xll.EVPRO($B$1,$H54,"CALC"))</f>
        <v>Y</v>
      </c>
      <c r="K54" s="265" t="str">
        <f>IF(AND(I54&gt;="T3"),"&gt;","")</f>
        <v/>
      </c>
      <c r="L54" s="106" t="str">
        <f>IF(_epmOfflineCondition_,"",_xll.EVPRO($B$1,H54,"JDEID"))</f>
        <v/>
      </c>
      <c r="M54" s="90" t="str">
        <f>IF(_epmOfflineCondition_,"",IF(AND(I54="N",J54="N"),_xll.EVPRO($B$1,H54,"PSFTID"),""))</f>
        <v/>
      </c>
      <c r="N54" s="106" t="str">
        <f>IF(_epmOfflineCondition_,"Non-Management",IF(_xll.EVDES(H54,$B$1)="#NODATA","",_xll.EVDES(H54,$B$1)))</f>
        <v>Non-Management</v>
      </c>
      <c r="O54" s="197"/>
      <c r="P54" s="197"/>
      <c r="Q54" s="197"/>
      <c r="R54" s="197"/>
      <c r="S54" s="197"/>
      <c r="T54" s="197"/>
      <c r="U54" s="197"/>
      <c r="V54" s="197"/>
      <c r="W54" s="197"/>
      <c r="X54" s="197"/>
      <c r="Y54" s="197"/>
      <c r="Z54" s="197"/>
      <c r="AA54" s="180" t="str">
        <f>IF($I54="B1","",SUM(O54:Z54))</f>
        <v/>
      </c>
      <c r="AB54" s="198" t="str">
        <f>IF(O54=0,"",IFERROR(O54/O$19,""))</f>
        <v/>
      </c>
      <c r="AC54" s="11"/>
      <c r="AD54" s="197"/>
      <c r="AE54" s="198" t="str">
        <f>IF(AD54=0,"",IFERROR(AD54/AD$19,""))</f>
        <v/>
      </c>
      <c r="AF54" s="199" t="str">
        <f>IF(AND($AA54="",AD54=""),"",$AA54-AD54)</f>
        <v/>
      </c>
      <c r="AG54" s="197"/>
      <c r="AH54" s="198" t="str">
        <f>IF(AG54=0,"",IFERROR(AG54/AG$19,""))</f>
        <v/>
      </c>
      <c r="AI54" s="199" t="str">
        <f>IF(AND($AA54="",AG54=""),"",$AA54-AG54)</f>
        <v/>
      </c>
    </row>
    <row r="55" spans="1:35" hidden="1" x14ac:dyDescent="0.35">
      <c r="A55" s="62" t="s">
        <v>9</v>
      </c>
      <c r="B55" s="63" t="s">
        <v>10</v>
      </c>
      <c r="C55" s="11"/>
      <c r="D55" s="11"/>
      <c r="E55" s="11"/>
      <c r="F55" s="11"/>
      <c r="G55" s="11"/>
      <c r="H55" s="88" t="s">
        <v>667</v>
      </c>
      <c r="I55" s="122" t="str">
        <f>IF(_epmOfflineCondition_,"",_xll.EVPRO($B$1,$H55,"STYLE"))</f>
        <v/>
      </c>
      <c r="J55" s="122" t="str">
        <f>IF(_epmOfflineCondition_,"",_xll.EVPRO($B$1,$H55,"CALC"))</f>
        <v/>
      </c>
      <c r="K55" s="179" t="str">
        <f>IF(AND(I55&gt;="T3"),"&gt;","")</f>
        <v/>
      </c>
      <c r="L55" s="90" t="str">
        <f>IF(_epmOfflineCondition_,"",_xll.EVPRO($B$1,H55,"JDEID"))</f>
        <v/>
      </c>
      <c r="M55" s="90" t="str">
        <f>IF(_epmOfflineCondition_,"",IF(AND(I55="N",J55="N"),_xll.EVPRO($B$1,H55,"PSFTID"),""))</f>
        <v/>
      </c>
      <c r="N55" s="90" t="str">
        <f>IF(_epmOfflineCondition_,"",IF(_xll.EVDES(H55,$B$1)="#NODATA","",_xll.EVDES(H55,$B$1)))</f>
        <v/>
      </c>
      <c r="O55" s="216"/>
      <c r="P55" s="216"/>
      <c r="Q55" s="216"/>
      <c r="R55" s="216"/>
      <c r="S55" s="216"/>
      <c r="T55" s="216"/>
      <c r="U55" s="216"/>
      <c r="V55" s="216"/>
      <c r="W55" s="216"/>
      <c r="X55" s="216"/>
      <c r="Y55" s="216"/>
      <c r="Z55" s="216"/>
      <c r="AA55" s="251">
        <f>IF($I55="B1","",SUM(O55:Z55))</f>
        <v>0</v>
      </c>
      <c r="AB55" s="218" t="str">
        <f>IF(O55=0,"",IFERROR(O55/O$19,""))</f>
        <v/>
      </c>
      <c r="AC55" s="140"/>
      <c r="AD55" s="216"/>
      <c r="AE55" s="218" t="str">
        <f>IF(AD55=0,"",IFERROR(AD55/AD$19,""))</f>
        <v/>
      </c>
      <c r="AF55" s="233">
        <f>IF(AND($AA55="",AD55=""),"",$AA55-AD55)</f>
        <v>0</v>
      </c>
      <c r="AG55" s="216"/>
      <c r="AH55" s="218" t="str">
        <f>IF(AG55=0,"",IFERROR(AG55/AG$19,""))</f>
        <v/>
      </c>
      <c r="AI55" s="233">
        <f>IF(AND($AA55="",AG55=""),"",$AA55-AG55)</f>
        <v>0</v>
      </c>
    </row>
    <row r="56" spans="1:35" hidden="1" x14ac:dyDescent="0.35">
      <c r="A56" s="65" t="s">
        <v>11</v>
      </c>
      <c r="B56" s="66" t="s">
        <v>21</v>
      </c>
      <c r="C56" s="11"/>
      <c r="D56" s="11"/>
      <c r="E56" s="11"/>
      <c r="F56" s="11"/>
      <c r="G56" s="76"/>
      <c r="H56" s="88"/>
      <c r="I56" s="122" t="str">
        <f>IF(_epmOfflineCondition_,"",_xll.EVPRO($B$1,$H56,"STYLE"))</f>
        <v/>
      </c>
      <c r="J56" s="122" t="str">
        <f>IF(_epmOfflineCondition_,"",_xll.EVPRO($B$1,$H56,"CALC"))</f>
        <v/>
      </c>
      <c r="K56" s="179" t="str">
        <f>IF(AND(I56&gt;="T3"),"&gt;","")</f>
        <v/>
      </c>
      <c r="L56" s="90" t="str">
        <f>IF(_epmOfflineCondition_,"",_xll.EVPRO($B$1,H56,"JDEID"))</f>
        <v/>
      </c>
      <c r="M56" s="90" t="str">
        <f>IF(_epmOfflineCondition_,"",IF(AND(I56="N",J56="N"),_xll.EVPRO($B$1,H56,"PSFTID"),""))</f>
        <v/>
      </c>
      <c r="N56" s="90" t="str">
        <f>IF(_epmOfflineCondition_,"",IF(_xll.EVDES(H56,$B$1)="#NODATA","",_xll.EVDES(H56,$B$1)))</f>
        <v/>
      </c>
      <c r="O56" s="216"/>
      <c r="P56" s="216"/>
      <c r="Q56" s="216"/>
      <c r="R56" s="216"/>
      <c r="S56" s="216"/>
      <c r="T56" s="216"/>
      <c r="U56" s="216"/>
      <c r="V56" s="216"/>
      <c r="W56" s="216"/>
      <c r="X56" s="216"/>
      <c r="Y56" s="216"/>
      <c r="Z56" s="216"/>
      <c r="AA56" s="251">
        <f>IF($I56="B1","",SUM(O56:Z56))</f>
        <v>0</v>
      </c>
      <c r="AB56" s="218" t="str">
        <f>IF(O56=0,"",IFERROR(O56/O$19,""))</f>
        <v/>
      </c>
      <c r="AC56" s="140"/>
      <c r="AD56" s="216"/>
      <c r="AE56" s="218" t="str">
        <f>IF(AD56=0,"",IFERROR(AD56/AD$19,""))</f>
        <v/>
      </c>
      <c r="AF56" s="233">
        <f>IF(AND($AA56="",AD56=""),"",$AA56-AD56)</f>
        <v>0</v>
      </c>
      <c r="AG56" s="216"/>
      <c r="AH56" s="218" t="str">
        <f>IF(AG56=0,"",IFERROR(AG56/AG$19,""))</f>
        <v/>
      </c>
      <c r="AI56" s="233">
        <f>IF(AND($AA56="",AG56=""),"",$AA56-AG56)</f>
        <v>0</v>
      </c>
    </row>
    <row r="57" spans="1:35" x14ac:dyDescent="0.35">
      <c r="A57" s="65" t="s">
        <v>12</v>
      </c>
      <c r="B57" s="66" t="s">
        <v>22</v>
      </c>
      <c r="C57" s="11"/>
      <c r="D57" s="11"/>
      <c r="E57" s="11"/>
      <c r="F57" s="11"/>
      <c r="G57" s="11"/>
      <c r="H57" s="11"/>
      <c r="I57" s="59"/>
      <c r="J57" s="59"/>
      <c r="K57" s="11"/>
      <c r="L57" s="11"/>
      <c r="M57" s="11"/>
      <c r="N57" s="11"/>
      <c r="O57" s="129"/>
      <c r="P57" s="130"/>
      <c r="Q57" s="130"/>
      <c r="R57" s="130"/>
      <c r="S57" s="130"/>
      <c r="T57" s="130"/>
      <c r="U57" s="130"/>
      <c r="V57" s="130"/>
      <c r="W57" s="130"/>
      <c r="X57" s="130"/>
      <c r="Y57" s="130"/>
      <c r="Z57" s="130"/>
      <c r="AA57" s="130"/>
      <c r="AB57" s="131"/>
      <c r="AC57" s="11"/>
      <c r="AD57" s="129"/>
      <c r="AE57" s="130"/>
      <c r="AF57" s="131"/>
      <c r="AG57" s="129"/>
      <c r="AH57" s="130"/>
      <c r="AI57" s="131"/>
    </row>
    <row r="58" spans="1:35" x14ac:dyDescent="0.35">
      <c r="A58" s="65" t="s">
        <v>13</v>
      </c>
      <c r="B58" s="66" t="str">
        <f>"DEP(510000) AND "&amp;$E$6&amp;"=Y,500001"</f>
        <v>DEP(510000) AND D1131=Y,500001</v>
      </c>
      <c r="C58" s="11"/>
      <c r="D58" s="11"/>
      <c r="E58" s="11"/>
      <c r="F58" s="11"/>
      <c r="G58" s="11"/>
      <c r="H58" s="11" t="s">
        <v>82</v>
      </c>
      <c r="I58" s="59" t="str">
        <f>IF(_epmOfflineCondition_,"B1",_xll.EVPRO($B$1,$H58,"STYLE"))</f>
        <v>B1</v>
      </c>
      <c r="J58" s="59" t="str">
        <f>IF(_epmOfflineCondition_,"Y",_xll.EVPRO($B$1,$H58,"CALC"))</f>
        <v>Y</v>
      </c>
      <c r="K58" s="11"/>
      <c r="L58" s="11"/>
      <c r="M58" s="11"/>
      <c r="N58" s="105" t="str">
        <f>IF(_epmOfflineCondition_,"Other Expenses",IF(_xll.EVDES(H58,$B$1)="#NODATA","",_xll.EVDES(H58,$B$1)))</f>
        <v>Other Expenses</v>
      </c>
      <c r="O58" s="119"/>
      <c r="P58" s="120"/>
      <c r="Q58" s="120"/>
      <c r="R58" s="120"/>
      <c r="S58" s="120"/>
      <c r="T58" s="120"/>
      <c r="U58" s="120"/>
      <c r="V58" s="120"/>
      <c r="W58" s="120"/>
      <c r="X58" s="120"/>
      <c r="Y58" s="120"/>
      <c r="Z58" s="120"/>
      <c r="AA58" s="120"/>
      <c r="AB58" s="121"/>
      <c r="AC58" s="11"/>
      <c r="AD58" s="119"/>
      <c r="AE58" s="120"/>
      <c r="AF58" s="121"/>
      <c r="AG58" s="119"/>
      <c r="AH58" s="120"/>
      <c r="AI58" s="121"/>
    </row>
    <row r="59" spans="1:35" hidden="1" x14ac:dyDescent="0.35">
      <c r="A59" s="65" t="s">
        <v>14</v>
      </c>
      <c r="B59" s="66"/>
      <c r="C59" s="11"/>
      <c r="D59" s="11"/>
      <c r="E59" s="11"/>
      <c r="F59" s="11"/>
      <c r="G59" s="11"/>
      <c r="H59" s="88" t="s">
        <v>667</v>
      </c>
      <c r="I59" s="122" t="str">
        <f>IF(_epmOfflineCondition_,"",_xll.EVPRO($B$1,$H59,"STYLE"))</f>
        <v/>
      </c>
      <c r="J59" s="122" t="str">
        <f>IF(_epmOfflineCondition_,"",_xll.EVPRO($B$1,$H59,"CALC"))</f>
        <v/>
      </c>
      <c r="K59" s="179" t="str">
        <f>IF(AND(I59&lt;&gt;"B1",J59="Y"),"&gt;","")</f>
        <v/>
      </c>
      <c r="L59" s="90" t="str">
        <f>IF(_epmOfflineCondition_,"",_xll.EVPRO($B$1,H59,"JDEID"))</f>
        <v/>
      </c>
      <c r="M59" s="90" t="str">
        <f>IF(_epmOfflineCondition_,"",IF(AND(I59="N",J59="N"),_xll.EVPRO($B$1,H59,"PSFTID"),""))</f>
        <v/>
      </c>
      <c r="N59" s="90" t="str">
        <f>IF(_epmOfflineCondition_,"",IF(_xll.EVDES(H59,$B$1)="#NODATA","",_xll.EVDES(H59,$B$1)))</f>
        <v/>
      </c>
      <c r="O59" s="143"/>
      <c r="P59" s="143"/>
      <c r="Q59" s="143"/>
      <c r="R59" s="143"/>
      <c r="S59" s="143"/>
      <c r="T59" s="143"/>
      <c r="U59" s="143"/>
      <c r="V59" s="143"/>
      <c r="W59" s="143"/>
      <c r="X59" s="143"/>
      <c r="Y59" s="143"/>
      <c r="Z59" s="143"/>
      <c r="AA59" s="250">
        <f>IF($I59="B1","",SUM(O59:Z59))</f>
        <v>0</v>
      </c>
      <c r="AB59" s="144" t="str">
        <f>IF(AA59=0,"",IFERROR(AA59/AA$19,""))</f>
        <v/>
      </c>
      <c r="AC59" s="140"/>
      <c r="AD59" s="143"/>
      <c r="AE59" s="144" t="str">
        <f>IF(AD59=0,"",IFERROR(AD59/AD$19,""))</f>
        <v/>
      </c>
      <c r="AF59" s="145">
        <f>IF(AND($AA59="",AD59=""),"",$AA59-AD59)</f>
        <v>0</v>
      </c>
      <c r="AG59" s="143"/>
      <c r="AH59" s="144" t="str">
        <f>IF(AG59=0,"",IFERROR(AG59/AG$19,""))</f>
        <v/>
      </c>
      <c r="AI59" s="145">
        <f>IF(AND($AA59="",AG59=""),"",$AA59-AG59)</f>
        <v>0</v>
      </c>
    </row>
    <row r="60" spans="1:35" hidden="1" x14ac:dyDescent="0.35">
      <c r="A60" s="65" t="s">
        <v>15</v>
      </c>
      <c r="B60" s="66"/>
      <c r="C60" s="11"/>
      <c r="D60" s="11"/>
      <c r="E60" s="11"/>
      <c r="F60" s="11"/>
      <c r="G60" s="11"/>
      <c r="H60" s="88"/>
      <c r="I60" s="122" t="str">
        <f>IF(_epmOfflineCondition_,"",_xll.EVPRO($B$1,$H60,"STYLE"))</f>
        <v/>
      </c>
      <c r="J60" s="122" t="str">
        <f>IF(_epmOfflineCondition_,"",_xll.EVPRO($B$1,$H60,"CALC"))</f>
        <v/>
      </c>
      <c r="K60" s="179" t="str">
        <f>IF(AND(I60&lt;&gt;"B1",J60="Y"),"&gt;","")</f>
        <v/>
      </c>
      <c r="L60" s="90" t="str">
        <f>IF(_epmOfflineCondition_,"",_xll.EVPRO($B$1,H60,"JDEID"))</f>
        <v/>
      </c>
      <c r="M60" s="90" t="str">
        <f>IF(_epmOfflineCondition_,"",IF(AND(I60="N",J60="N"),_xll.EVPRO($B$1,H60,"PSFTID"),""))</f>
        <v/>
      </c>
      <c r="N60" s="90" t="str">
        <f>IF(_epmOfflineCondition_,"",IF(_xll.EVDES(H60,$B$1)="#NODATA","",_xll.EVDES(H60,$B$1)))</f>
        <v/>
      </c>
      <c r="O60" s="143"/>
      <c r="P60" s="143"/>
      <c r="Q60" s="143"/>
      <c r="R60" s="143"/>
      <c r="S60" s="143"/>
      <c r="T60" s="143"/>
      <c r="U60" s="143"/>
      <c r="V60" s="143"/>
      <c r="W60" s="143"/>
      <c r="X60" s="143"/>
      <c r="Y60" s="143"/>
      <c r="Z60" s="143"/>
      <c r="AA60" s="250">
        <f>IF($I60="B1","",SUM(O60:Z60))</f>
        <v>0</v>
      </c>
      <c r="AB60" s="144" t="str">
        <f>IF(AA60=0,"",IFERROR(AA60/AA$19,""))</f>
        <v/>
      </c>
      <c r="AC60" s="140"/>
      <c r="AD60" s="143"/>
      <c r="AE60" s="144" t="str">
        <f>IF(AD60=0,"",IFERROR(AD60/AD$19,""))</f>
        <v/>
      </c>
      <c r="AF60" s="145">
        <f>IF(AND($AA60="",AD60=""),"",$AA60-AD60)</f>
        <v>0</v>
      </c>
      <c r="AG60" s="143"/>
      <c r="AH60" s="144" t="str">
        <f>IF(AG60=0,"",IFERROR(AG60/AG$19,""))</f>
        <v/>
      </c>
      <c r="AI60" s="145">
        <f>IF(AND($AA60="",AG60=""),"",$AA60-AG60)</f>
        <v>0</v>
      </c>
    </row>
    <row r="61" spans="1:35" x14ac:dyDescent="0.35">
      <c r="A61" s="65" t="s">
        <v>16</v>
      </c>
      <c r="B61" s="66"/>
      <c r="C61" s="11"/>
      <c r="D61" s="11"/>
      <c r="E61" s="11"/>
      <c r="F61" s="11"/>
      <c r="G61" s="11"/>
      <c r="H61" s="88" t="s">
        <v>79</v>
      </c>
      <c r="I61" s="136" t="str">
        <f>IF(_epmOfflineCondition_,"T3",_xll.EVPRO($B$1,$H61,"STYLE"))</f>
        <v>T3</v>
      </c>
      <c r="J61" s="136" t="str">
        <f>IF(_epmOfflineCondition_,"Y",_xll.EVPRO($B$1,$H61,"CALC"))</f>
        <v>Y</v>
      </c>
      <c r="K61" s="104"/>
      <c r="L61" s="104"/>
      <c r="M61" s="104"/>
      <c r="N61" s="106" t="str">
        <f>IF(_epmOfflineCondition_,"Total Operations Expense",IF(_xll.EVDES(H61,$B$1)="#NODATA","",_xll.EVDES(H61,$B$1)))</f>
        <v>Total Operations Expense</v>
      </c>
      <c r="O61" s="154"/>
      <c r="P61" s="154"/>
      <c r="Q61" s="154"/>
      <c r="R61" s="154"/>
      <c r="S61" s="154"/>
      <c r="T61" s="154"/>
      <c r="U61" s="154"/>
      <c r="V61" s="154"/>
      <c r="W61" s="154"/>
      <c r="X61" s="154"/>
      <c r="Y61" s="154"/>
      <c r="Z61" s="154"/>
      <c r="AA61" s="154">
        <f>IF($I61="B1","",SUM(O61:Z61))</f>
        <v>0</v>
      </c>
      <c r="AB61" s="155" t="str">
        <f>IF(AA61=0,"",IFERROR(AA61/AA$19,""))</f>
        <v/>
      </c>
      <c r="AC61" s="140"/>
      <c r="AD61" s="154"/>
      <c r="AE61" s="155" t="str">
        <f>IF(AD61=0,"",IFERROR(AD61/AD$19,""))</f>
        <v/>
      </c>
      <c r="AF61" s="156">
        <f>IF(AND($AA61="",AD61=""),"",$AA61-AD61)</f>
        <v>0</v>
      </c>
      <c r="AG61" s="154"/>
      <c r="AH61" s="155" t="str">
        <f>IF(AG61=0,"",IFERROR(AG61/AG$19,""))</f>
        <v/>
      </c>
      <c r="AI61" s="156">
        <f>IF(AND($AA61="",AG61=""),"",$AA61-AG61)</f>
        <v>0</v>
      </c>
    </row>
    <row r="62" spans="1:35" x14ac:dyDescent="0.35">
      <c r="A62" s="65" t="s">
        <v>17</v>
      </c>
      <c r="B62" s="66"/>
      <c r="C62" s="11"/>
      <c r="D62" s="11"/>
      <c r="E62" s="11"/>
      <c r="F62" s="11"/>
      <c r="G62" s="11"/>
      <c r="H62" s="11"/>
      <c r="I62" s="59"/>
      <c r="J62" s="59"/>
      <c r="K62" s="11"/>
      <c r="L62" s="11"/>
      <c r="M62" s="11"/>
      <c r="N62" s="11"/>
      <c r="O62" s="140"/>
      <c r="P62" s="140"/>
      <c r="Q62" s="140"/>
      <c r="R62" s="140"/>
      <c r="S62" s="140"/>
      <c r="T62" s="140"/>
      <c r="U62" s="140"/>
      <c r="V62" s="140"/>
      <c r="W62" s="140"/>
      <c r="X62" s="140"/>
      <c r="Y62" s="140"/>
      <c r="Z62" s="140"/>
      <c r="AA62" s="140"/>
      <c r="AB62" s="140"/>
      <c r="AC62" s="140"/>
      <c r="AD62" s="140"/>
      <c r="AE62" s="140"/>
      <c r="AF62" s="140"/>
      <c r="AG62" s="140"/>
      <c r="AH62" s="140"/>
      <c r="AI62" s="140"/>
    </row>
    <row r="63" spans="1:35" x14ac:dyDescent="0.35">
      <c r="A63" s="11"/>
      <c r="B63" s="11"/>
      <c r="C63" s="11"/>
      <c r="D63" s="11"/>
      <c r="E63" s="11"/>
      <c r="F63" s="11"/>
      <c r="G63" s="11"/>
      <c r="H63" s="88" t="s">
        <v>80</v>
      </c>
      <c r="I63" s="136" t="str">
        <f>IF(_epmOfflineCondition_,"T3",_xll.EVPRO($B$1,$H63,"STYLE"))</f>
        <v>T3</v>
      </c>
      <c r="J63" s="136" t="str">
        <f>IF(_epmOfflineCondition_,"Y",_xll.EVPRO($B$1,$H63,"CALC"))</f>
        <v>Y</v>
      </c>
      <c r="K63" s="106"/>
      <c r="L63" s="106"/>
      <c r="M63" s="106"/>
      <c r="N63" s="106" t="str">
        <f>IF(_epmOfflineCondition_,"Total Expenses",IF(_xll.EVDES(H63,$B$1)="#NODATA","",_xll.EVDES(H63,$B$1)))</f>
        <v>Total Expenses</v>
      </c>
      <c r="O63" s="238"/>
      <c r="P63" s="238"/>
      <c r="Q63" s="238"/>
      <c r="R63" s="238"/>
      <c r="S63" s="238"/>
      <c r="T63" s="238"/>
      <c r="U63" s="238"/>
      <c r="V63" s="238"/>
      <c r="W63" s="238"/>
      <c r="X63" s="238"/>
      <c r="Y63" s="238"/>
      <c r="Z63" s="238"/>
      <c r="AA63" s="238">
        <f>IF($I63="B1","",SUM(O63:Z63))</f>
        <v>0</v>
      </c>
      <c r="AB63" s="239" t="str">
        <f>IF(AA63=0,"",IFERROR(AA63/AA$19,""))</f>
        <v/>
      </c>
      <c r="AC63" s="140"/>
      <c r="AD63" s="238"/>
      <c r="AE63" s="239" t="str">
        <f>IF(AD63=0,"",IFERROR(AD63/AD$19,""))</f>
        <v/>
      </c>
      <c r="AF63" s="254">
        <f>IF(AND($AA63="",AD63=""),"",$AA63-AD63)</f>
        <v>0</v>
      </c>
      <c r="AG63" s="255"/>
      <c r="AH63" s="256" t="str">
        <f>IF(AG63=0,"",IFERROR(AG63/AG$19,""))</f>
        <v/>
      </c>
      <c r="AI63" s="254">
        <f>IF(AND($AA63="",AG63=""),"",$AA63-AG63)</f>
        <v>0</v>
      </c>
    </row>
    <row r="64" spans="1:35" ht="15" thickBot="1" x14ac:dyDescent="0.4">
      <c r="A64" s="97" t="s">
        <v>92</v>
      </c>
      <c r="B64" s="98" t="s">
        <v>93</v>
      </c>
      <c r="C64" s="98" t="s">
        <v>94</v>
      </c>
      <c r="D64" s="98" t="s">
        <v>95</v>
      </c>
      <c r="E64" s="98" t="s">
        <v>96</v>
      </c>
      <c r="F64" s="99" t="s">
        <v>97</v>
      </c>
      <c r="G64" s="11"/>
      <c r="H64" s="88" t="s">
        <v>81</v>
      </c>
      <c r="I64" s="136" t="str">
        <f>IF(_epmOfflineCondition_,"T3",_xll.EVPRO($B$1,$H64,"STYLE"))</f>
        <v>T3</v>
      </c>
      <c r="J64" s="136" t="str">
        <f>IF(_epmOfflineCondition_,"Y",_xll.EVPRO($B$1,$H64,"CALC"))</f>
        <v>Y</v>
      </c>
      <c r="K64" s="106"/>
      <c r="L64" s="106"/>
      <c r="M64" s="106"/>
      <c r="N64" s="106" t="str">
        <f>IF(_epmOfflineCondition_,"Department Profit (Loss)",IF(_xll.EVDES(H64,$B$1)="#NODATA","",_xll.EVDES(H64,$B$1)))</f>
        <v>Department Profit (Loss)</v>
      </c>
      <c r="O64" s="169"/>
      <c r="P64" s="169"/>
      <c r="Q64" s="169"/>
      <c r="R64" s="169"/>
      <c r="S64" s="169"/>
      <c r="T64" s="169"/>
      <c r="U64" s="169"/>
      <c r="V64" s="169"/>
      <c r="W64" s="169"/>
      <c r="X64" s="169"/>
      <c r="Y64" s="169"/>
      <c r="Z64" s="169"/>
      <c r="AA64" s="169">
        <f>IF($I64="B1","",SUM(O64:Z64))</f>
        <v>0</v>
      </c>
      <c r="AB64" s="170" t="str">
        <f>IF(AA64=0,"",IFERROR(AA64/AA$19,""))</f>
        <v/>
      </c>
      <c r="AC64" s="140"/>
      <c r="AD64" s="169"/>
      <c r="AE64" s="170" t="str">
        <f>IF(AD64=0,"",IFERROR(AD64/AD$19,""))</f>
        <v/>
      </c>
      <c r="AF64" s="171">
        <f>IF(AND($AA64="",AD64=""),"",$AA64-AD64)</f>
        <v>0</v>
      </c>
      <c r="AG64" s="169"/>
      <c r="AH64" s="170" t="str">
        <f>IF(AG64=0,"",IFERROR(AG64/AG$19,""))</f>
        <v/>
      </c>
      <c r="AI64" s="171">
        <f>IF(AND($AA64="",AG64=""),"",$AA64-AG64)</f>
        <v>0</v>
      </c>
    </row>
    <row r="65" spans="1:35" ht="15" thickTop="1" x14ac:dyDescent="0.35">
      <c r="A65" s="11"/>
      <c r="B65" s="11"/>
      <c r="C65" s="11"/>
      <c r="D65" s="11"/>
      <c r="E65" s="11"/>
      <c r="F65" s="11"/>
      <c r="G65" s="11"/>
      <c r="H65" s="11"/>
      <c r="I65" s="59"/>
      <c r="J65" s="59"/>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row>
    <row r="66" spans="1:35" x14ac:dyDescent="0.35">
      <c r="A66" s="11" t="s">
        <v>209</v>
      </c>
      <c r="B66" s="11" t="s">
        <v>21</v>
      </c>
      <c r="C66" s="395"/>
      <c r="D66" s="11" t="s">
        <v>590</v>
      </c>
      <c r="E66" s="11"/>
      <c r="F66" s="11" t="s">
        <v>99</v>
      </c>
      <c r="G66" s="11"/>
      <c r="H66" s="11"/>
      <c r="I66" s="59"/>
      <c r="J66" s="59"/>
      <c r="K66" s="11"/>
      <c r="L66" s="11"/>
      <c r="M66" s="11"/>
      <c r="N66" s="104" t="str">
        <f>N63&amp;" - Check"</f>
        <v>Total Expenses - Check</v>
      </c>
      <c r="O66" s="209">
        <f t="shared" ref="O66:AA66" si="11">SUMIF($H$34:$H$64,"600000",O$34:O$64)+SUMIF($H$34:$H$64,"700000",O$34:O$64)-SUMIF($H$34:$H$64,"TOTDEPTEXP",O$34:O$64)</f>
        <v>0</v>
      </c>
      <c r="P66" s="209">
        <f t="shared" si="11"/>
        <v>0</v>
      </c>
      <c r="Q66" s="209">
        <f t="shared" si="11"/>
        <v>0</v>
      </c>
      <c r="R66" s="209">
        <f t="shared" si="11"/>
        <v>0</v>
      </c>
      <c r="S66" s="209">
        <f t="shared" si="11"/>
        <v>0</v>
      </c>
      <c r="T66" s="209">
        <f t="shared" si="11"/>
        <v>0</v>
      </c>
      <c r="U66" s="209">
        <f t="shared" si="11"/>
        <v>0</v>
      </c>
      <c r="V66" s="209">
        <f t="shared" si="11"/>
        <v>0</v>
      </c>
      <c r="W66" s="209">
        <f t="shared" si="11"/>
        <v>0</v>
      </c>
      <c r="X66" s="209">
        <f t="shared" si="11"/>
        <v>0</v>
      </c>
      <c r="Y66" s="209">
        <f t="shared" si="11"/>
        <v>0</v>
      </c>
      <c r="Z66" s="209">
        <f t="shared" si="11"/>
        <v>0</v>
      </c>
      <c r="AA66" s="209">
        <f t="shared" si="11"/>
        <v>0</v>
      </c>
      <c r="AB66" s="100"/>
      <c r="AC66" s="11"/>
      <c r="AD66" s="209">
        <f>SUMIF($H$34:$H$64,"600000",AD$34:AD$64)+SUMIF($H$34:$H$64,"700000",AD$34:AD$64)-SUMIF($H$34:$H$64,"TOTDEPTEXP",AD$34:AD$64)</f>
        <v>0</v>
      </c>
      <c r="AE66" s="100"/>
      <c r="AF66" s="91"/>
      <c r="AG66" s="209">
        <f>SUMIF($H$34:$H$64,"600000",AG$34:AG$64)+SUMIF($H$34:$H$64,"700000",AG$34:AG$64)-SUMIF($H$34:$H$64,"TOTDEPTEXP",AG$34:AG$64)</f>
        <v>0</v>
      </c>
      <c r="AH66" s="100"/>
      <c r="AI66" s="91"/>
    </row>
    <row r="67" spans="1:35" x14ac:dyDescent="0.35">
      <c r="A67" s="11" t="s">
        <v>105</v>
      </c>
      <c r="B67" s="11"/>
      <c r="C67" s="104" t="s">
        <v>101</v>
      </c>
      <c r="D67" s="11" t="s">
        <v>106</v>
      </c>
      <c r="E67" s="11"/>
      <c r="F67" s="11" t="s">
        <v>98</v>
      </c>
      <c r="G67" s="11"/>
      <c r="H67" s="11"/>
      <c r="I67" s="59"/>
      <c r="J67" s="59"/>
      <c r="K67" s="11"/>
      <c r="L67" s="11"/>
      <c r="M67" s="11"/>
      <c r="N67" s="104" t="str">
        <f>N64&amp;" - Check"</f>
        <v>Department Profit (Loss) - Check</v>
      </c>
      <c r="O67" s="209">
        <f t="shared" ref="O67:AA67" si="12">SUMIF($H$34:$H$64,"KPI_GP",O$34:O$64)-SUMIF($H$34:$H$64,"TOTDEPTEXP",O$34:O$64)-SUMIF($H$34:$H$64,"TOTDEPTPL",O$34:O$64)</f>
        <v>0</v>
      </c>
      <c r="P67" s="209">
        <f t="shared" si="12"/>
        <v>0</v>
      </c>
      <c r="Q67" s="209">
        <f t="shared" si="12"/>
        <v>0</v>
      </c>
      <c r="R67" s="209">
        <f t="shared" si="12"/>
        <v>0</v>
      </c>
      <c r="S67" s="209">
        <f t="shared" si="12"/>
        <v>0</v>
      </c>
      <c r="T67" s="209">
        <f t="shared" si="12"/>
        <v>0</v>
      </c>
      <c r="U67" s="209">
        <f t="shared" si="12"/>
        <v>0</v>
      </c>
      <c r="V67" s="209">
        <f t="shared" si="12"/>
        <v>0</v>
      </c>
      <c r="W67" s="209">
        <f t="shared" si="12"/>
        <v>0</v>
      </c>
      <c r="X67" s="209">
        <f t="shared" si="12"/>
        <v>0</v>
      </c>
      <c r="Y67" s="209">
        <f t="shared" si="12"/>
        <v>0</v>
      </c>
      <c r="Z67" s="209">
        <f t="shared" si="12"/>
        <v>0</v>
      </c>
      <c r="AA67" s="209">
        <f t="shared" si="12"/>
        <v>0</v>
      </c>
      <c r="AB67" s="100"/>
      <c r="AC67" s="11"/>
      <c r="AD67" s="209">
        <f>SUMIF($H$34:$H$64,"KPI_GP",AD$34:AD$64)-SUMIF($H$34:$H$64,"TOTDEPTEXP",AD$34:AD$64)-SUMIF($H$34:$H$64,"TOTDEPTPL",AD$34:AD$64)</f>
        <v>0</v>
      </c>
      <c r="AE67" s="100"/>
      <c r="AF67" s="91"/>
      <c r="AG67" s="209">
        <f>SUMIF($H$34:$H$64,"KPI_GP",AG$34:AG$64)-SUMIF($H$34:$H$64,"TOTDEPTEXP",AG$34:AG$64)-SUMIF($H$34:$H$64,"TOTDEPTPL",AG$34:AG$64)</f>
        <v>0</v>
      </c>
      <c r="AH67" s="100"/>
      <c r="AI67" s="91"/>
    </row>
    <row r="68" spans="1:35" x14ac:dyDescent="0.35">
      <c r="A68" s="11" t="s">
        <v>108</v>
      </c>
      <c r="B68" s="11"/>
      <c r="C68" s="106" t="s">
        <v>101</v>
      </c>
      <c r="D68" s="11" t="s">
        <v>106</v>
      </c>
      <c r="E68" s="11"/>
      <c r="F68" s="11" t="s">
        <v>98</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row>
    <row r="69" spans="1:35" x14ac:dyDescent="0.35">
      <c r="A69" s="11" t="s">
        <v>108</v>
      </c>
      <c r="B69" s="11"/>
      <c r="C69" s="196" t="s">
        <v>101</v>
      </c>
      <c r="D69" s="11" t="s">
        <v>107</v>
      </c>
      <c r="E69" s="11"/>
      <c r="F69" s="11" t="s">
        <v>99</v>
      </c>
      <c r="G69" s="11"/>
      <c r="H69" s="11"/>
      <c r="I69" s="59"/>
      <c r="J69" s="59"/>
      <c r="K69" s="11"/>
      <c r="L69" s="11"/>
      <c r="M69" s="11"/>
      <c r="N69" s="11"/>
      <c r="O69" s="137"/>
      <c r="P69" s="137"/>
      <c r="Q69" s="137"/>
      <c r="R69" s="137"/>
      <c r="S69" s="137"/>
      <c r="T69" s="137"/>
      <c r="U69" s="137"/>
      <c r="V69" s="137"/>
      <c r="W69" s="137"/>
      <c r="X69" s="137"/>
      <c r="Y69" s="137"/>
      <c r="Z69" s="137"/>
      <c r="AA69" s="137"/>
      <c r="AB69" s="11"/>
      <c r="AC69" s="11"/>
      <c r="AD69" s="137"/>
      <c r="AE69" s="11"/>
      <c r="AF69" s="11"/>
      <c r="AG69" s="137"/>
      <c r="AH69" s="11"/>
      <c r="AI69" s="11"/>
    </row>
    <row r="70" spans="1:35" x14ac:dyDescent="0.35">
      <c r="A70" s="11"/>
      <c r="B70" s="11"/>
      <c r="C70" s="11"/>
      <c r="D70" s="11"/>
      <c r="E70" s="11"/>
      <c r="F70" s="11"/>
      <c r="G70" s="11"/>
      <c r="H70" s="11"/>
      <c r="I70" s="59"/>
      <c r="J70" s="59"/>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row>
    <row r="71" spans="1:35" x14ac:dyDescent="0.35">
      <c r="A71" s="11"/>
      <c r="B71" s="11"/>
      <c r="C71" s="208"/>
      <c r="D71" s="11"/>
      <c r="E71" s="11"/>
      <c r="F71" s="11"/>
      <c r="G71" s="11"/>
      <c r="H71" s="11"/>
      <c r="I71" s="59"/>
      <c r="J71" s="59"/>
      <c r="K71" s="11"/>
      <c r="L71" s="11"/>
      <c r="M71" s="11"/>
      <c r="N71" s="11"/>
      <c r="O71" s="137"/>
      <c r="P71" s="137"/>
      <c r="Q71" s="137"/>
      <c r="R71" s="137"/>
      <c r="S71" s="137"/>
      <c r="T71" s="137"/>
      <c r="U71" s="137"/>
      <c r="V71" s="137"/>
      <c r="W71" s="137"/>
      <c r="X71" s="137"/>
      <c r="Y71" s="137"/>
      <c r="Z71" s="137"/>
      <c r="AA71" s="137"/>
      <c r="AB71" s="11"/>
      <c r="AC71" s="11"/>
      <c r="AD71" s="137"/>
      <c r="AE71" s="11"/>
      <c r="AF71" s="11"/>
      <c r="AG71" s="137"/>
      <c r="AH71" s="11"/>
      <c r="AI71" s="11"/>
    </row>
    <row r="72" spans="1:35" x14ac:dyDescent="0.35">
      <c r="A72" s="61" t="str">
        <f>IF(_epmOfflineCondition_,"Evdre:Ok",_xll.EVDRE($B$1,A75:B82,A85:B91))</f>
        <v>Evdre:Ok</v>
      </c>
      <c r="B72" s="11"/>
      <c r="C72" s="11"/>
      <c r="D72" s="11"/>
      <c r="E72" s="11"/>
      <c r="F72" s="11"/>
      <c r="G72" s="11"/>
      <c r="H72" s="11"/>
      <c r="I72" s="59"/>
      <c r="J72" s="59"/>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row>
    <row r="73" spans="1:35" x14ac:dyDescent="0.35">
      <c r="A73" s="11"/>
      <c r="B73" s="11"/>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row>
    <row r="74" spans="1:35" x14ac:dyDescent="0.35">
      <c r="A74" s="62" t="s">
        <v>0</v>
      </c>
      <c r="B74" s="63" t="s">
        <v>1</v>
      </c>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row>
    <row r="75" spans="1:35" x14ac:dyDescent="0.35">
      <c r="A75" s="65" t="s">
        <v>2</v>
      </c>
      <c r="B75" s="66" t="str">
        <f>IF(_epmOfflineCondition_,"'Telcom_Legacy'!$B$2:$B$10",_xll.EVRNG($B$2:$B$10))</f>
        <v>'Telcom_Legacy'!$B$2:$B$10</v>
      </c>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row>
    <row r="76" spans="1:35" x14ac:dyDescent="0.35">
      <c r="A76" s="65" t="s">
        <v>3</v>
      </c>
      <c r="B76" s="66" t="str">
        <f>IF(_epmOfflineCondition_,"'Telcom_Legacy'!$O$16:$AI$18",_xll.EVRNG(O16:AI18))</f>
        <v>'Telcom_Legacy'!$O$16:$AI$18</v>
      </c>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row>
    <row r="77" spans="1:35" x14ac:dyDescent="0.35">
      <c r="A77" s="65" t="s">
        <v>4</v>
      </c>
      <c r="B77" s="66" t="str">
        <f>IF(_epmOfflineCondition_,"'Telcom_Legacy'!$H$52:$H$53,'Telcom_Legacy'!$H$55:$H$56,'Telcom_Legacy'!$H$59:$H$60",_xll.EVRNG(H52:H53,H55:H56,H59:H60))</f>
        <v>'Telcom_Legacy'!$H$52:$H$53,'Telcom_Legacy'!$H$55:$H$56,'Telcom_Legacy'!$H$59:$H$60</v>
      </c>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row>
    <row r="78" spans="1:35" x14ac:dyDescent="0.35">
      <c r="A78" s="65" t="s">
        <v>5</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row>
    <row r="79" spans="1:35" x14ac:dyDescent="0.35">
      <c r="A79" s="65" t="s">
        <v>6</v>
      </c>
      <c r="B79" s="66"/>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row>
    <row r="80" spans="1:35" x14ac:dyDescent="0.35">
      <c r="A80" s="65" t="s">
        <v>7</v>
      </c>
      <c r="B80" s="66" t="str">
        <f>IF(_epmOfflineCondition_,"'Telcom_Legacy'!$A$94:$F$100",_xll.EVRNG(A94:F100))</f>
        <v>'Telcom_Legacy'!$A$94:$F$100</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row>
    <row r="81" spans="1:35" x14ac:dyDescent="0.35">
      <c r="A81" s="65" t="s">
        <v>47</v>
      </c>
      <c r="B81" s="66" t="str">
        <f>IF(_epmOfflineCondition_,"'Telcom_Legacy'!$A$117:$B$138",_xll.EVRNG($A$117:$B$138))</f>
        <v>'Telcom_Legacy'!$A$117:$B$138</v>
      </c>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row>
    <row r="82" spans="1:35" x14ac:dyDescent="0.35">
      <c r="A82" s="65" t="s">
        <v>8</v>
      </c>
      <c r="B82" s="66"/>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row>
    <row r="83" spans="1:35" x14ac:dyDescent="0.3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row>
    <row r="84" spans="1:35" x14ac:dyDescent="0.35">
      <c r="A84" s="62" t="s">
        <v>9</v>
      </c>
      <c r="B84" s="63" t="s">
        <v>10</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row>
    <row r="85" spans="1:35" x14ac:dyDescent="0.35">
      <c r="A85" s="65" t="s">
        <v>11</v>
      </c>
      <c r="B85" s="66" t="s">
        <v>21</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row>
    <row r="86" spans="1:35" x14ac:dyDescent="0.35">
      <c r="A86" s="65" t="s">
        <v>12</v>
      </c>
      <c r="B86" s="66" t="s">
        <v>22</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row>
    <row r="87" spans="1:35" x14ac:dyDescent="0.35">
      <c r="A87" s="65" t="s">
        <v>13</v>
      </c>
      <c r="B87" s="66" t="s">
        <v>737</v>
      </c>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row>
    <row r="88" spans="1:35" x14ac:dyDescent="0.35">
      <c r="A88" s="65" t="s">
        <v>14</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row>
    <row r="89" spans="1:35" x14ac:dyDescent="0.35">
      <c r="A89" s="65" t="s">
        <v>15</v>
      </c>
      <c r="B89" s="66"/>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35" x14ac:dyDescent="0.35">
      <c r="A90" s="65" t="s">
        <v>16</v>
      </c>
      <c r="B90" s="66" t="s">
        <v>78</v>
      </c>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35" x14ac:dyDescent="0.35">
      <c r="A91" s="65" t="s">
        <v>17</v>
      </c>
      <c r="B91" s="66"/>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35" x14ac:dyDescent="0.35">
      <c r="A92" s="11"/>
      <c r="B92" s="11"/>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35" x14ac:dyDescent="0.35">
      <c r="A93" s="97" t="s">
        <v>92</v>
      </c>
      <c r="B93" s="98" t="s">
        <v>93</v>
      </c>
      <c r="C93" s="98" t="s">
        <v>94</v>
      </c>
      <c r="D93" s="98" t="s">
        <v>95</v>
      </c>
      <c r="E93" s="98" t="s">
        <v>96</v>
      </c>
      <c r="F93" s="99" t="s">
        <v>97</v>
      </c>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35" x14ac:dyDescent="0.35">
      <c r="A94" s="11"/>
      <c r="B94" s="11"/>
      <c r="C94" s="11"/>
      <c r="D94" s="11"/>
      <c r="E94" s="11"/>
      <c r="F94" s="11"/>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35" x14ac:dyDescent="0.35">
      <c r="A95" s="11" t="s">
        <v>108</v>
      </c>
      <c r="B95" s="11"/>
      <c r="C95" s="104"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35" x14ac:dyDescent="0.35">
      <c r="A96" s="11" t="s">
        <v>100</v>
      </c>
      <c r="B96" s="11"/>
      <c r="C96" s="53"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35">
      <c r="A97" s="11" t="s">
        <v>109</v>
      </c>
      <c r="B97" s="11"/>
      <c r="C97" s="106" t="s">
        <v>101</v>
      </c>
      <c r="D97" s="11" t="s">
        <v>106</v>
      </c>
      <c r="E97" s="11"/>
      <c r="F97" s="11" t="s">
        <v>98</v>
      </c>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35">
      <c r="A98" s="11" t="s">
        <v>109</v>
      </c>
      <c r="B98" s="11"/>
      <c r="C98" s="196" t="s">
        <v>101</v>
      </c>
      <c r="D98" s="11" t="s">
        <v>107</v>
      </c>
      <c r="E98" s="11"/>
      <c r="F98" s="11" t="s">
        <v>99</v>
      </c>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35">
      <c r="A99" s="11" t="s">
        <v>110</v>
      </c>
      <c r="B99" s="11"/>
      <c r="C99" s="106" t="s">
        <v>101</v>
      </c>
      <c r="D99" s="11" t="s">
        <v>106</v>
      </c>
      <c r="E99" s="11"/>
      <c r="F99" s="11" t="s">
        <v>98</v>
      </c>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35">
      <c r="A100" s="11" t="s">
        <v>110</v>
      </c>
      <c r="B100" s="11"/>
      <c r="C100" s="109" t="s">
        <v>101</v>
      </c>
      <c r="D100" s="11" t="s">
        <v>107</v>
      </c>
      <c r="E100" s="11"/>
      <c r="F100" s="11" t="s">
        <v>99</v>
      </c>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35">
      <c r="A101" s="11"/>
      <c r="B101" s="11"/>
      <c r="C101" s="208"/>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35">
      <c r="A103" s="61" t="str">
        <f>IF(_epmOfflineCondition_,"Evdre:Ok",_xll.EVDRE($B$1,A106:B113))</f>
        <v>Evdre:Ok</v>
      </c>
      <c r="B103" s="11" t="s">
        <v>736</v>
      </c>
      <c r="C103" s="11"/>
      <c r="D103" s="11"/>
      <c r="E103" s="11"/>
      <c r="F103" s="11"/>
      <c r="G103" s="76"/>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35">
      <c r="A104" s="11"/>
      <c r="B104" s="11"/>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35">
      <c r="A105" s="62" t="s">
        <v>0</v>
      </c>
      <c r="B105" s="63" t="s">
        <v>1</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35">
      <c r="A106" s="65" t="s">
        <v>2</v>
      </c>
      <c r="B106" s="66" t="str">
        <f>IF(_epmOfflineCondition_,"'Telcom_Legacy'!$B$2:$B$10",_xll.EVRNG($B$2:$B$10))</f>
        <v>'Telcom_Legacy'!$B$2:$B$10</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35">
      <c r="A107" s="65" t="s">
        <v>3</v>
      </c>
      <c r="B107" s="66" t="str">
        <f>IF(_epmOfflineCondition_,"'Telcom_Legacy'!$O$16:$AI$18",_xll.EVRNG(O16:AI18))</f>
        <v>'Telcom_Legacy'!$O$16:$AI$18</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35">
      <c r="A108" s="65" t="s">
        <v>4</v>
      </c>
      <c r="B108" s="66" t="str">
        <f>IF(_epmOfflineCondition_,"'Telcom_Legacy'!$H$61:$H$64",_xll.EVRNG(H61:H64))</f>
        <v>'Telcom_Legacy'!$H$61:$H$64</v>
      </c>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35">
      <c r="A109" s="65" t="s">
        <v>5</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35">
      <c r="A110" s="65" t="s">
        <v>6</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35">
      <c r="A111" s="65" t="s">
        <v>7</v>
      </c>
      <c r="B111" s="66"/>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35">
      <c r="A112" s="65" t="s">
        <v>47</v>
      </c>
      <c r="B112" s="66" t="str">
        <f>IF(_epmOfflineCondition_,"'Telcom_Legacy'!$A$117:$B$138",_xll.EVRNG($A$117:$B$138))</f>
        <v>'Telcom_Legacy'!$A$117:$B$138</v>
      </c>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35">
      <c r="A113" s="65" t="s">
        <v>8</v>
      </c>
      <c r="B113" s="66"/>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3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35">
      <c r="A116" s="62" t="s">
        <v>23</v>
      </c>
      <c r="B116" s="63" t="s">
        <v>24</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35">
      <c r="A117" s="65" t="s">
        <v>25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35">
      <c r="A118" s="65" t="s">
        <v>26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35">
      <c r="A119" s="65" t="s">
        <v>27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35">
      <c r="A120" s="65" t="s">
        <v>28</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35">
      <c r="A121" s="65" t="s">
        <v>29</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35">
      <c r="A122" s="65" t="s">
        <v>30</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35">
      <c r="A123" s="65" t="s">
        <v>31</v>
      </c>
      <c r="B123" s="66" t="s">
        <v>78</v>
      </c>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35">
      <c r="A124" s="65" t="s">
        <v>32</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35">
      <c r="A125" s="65" t="s">
        <v>33</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35">
      <c r="A126" s="65" t="s">
        <v>34</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35">
      <c r="A127" s="65" t="s">
        <v>35</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35">
      <c r="A128" s="65" t="s">
        <v>36</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35">
      <c r="A129" s="65" t="s">
        <v>37</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35">
      <c r="A130" s="65" t="s">
        <v>38</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35">
      <c r="A131" s="65" t="s">
        <v>39</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35">
      <c r="A132" s="65" t="s">
        <v>40</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35">
      <c r="A133" s="65" t="s">
        <v>41</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35">
      <c r="A134" s="65" t="s">
        <v>42</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35">
      <c r="A135" s="65" t="s">
        <v>43</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35">
      <c r="A136" s="65" t="s">
        <v>44</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35">
      <c r="A137" s="65" t="s">
        <v>45</v>
      </c>
      <c r="B137" s="66"/>
      <c r="C137" s="11"/>
      <c r="D137" s="11"/>
      <c r="E137" s="11"/>
      <c r="F137" s="11"/>
      <c r="G137" s="11"/>
      <c r="H137" s="11"/>
      <c r="I137" s="267"/>
      <c r="J137" s="11"/>
      <c r="K137" s="267"/>
      <c r="L137" s="267"/>
      <c r="M137" s="267"/>
      <c r="N137" s="11"/>
      <c r="O137" s="267"/>
      <c r="P137" s="267"/>
      <c r="Q137" s="267"/>
      <c r="R137" s="267"/>
      <c r="S137" s="267"/>
      <c r="T137" s="267"/>
      <c r="U137" s="267"/>
      <c r="V137" s="267"/>
      <c r="W137" s="267"/>
      <c r="X137" s="267"/>
      <c r="Y137" s="267"/>
      <c r="Z137" s="267"/>
      <c r="AA137" s="267"/>
      <c r="AB137" s="11"/>
      <c r="AC137" s="11"/>
      <c r="AD137" s="267"/>
      <c r="AE137" s="11"/>
      <c r="AF137" s="267"/>
      <c r="AG137" s="11"/>
      <c r="AH137" s="267"/>
      <c r="AI137" s="11"/>
    </row>
    <row r="138" spans="1:35" x14ac:dyDescent="0.35">
      <c r="A138" s="65" t="s">
        <v>46</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35">
      <c r="A141" s="11"/>
      <c r="B141" s="11"/>
      <c r="C141" s="11"/>
      <c r="D141" s="11"/>
      <c r="E141" s="11"/>
      <c r="F141" s="11"/>
      <c r="G141" s="11"/>
      <c r="H141" s="11"/>
      <c r="I141" s="267"/>
      <c r="J141" s="11"/>
      <c r="K141" s="267"/>
      <c r="L141" s="267"/>
      <c r="M141" s="267"/>
      <c r="N141" s="11"/>
      <c r="O141" s="267"/>
      <c r="P141" s="267"/>
      <c r="Q141" s="267"/>
      <c r="R141" s="267"/>
      <c r="S141" s="267"/>
      <c r="T141" s="267"/>
      <c r="U141" s="267"/>
      <c r="V141" s="267"/>
      <c r="W141" s="267"/>
      <c r="X141" s="267"/>
      <c r="Y141" s="267"/>
      <c r="Z141" s="267"/>
      <c r="AA141" s="267"/>
      <c r="AB141" s="11"/>
      <c r="AC141" s="11"/>
      <c r="AD141" s="267"/>
      <c r="AE141" s="11"/>
      <c r="AF141" s="267"/>
      <c r="AG141" s="11"/>
      <c r="AH141" s="267"/>
      <c r="AI141" s="11"/>
    </row>
    <row r="142" spans="1:35"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267"/>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267"/>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sheetData>
  <sheetProtection algorithmName="SHA-512" hashValue="0bzLA3yCEjgB3Firr9XP6Yh7xNeIEJA6aZLh38bR0nykE8eSMvpqohKZy3NQHXJgYvVK7rNMIKTwj7RWJB89+g==" saltValue="N3uDfrU7WO9uhPEy7S13sQ==" spinCount="100000" sheet="1" scenarios="1"/>
  <mergeCells count="2">
    <mergeCell ref="AD31:AE31"/>
    <mergeCell ref="AG31:AH31"/>
  </mergeCells>
  <dataValidations disablePrompts="1" count="2">
    <dataValidation type="list" allowBlank="1" sqref="B87 B58 B29" xr:uid="{00000000-0002-0000-1F00-000000000000}">
      <formula1>"SELF,ALL,BAS,DEP,BASMEMBERS,MEMBERS,NOEXPAND,GDEP"</formula1>
    </dataValidation>
    <dataValidation type="list" allowBlank="1" sqref="B57 B86 B28" xr:uid="{00000000-0002-0000-1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6">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366</v>
      </c>
      <c r="C6" s="11" t="str">
        <f>IF(_epmOfflineCondition_,"Health Club/Spa",_xll.EVDES(B6,$B$1))</f>
        <v>Health Club/Spa</v>
      </c>
      <c r="D6" s="11"/>
      <c r="E6" s="58" t="str">
        <f>IF(_epmOfflineCondition_,"D1132",_xll.EVPRO($B$1,$B$6,$F$6))</f>
        <v>D1132</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IF(_epmOfflineCondition_,"'HC_SPA'!$B$2:$B$10",_xll.EVRNG($B$2:$B$10))</f>
        <v>'HC_SPA'!$B$2:$B$10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IF(_epmOfflineCondition_,"'HC_SPA'!$O$16:$AN$18",_xll.EVRNG($O$16:$AN$18))</f>
        <v>'HC_SPA'!$O$16:$AN$18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IF(_epmOfflineCondition_,"'HC_SPA'!$H$34:$H$44",_xll.EVRNG(H34:H44))</f>
        <v>'HC_SPA'!$H$34:$H$44</v>
      </c>
      <c r="C19" s="11"/>
      <c r="D19" s="11"/>
      <c r="E19" s="11"/>
      <c r="F19" s="11"/>
      <c r="G19" s="67" t="str">
        <f>$B$6</f>
        <v>D1132</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IF(_epmOfflineCondition_,"'HC_SPA'!$A$36:$F$40",_xll.EVRNG(A36:F40))</f>
        <v>'HC_SPA'!$A$36:$F$40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IF(_epmOfflineCondition_,"'HC_SPA'!$A$116:$B$137",_xll.EVRNG($A$116:$B$137))</f>
        <v>'HC_SPA'!$A$116:$B$137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IF(_epmOfflineCondition_,"Health Club/Spa Department",IF(_xll.EVDES(B6,$B$1)="#NODATA","",_xll.EVDES(B6,$B$1)&amp;" Department"))</f>
        <v>Health Club/Spa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"DEP(420100) AND "&amp;$E$6&amp;"=Y,400000"</f>
        <v>DEP(420100) AND D1132=Y,400000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367</v>
      </c>
      <c r="I34" s="122" t="str">
        <f>IF(_epmOfflineCondition_,"N",_xll.EVPRO($B$1,$H34,"STYLE"))</f>
        <v>N</v>
      </c>
      <c r="J34" s="122" t="str">
        <f>IF(_epmOfflineCondition_,"N",_xll.EVPRO($B$1,$H34,"CALC"))</f>
        <v>N</v>
      </c>
      <c r="K34" s="179" t="str">
        <f t="shared" ref="K34:K44" si="0">IF(AND(I34&gt;="T5"),"&gt;","")</f>
        <v/>
      </c>
      <c r="L34" s="90" t="str">
        <f>IF(_epmOfflineCondition_,"420300",_xll.EVPRO($B$1,H34,"JDEID"))</f>
        <v>420300</v>
      </c>
      <c r="M34" s="90" t="str">
        <f>IF(_epmOfflineCondition_,"205020",IF(AND(I34="N",J34="N"),_xll.EVPRO($B$1,H34,"PSFTID"),""))</f>
        <v>205020</v>
      </c>
      <c r="N34" s="90" t="str">
        <f>IF(_epmOfflineCondition_,"Massage &amp; Body Treatment Rev",IF(_xll.EVDES(H34,$B$1)="#NODATA","",_xll.EVDES(H34,$B$1)))</f>
        <v>Massage &amp; Body Treatment Rev</v>
      </c>
      <c r="O34" s="143"/>
      <c r="P34" s="143"/>
      <c r="Q34" s="143"/>
      <c r="R34" s="143"/>
      <c r="S34" s="143"/>
      <c r="T34" s="143"/>
      <c r="U34" s="143"/>
      <c r="V34" s="143"/>
      <c r="W34" s="143"/>
      <c r="X34" s="143"/>
      <c r="Y34" s="143"/>
      <c r="Z34" s="143"/>
      <c r="AA34" s="250">
        <f t="shared" ref="AA34:AA44" si="1">IF($I34="B1","",SUM(O34:Z34))</f>
        <v>0</v>
      </c>
      <c r="AB34" s="144" t="str">
        <f t="shared" ref="AB34:AB44" si="2">IF(AA34=0,"",IFERROR(AA34/AA$19,""))</f>
        <v/>
      </c>
      <c r="AC34" s="140"/>
      <c r="AD34" s="143"/>
      <c r="AE34" s="144" t="str">
        <f t="shared" ref="AE34:AE44" si="3">IF(AD34=0,"",IFERROR(AD34/AD$19,""))</f>
        <v/>
      </c>
      <c r="AF34" s="145">
        <f t="shared" ref="AF34:AF44" si="4">IF(AND($AA34="",AD34=""),"",$AA34-AD34)</f>
        <v>0</v>
      </c>
      <c r="AG34" s="143"/>
      <c r="AH34" s="144" t="str">
        <f t="shared" ref="AH34:AH44" si="5">IF(AG34=0,"",IFERROR(AG34/AG$19,""))</f>
        <v/>
      </c>
      <c r="AI34" s="145">
        <f t="shared" ref="AI34:AI44" si="6">IF(AND($AA34="",AG34=""),"",$AA34-AG34)</f>
        <v>0</v>
      </c>
      <c r="AJ34" s="440">
        <f t="shared" ref="AJ34:AJ44" si="7">IFERROR(AA34/AA$20,0)</f>
        <v>0</v>
      </c>
      <c r="AK34" s="441">
        <f t="shared" ref="AK34:AK44" si="8">IFERROR(AD34/AD$20,0)</f>
        <v>0</v>
      </c>
      <c r="AL34" s="442">
        <f t="shared" ref="AL34:AL44" si="9">IFERROR(AG34/AG$20,0)</f>
        <v>0</v>
      </c>
      <c r="AM34" s="443">
        <f t="shared" ref="AM34:AM44" si="10">+IFERROR(ROUND(($AB34-AE34)*100,2)&amp;" pts.",0)</f>
        <v>0</v>
      </c>
      <c r="AN34" s="444">
        <f t="shared" ref="AN34:AN44" si="11">+IFERROR(ROUND(($AB34-AH34)*100,2)&amp;" pts.",0)</f>
        <v>0</v>
      </c>
      <c r="AO34" s="11"/>
    </row>
    <row r="35" spans="1:41" x14ac:dyDescent="0.35">
      <c r="A35" s="97" t="s">
        <v>92</v>
      </c>
      <c r="B35" s="98" t="s">
        <v>93</v>
      </c>
      <c r="C35" s="98" t="s">
        <v>94</v>
      </c>
      <c r="D35" s="98" t="s">
        <v>95</v>
      </c>
      <c r="E35" s="98" t="s">
        <v>96</v>
      </c>
      <c r="F35" s="99" t="s">
        <v>97</v>
      </c>
      <c r="G35" s="11"/>
      <c r="H35" s="88" t="s">
        <v>368</v>
      </c>
      <c r="I35" s="122" t="str">
        <f>IF(_epmOfflineCondition_,"T5",_xll.EVPRO($B$1,$H35,"STYLE"))</f>
        <v>T5</v>
      </c>
      <c r="J35" s="122" t="str">
        <f>IF(_epmOfflineCondition_,"Y",_xll.EVPRO($B$1,$H35,"CALC"))</f>
        <v>Y</v>
      </c>
      <c r="K35" s="179" t="str">
        <f t="shared" si="0"/>
        <v>&gt;</v>
      </c>
      <c r="L35" s="90" t="str">
        <f>IF(_epmOfflineCondition_,"",_xll.EVPRO($B$1,H35,"JDEID"))</f>
        <v/>
      </c>
      <c r="M35" s="90" t="str">
        <f>IF(_epmOfflineCondition_,"",IF(AND(I35="N",J35="N"),_xll.EVPRO($B$1,H35,"PSFTID"),""))</f>
        <v/>
      </c>
      <c r="N35" s="90" t="str">
        <f>IF(_epmOfflineCondition_,"Skin Care Revenue",IF(_xll.EVDES(H35,$B$1)="#NODATA","",_xll.EVDES(H35,$B$1)))</f>
        <v>Skin Care Revenue</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369</v>
      </c>
      <c r="I36" s="122" t="str">
        <f>IF(_epmOfflineCondition_,"T5",_xll.EVPRO($B$1,$H36,"STYLE"))</f>
        <v>T5</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IF(_epmOfflineCondition_,"Hair Care Revenue",IF(_xll.EVDES(H36,$B$1)="#NODATA","",_xll.EVDES(H36,$B$1)))</f>
        <v>Hair Care Revenue</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105</v>
      </c>
      <c r="B37" s="11"/>
      <c r="C37" s="104" t="s">
        <v>101</v>
      </c>
      <c r="D37" s="11" t="s">
        <v>106</v>
      </c>
      <c r="E37" s="11"/>
      <c r="F37" s="11" t="s">
        <v>98</v>
      </c>
      <c r="G37" s="11"/>
      <c r="H37" s="88" t="s">
        <v>370</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IF(_epmOfflineCondition_,"Nail Care Revenue",IF(_xll.EVDES(H37,$B$1)="#NODATA","",_xll.EVDES(H37,$B$1)))</f>
        <v>Nail Care Revenue</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11" t="s">
        <v>104</v>
      </c>
      <c r="B38" s="11"/>
      <c r="C38" s="104" t="s">
        <v>101</v>
      </c>
      <c r="D38" s="11" t="s">
        <v>106</v>
      </c>
      <c r="E38" s="11"/>
      <c r="F38" s="11" t="s">
        <v>98</v>
      </c>
      <c r="G38" s="11"/>
      <c r="H38" s="88" t="s">
        <v>371</v>
      </c>
      <c r="I38" s="122" t="str">
        <f>IF(_epmOfflineCondition_,"T5",_xll.EVPRO($B$1,$H38,"STYLE"))</f>
        <v>T5</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IF(_epmOfflineCondition_,"Fitness Revenue",IF(_xll.EVDES(H38,$B$1)="#NODATA","",_xll.EVDES(H38,$B$1)))</f>
        <v>Fitness Revenue</v>
      </c>
      <c r="O38" s="143"/>
      <c r="P38" s="143"/>
      <c r="Q38" s="143"/>
      <c r="R38" s="143"/>
      <c r="S38" s="143"/>
      <c r="T38" s="143"/>
      <c r="U38" s="143"/>
      <c r="V38" s="143"/>
      <c r="W38" s="143"/>
      <c r="X38" s="143"/>
      <c r="Y38" s="143"/>
      <c r="Z38" s="143"/>
      <c r="AA38" s="250">
        <f t="shared" si="1"/>
        <v>0</v>
      </c>
      <c r="AB38" s="144" t="str">
        <f t="shared" si="2"/>
        <v/>
      </c>
      <c r="AC38" s="140"/>
      <c r="AD38" s="143"/>
      <c r="AE38" s="144" t="str">
        <f t="shared" si="3"/>
        <v/>
      </c>
      <c r="AF38" s="145">
        <f t="shared" si="4"/>
        <v>0</v>
      </c>
      <c r="AG38" s="143"/>
      <c r="AH38" s="144" t="str">
        <f t="shared" si="5"/>
        <v/>
      </c>
      <c r="AI38" s="145">
        <f t="shared" si="6"/>
        <v>0</v>
      </c>
      <c r="AJ38" s="440">
        <f t="shared" si="7"/>
        <v>0</v>
      </c>
      <c r="AK38" s="441">
        <f t="shared" si="8"/>
        <v>0</v>
      </c>
      <c r="AL38" s="442">
        <f t="shared" si="9"/>
        <v>0</v>
      </c>
      <c r="AM38" s="443">
        <f t="shared" si="10"/>
        <v>0</v>
      </c>
      <c r="AN38" s="444">
        <f t="shared" si="11"/>
        <v>0</v>
      </c>
      <c r="AO38" s="11"/>
    </row>
    <row r="39" spans="1:41" x14ac:dyDescent="0.35">
      <c r="A39" s="11" t="s">
        <v>108</v>
      </c>
      <c r="B39" s="11"/>
      <c r="C39" s="106" t="s">
        <v>101</v>
      </c>
      <c r="D39" s="11" t="s">
        <v>106</v>
      </c>
      <c r="E39" s="11"/>
      <c r="F39" s="11" t="s">
        <v>98</v>
      </c>
      <c r="G39" s="11"/>
      <c r="H39" s="88" t="s">
        <v>372</v>
      </c>
      <c r="I39" s="122" t="str">
        <f>IF(_epmOfflineCondition_,"N",_xll.EVPRO($B$1,$H39,"STYLE"))</f>
        <v>N</v>
      </c>
      <c r="J39" s="122" t="str">
        <f>IF(_epmOfflineCondition_,"N",_xll.EVPRO($B$1,$H39,"CALC"))</f>
        <v>N</v>
      </c>
      <c r="K39" s="179" t="str">
        <f t="shared" si="0"/>
        <v/>
      </c>
      <c r="L39" s="90" t="str">
        <f>IF(_epmOfflineCondition_,"420350",_xll.EVPRO($B$1,H39,"JDEID"))</f>
        <v>420350</v>
      </c>
      <c r="M39" s="90" t="str">
        <f>IF(_epmOfflineCondition_,"205018",IF(AND(I39="N",J39="N"),_xll.EVPRO($B$1,H39,"PSFTID"),""))</f>
        <v>205018</v>
      </c>
      <c r="N39" s="90" t="str">
        <f>IF(_epmOfflineCondition_,"Health &amp; Wellness Revenue",IF(_xll.EVDES(H39,$B$1)="#NODATA","",_xll.EVDES(H39,$B$1)))</f>
        <v>Health &amp; Wellness Revenue</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96" t="s">
        <v>101</v>
      </c>
      <c r="D40" s="11" t="s">
        <v>107</v>
      </c>
      <c r="E40" s="11"/>
      <c r="F40" s="11" t="s">
        <v>99</v>
      </c>
      <c r="G40" s="11"/>
      <c r="H40" s="88" t="s">
        <v>373</v>
      </c>
      <c r="I40" s="122" t="str">
        <f>IF(_epmOfflineCondition_,"T5",_xll.EVPRO($B$1,$H40,"STYLE"))</f>
        <v>T5</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IF(_epmOfflineCondition_,"Membership Fee Revenue",IF(_xll.EVDES(H40,$B$1)="#NODATA","",_xll.EVDES(H40,$B$1)))</f>
        <v>Membership Fee Revenue</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11"/>
      <c r="B41" s="11"/>
      <c r="C41" s="11"/>
      <c r="D41" s="11"/>
      <c r="E41" s="11"/>
      <c r="F41" s="11"/>
      <c r="G41" s="11"/>
      <c r="H41" s="88" t="s">
        <v>374</v>
      </c>
      <c r="I41" s="122" t="str">
        <f>IF(_epmOfflineCondition_,"T5",_xll.EVPRO($B$1,$H41,"STYLE"))</f>
        <v>T5</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IF(_epmOfflineCondition_,"Retail Revenue",IF(_xll.EVDES(H41,$B$1)="#NODATA","",_xll.EVDES(H41,$B$1)))</f>
        <v>Retail Revenue</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11"/>
      <c r="B42" s="11"/>
      <c r="C42" s="11"/>
      <c r="D42" s="11"/>
      <c r="E42" s="11"/>
      <c r="F42" s="11"/>
      <c r="G42" s="11"/>
      <c r="H42" s="185" t="s">
        <v>375</v>
      </c>
      <c r="I42" s="122" t="str">
        <f>IF(_epmOfflineCondition_,"N",_xll.EVPRO($B$1,$H42,"STYLE"))</f>
        <v>N</v>
      </c>
      <c r="J42" s="122" t="str">
        <f>IF(_epmOfflineCondition_,"N",_xll.EVPRO($B$1,$H42,"CALC"))</f>
        <v>N</v>
      </c>
      <c r="K42" s="179" t="str">
        <f t="shared" si="0"/>
        <v/>
      </c>
      <c r="L42" s="90" t="str">
        <f>IF(_epmOfflineCondition_,"420700",_xll.EVPRO($B$1,H42,"JDEID"))</f>
        <v>420700</v>
      </c>
      <c r="M42" s="90" t="str">
        <f>IF(_epmOfflineCondition_,"205035",IF(AND(I42="N",J42="N"),_xll.EVPRO($B$1,H42,"PSFTID"),""))</f>
        <v>205035</v>
      </c>
      <c r="N42" s="90" t="str">
        <f>IF(_epmOfflineCondition_,"Other Revenue",IF(_xll.EVDES(H42,$B$1)="#NODATA","",_xll.EVDES(H42,$B$1)))</f>
        <v>Other Revenue</v>
      </c>
      <c r="O42" s="143"/>
      <c r="P42" s="143"/>
      <c r="Q42" s="143"/>
      <c r="R42" s="143"/>
      <c r="S42" s="143"/>
      <c r="T42" s="143"/>
      <c r="U42" s="143"/>
      <c r="V42" s="143"/>
      <c r="W42" s="143"/>
      <c r="X42" s="143"/>
      <c r="Y42" s="143"/>
      <c r="Z42" s="143"/>
      <c r="AA42" s="250">
        <f t="shared" si="1"/>
        <v>0</v>
      </c>
      <c r="AB42" s="144" t="str">
        <f t="shared" si="2"/>
        <v/>
      </c>
      <c r="AC42" s="140"/>
      <c r="AD42" s="143"/>
      <c r="AE42" s="144" t="str">
        <f t="shared" si="3"/>
        <v/>
      </c>
      <c r="AF42" s="145">
        <f t="shared" si="4"/>
        <v>0</v>
      </c>
      <c r="AG42" s="143"/>
      <c r="AH42" s="144" t="str">
        <f t="shared" si="5"/>
        <v/>
      </c>
      <c r="AI42" s="145">
        <f t="shared" si="6"/>
        <v>0</v>
      </c>
      <c r="AJ42" s="440">
        <f t="shared" si="7"/>
        <v>0</v>
      </c>
      <c r="AK42" s="441">
        <f t="shared" si="8"/>
        <v>0</v>
      </c>
      <c r="AL42" s="442">
        <f t="shared" si="9"/>
        <v>0</v>
      </c>
      <c r="AM42" s="443">
        <f t="shared" si="10"/>
        <v>0</v>
      </c>
      <c r="AN42" s="444">
        <f t="shared" si="11"/>
        <v>0</v>
      </c>
      <c r="AO42" s="11"/>
    </row>
    <row r="43" spans="1:41" x14ac:dyDescent="0.35">
      <c r="A43" s="61" t="str">
        <f>IF(_epmOfflineCondition_,"Evdre:Ok",_xll.EVDRE($B$1,A46:B53,A56:B62))</f>
        <v>Evdre:Ok</v>
      </c>
      <c r="B43" s="11"/>
      <c r="C43" s="11"/>
      <c r="D43" s="11"/>
      <c r="E43" s="11"/>
      <c r="F43" s="11"/>
      <c r="G43" s="11"/>
      <c r="H43" s="185" t="s">
        <v>376</v>
      </c>
      <c r="I43" s="122" t="str">
        <f>IF(_epmOfflineCondition_,"N",_xll.EVPRO($B$1,$H43,"STYLE"))</f>
        <v>N</v>
      </c>
      <c r="J43" s="122" t="str">
        <f>IF(_epmOfflineCondition_,"N",_xll.EVPRO($B$1,$H43,"CALC"))</f>
        <v>N</v>
      </c>
      <c r="K43" s="179" t="str">
        <f t="shared" si="0"/>
        <v/>
      </c>
      <c r="L43" s="90" t="str">
        <f>IF(_epmOfflineCondition_,"420990",_xll.EVPRO($B$1,H43,"JDEID"))</f>
        <v>420990</v>
      </c>
      <c r="M43" s="90" t="str">
        <f>IF(_epmOfflineCondition_,"200529",IF(AND(I43="N",J43="N"),_xll.EVPRO($B$1,H43,"PSFTID"),""))</f>
        <v>200529</v>
      </c>
      <c r="N43" s="90" t="str">
        <f>IF(_epmOfflineCondition_,"Spa: Allowances",IF(_xll.EVDES(H43,$B$1)="#NODATA","",_xll.EVDES(H43,$B$1)))</f>
        <v>Spa: Allowances</v>
      </c>
      <c r="O43" s="217"/>
      <c r="P43" s="217"/>
      <c r="Q43" s="217"/>
      <c r="R43" s="217"/>
      <c r="S43" s="217"/>
      <c r="T43" s="217"/>
      <c r="U43" s="217"/>
      <c r="V43" s="217"/>
      <c r="W43" s="217"/>
      <c r="X43" s="217"/>
      <c r="Y43" s="217"/>
      <c r="Z43" s="217"/>
      <c r="AA43" s="251">
        <f t="shared" si="1"/>
        <v>0</v>
      </c>
      <c r="AB43" s="219" t="str">
        <f t="shared" si="2"/>
        <v/>
      </c>
      <c r="AC43" s="140"/>
      <c r="AD43" s="217"/>
      <c r="AE43" s="219" t="str">
        <f t="shared" si="3"/>
        <v/>
      </c>
      <c r="AF43" s="220">
        <f t="shared" si="4"/>
        <v>0</v>
      </c>
      <c r="AG43" s="217"/>
      <c r="AH43" s="219" t="str">
        <f t="shared" si="5"/>
        <v/>
      </c>
      <c r="AI43" s="220">
        <f t="shared" si="6"/>
        <v>0</v>
      </c>
      <c r="AJ43" s="449">
        <f t="shared" si="7"/>
        <v>0</v>
      </c>
      <c r="AK43" s="450">
        <f t="shared" si="8"/>
        <v>0</v>
      </c>
      <c r="AL43" s="451">
        <f t="shared" si="9"/>
        <v>0</v>
      </c>
      <c r="AM43" s="452">
        <f t="shared" si="10"/>
        <v>0</v>
      </c>
      <c r="AN43" s="453">
        <f t="shared" si="11"/>
        <v>0</v>
      </c>
      <c r="AO43" s="11"/>
    </row>
    <row r="44" spans="1:41" x14ac:dyDescent="0.35">
      <c r="A44" s="11"/>
      <c r="B44" s="11"/>
      <c r="C44" s="11"/>
      <c r="D44" s="11"/>
      <c r="E44" s="11"/>
      <c r="F44" s="11"/>
      <c r="G44" s="11"/>
      <c r="H44" s="88" t="s">
        <v>280</v>
      </c>
      <c r="I44" s="188" t="str">
        <f>IF(_epmOfflineCondition_,"T3",_xll.EVPRO($B$1,$H44,"STYLE"))</f>
        <v>T3</v>
      </c>
      <c r="J44" s="188" t="str">
        <f>IF(_epmOfflineCondition_,"Y",_xll.EVPRO($B$1,$H44,"CALC"))</f>
        <v>Y</v>
      </c>
      <c r="K44" s="189" t="str">
        <f t="shared" si="0"/>
        <v/>
      </c>
      <c r="L44" s="190" t="str">
        <f>IF(_epmOfflineCondition_,"400000",_xll.EVPRO($B$1,H44,"JDEID"))</f>
        <v>400000</v>
      </c>
      <c r="M44" s="190" t="str">
        <f>IF(_epmOfflineCondition_,"",IF(AND(I44="N",J44="N"),_xll.EVPRO($B$1,H44,"PSFTID"),""))</f>
        <v/>
      </c>
      <c r="N44" s="190" t="str">
        <f>IF(_epmOfflineCondition_,"Total Revenue",IF(_xll.EVDES(H44,$B$1)="#NODATA","",_xll.EVDES(H44,$B$1)))</f>
        <v>Total Revenue</v>
      </c>
      <c r="O44" s="225"/>
      <c r="P44" s="225"/>
      <c r="Q44" s="225"/>
      <c r="R44" s="225"/>
      <c r="S44" s="225"/>
      <c r="T44" s="225"/>
      <c r="U44" s="225"/>
      <c r="V44" s="225"/>
      <c r="W44" s="225"/>
      <c r="X44" s="225"/>
      <c r="Y44" s="225"/>
      <c r="Z44" s="225"/>
      <c r="AA44" s="225">
        <f t="shared" si="1"/>
        <v>0</v>
      </c>
      <c r="AB44" s="226" t="str">
        <f t="shared" si="2"/>
        <v/>
      </c>
      <c r="AC44" s="227"/>
      <c r="AD44" s="225"/>
      <c r="AE44" s="226" t="str">
        <f t="shared" si="3"/>
        <v/>
      </c>
      <c r="AF44" s="228">
        <f t="shared" si="4"/>
        <v>0</v>
      </c>
      <c r="AG44" s="225"/>
      <c r="AH44" s="226" t="str">
        <f t="shared" si="5"/>
        <v/>
      </c>
      <c r="AI44" s="228">
        <f t="shared" si="6"/>
        <v>0</v>
      </c>
      <c r="AJ44" s="229">
        <f t="shared" si="7"/>
        <v>0</v>
      </c>
      <c r="AK44" s="230">
        <f t="shared" si="8"/>
        <v>0</v>
      </c>
      <c r="AL44" s="232">
        <f t="shared" si="9"/>
        <v>0</v>
      </c>
      <c r="AM44" s="427">
        <f t="shared" si="10"/>
        <v>0</v>
      </c>
      <c r="AN44" s="456">
        <f t="shared" si="11"/>
        <v>0</v>
      </c>
      <c r="AO44" s="11"/>
    </row>
    <row r="45" spans="1:41" x14ac:dyDescent="0.35">
      <c r="A45" s="62" t="s">
        <v>0</v>
      </c>
      <c r="B45" s="63" t="s">
        <v>1</v>
      </c>
      <c r="C45" s="11"/>
      <c r="D45" s="11"/>
      <c r="E45" s="11"/>
      <c r="F45" s="11"/>
      <c r="G45" s="11"/>
      <c r="H45" s="11"/>
      <c r="I45" s="59"/>
      <c r="J45" s="59"/>
      <c r="K45" s="11"/>
      <c r="L45" s="11"/>
      <c r="M45" s="11"/>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65" t="s">
        <v>2</v>
      </c>
      <c r="B46" s="66" t="str">
        <f>IF(_epmOfflineCondition_,"'HC_SPA'!$B$2:$B$10",_xll.EVRNG($B$2:$B$10))</f>
        <v>'HC_SPA'!$B$2:$B$10</v>
      </c>
      <c r="C46" s="11"/>
      <c r="D46" s="11"/>
      <c r="E46" s="11"/>
      <c r="F46" s="11"/>
      <c r="G46" s="11"/>
      <c r="H46" s="11" t="s">
        <v>281</v>
      </c>
      <c r="I46" s="59" t="str">
        <f>IF(_epmOfflineCondition_,"B1",_xll.EVPRO($B$1,$H46,"STYLE"))</f>
        <v>B1</v>
      </c>
      <c r="J46" s="59" t="str">
        <f>IF(_epmOfflineCondition_,"Y",_xll.EVPRO($B$1,$H46,"CALC"))</f>
        <v>Y</v>
      </c>
      <c r="K46" s="11"/>
      <c r="L46" s="11"/>
      <c r="M46" s="11"/>
      <c r="N46" s="105" t="str">
        <f>IF(_epmOfflineCondition_,"Cost of Sales",IF(_xll.EVDES(H46,$B$1)="#NODATA","",_xll.EVDES(H46,$B$1)))</f>
        <v>Cost of Sales</v>
      </c>
      <c r="O46" s="203"/>
      <c r="P46" s="204"/>
      <c r="Q46" s="204"/>
      <c r="R46" s="204"/>
      <c r="S46" s="204"/>
      <c r="T46" s="204"/>
      <c r="U46" s="204"/>
      <c r="V46" s="204"/>
      <c r="W46" s="204"/>
      <c r="X46" s="204"/>
      <c r="Y46" s="204"/>
      <c r="Z46" s="204"/>
      <c r="AA46" s="204"/>
      <c r="AB46" s="118"/>
      <c r="AC46" s="11"/>
      <c r="AD46" s="203"/>
      <c r="AE46" s="204"/>
      <c r="AF46" s="118"/>
      <c r="AG46" s="203"/>
      <c r="AH46" s="204"/>
      <c r="AI46" s="118"/>
      <c r="AJ46" s="11"/>
      <c r="AK46" s="11"/>
      <c r="AL46" s="11"/>
      <c r="AM46" s="11"/>
      <c r="AN46" s="11"/>
      <c r="AO46" s="11"/>
    </row>
    <row r="47" spans="1:41" x14ac:dyDescent="0.35">
      <c r="A47" s="65" t="s">
        <v>3</v>
      </c>
      <c r="B47" s="66" t="str">
        <f>IF(_epmOfflineCondition_,"'HC_SPA'!$O$16:$AN$18",_xll.EVRNG($O$16:$AN$18))</f>
        <v>'HC_SPA'!$O$16:$AN$18</v>
      </c>
      <c r="C47" s="11"/>
      <c r="D47" s="11"/>
      <c r="E47" s="11"/>
      <c r="F47" s="11"/>
      <c r="G47" s="11"/>
      <c r="H47" s="88" t="s">
        <v>377</v>
      </c>
      <c r="I47" s="122" t="str">
        <f>IF(_epmOfflineCondition_,"N",_xll.EVPRO($B$1,$H47,"STYLE"))</f>
        <v>N</v>
      </c>
      <c r="J47" s="122" t="str">
        <f>IF(_epmOfflineCondition_,"N",_xll.EVPRO($B$1,$H47,"CALC"))</f>
        <v>N</v>
      </c>
      <c r="K47" s="179" t="str">
        <f>IF(AND(I47&gt;="T5"),"&gt;","")</f>
        <v/>
      </c>
      <c r="L47" s="90" t="str">
        <f>IF(_epmOfflineCondition_,"520600",_xll.EVPRO($B$1,H47,"JDEID"))</f>
        <v>520600</v>
      </c>
      <c r="M47" s="90" t="str">
        <f>IF(_epmOfflineCondition_,"300030",IF(AND(I47="N",J47="N"),_xll.EVPRO($B$1,H47,"PSFTID"),""))</f>
        <v>300030</v>
      </c>
      <c r="N47" s="90" t="str">
        <f>IF(_epmOfflineCondition_,"Merchandise Cost Of Sales",IF(_xll.EVDES(H47,$B$1)="#NODATA","",_xll.EVDES(H47,$B$1)))</f>
        <v>Merchandise Cost Of Sales</v>
      </c>
      <c r="O47" s="143"/>
      <c r="P47" s="143"/>
      <c r="Q47" s="143"/>
      <c r="R47" s="143"/>
      <c r="S47" s="143"/>
      <c r="T47" s="143"/>
      <c r="U47" s="143"/>
      <c r="V47" s="143"/>
      <c r="W47" s="143"/>
      <c r="X47" s="143"/>
      <c r="Y47" s="143"/>
      <c r="Z47" s="143"/>
      <c r="AA47" s="143">
        <f>IF($I47="B1","",SUM(O47:Z47))</f>
        <v>0</v>
      </c>
      <c r="AB47" s="144" t="str">
        <f>IF(_epmOfflineCondition_,"",IF(AA47=0,"",IFERROR(AA47/_xll.EVGTS($B$1,1,_xll.EVPRO($B$1,$H47,"COSBASIS"),$B$3,$B$5,$B$6,$B$7,$B$9,AA$16,AA$17,AA$11),"")))</f>
        <v/>
      </c>
      <c r="AC47" s="140"/>
      <c r="AD47" s="143"/>
      <c r="AE47" s="144" t="str">
        <f>IF(_epmOfflineCondition_,"",IF(AD47=0,"",IFERROR(AD47/_xll.EVGTS($B$1,1,_xll.EVPRO($B$1,$H47,"COSBASIS"),$B$3,$B$5,$B$6,$B$7,$B$9,AD$16,AD$17,AD$18),"")))</f>
        <v/>
      </c>
      <c r="AF47" s="145">
        <f>IF(AND($AA47="",AD47=""),"",$AA47-AD47)</f>
        <v>0</v>
      </c>
      <c r="AG47" s="143"/>
      <c r="AH47" s="144" t="str">
        <f>IF(_epmOfflineCondition_,"",IF(AG47=0,"",IFERROR(AG47/_xll.EVGTS($B$1,1,_xll.EVPRO($B$1,$H47,"COSBASIS"),$B$3,$B$5,$B$6,$B$7,$B$9,AG$16,AG$17,AG$18),"")))</f>
        <v/>
      </c>
      <c r="AI47" s="145">
        <f>IF(AND($AA47="",AG47=""),"",$AA47-AG47)</f>
        <v>0</v>
      </c>
      <c r="AJ47" s="440">
        <f>IFERROR(AA47/AA$20,0)</f>
        <v>0</v>
      </c>
      <c r="AK47" s="441">
        <f>IFERROR(AD47/AD$20,0)</f>
        <v>0</v>
      </c>
      <c r="AL47" s="442">
        <f>IFERROR(AG47/AG$20,0)</f>
        <v>0</v>
      </c>
      <c r="AM47" s="443">
        <f>+IFERROR(ROUND(($AB47-AE47)*100,2)&amp;" pts.",0)</f>
        <v>0</v>
      </c>
      <c r="AN47" s="444">
        <f>+IFERROR(ROUND(($AB47-AH47)*100,2)&amp;" pts.",0)</f>
        <v>0</v>
      </c>
      <c r="AO47" s="11"/>
    </row>
    <row r="48" spans="1:41" x14ac:dyDescent="0.35">
      <c r="A48" s="65" t="s">
        <v>4</v>
      </c>
      <c r="B48" s="66" t="str">
        <f>IF(_epmOfflineCondition_,"'HC_SPA'!$H$47:$H$49",_xll.EVRNG(H47:H49))</f>
        <v>'HC_SPA'!$H$47:$H$49</v>
      </c>
      <c r="C48" s="11"/>
      <c r="D48" s="11"/>
      <c r="E48" s="11"/>
      <c r="F48" s="11"/>
      <c r="G48" s="11"/>
      <c r="H48" s="185" t="s">
        <v>378</v>
      </c>
      <c r="I48" s="122" t="str">
        <f>IF(_epmOfflineCondition_,"N",_xll.EVPRO($B$1,$H48,"STYLE"))</f>
        <v>N</v>
      </c>
      <c r="J48" s="122" t="str">
        <f>IF(_epmOfflineCondition_,"N",_xll.EVPRO($B$1,$H48,"CALC"))</f>
        <v>N</v>
      </c>
      <c r="K48" s="179" t="str">
        <f>IF(AND(I48&gt;="T5"),"&gt;","")</f>
        <v/>
      </c>
      <c r="L48" s="90" t="str">
        <f>IF(_epmOfflineCondition_,"520650",_xll.EVPRO($B$1,H48,"JDEID"))</f>
        <v>520650</v>
      </c>
      <c r="M48" s="90" t="str">
        <f>IF(_epmOfflineCondition_,"305023",IF(AND(I48="N",J48="N"),_xll.EVPRO($B$1,H48,"PSFTID"),""))</f>
        <v>305023</v>
      </c>
      <c r="N48" s="90" t="str">
        <f>IF(_epmOfflineCondition_,"Clothing Cost Of Sales",IF(_xll.EVDES(H48,$B$1)="#NODATA","",_xll.EVDES(H48,$B$1)))</f>
        <v>Clothing Cost Of Sales</v>
      </c>
      <c r="O48" s="217"/>
      <c r="P48" s="217"/>
      <c r="Q48" s="217"/>
      <c r="R48" s="217"/>
      <c r="S48" s="217"/>
      <c r="T48" s="217"/>
      <c r="U48" s="217"/>
      <c r="V48" s="217"/>
      <c r="W48" s="217"/>
      <c r="X48" s="217"/>
      <c r="Y48" s="217"/>
      <c r="Z48" s="217"/>
      <c r="AA48" s="217">
        <f>IF($I48="B1","",SUM(O48:Z48))</f>
        <v>0</v>
      </c>
      <c r="AB48" s="219" t="str">
        <f>IF(_epmOfflineCondition_,"",IF(AA48=0,"",IFERROR(AA48/_xll.EVGTS($B$1,1,_xll.EVPRO($B$1,$H48,"COSBASIS"),$B$3,$B$5,$B$6,$B$7,$B$9,AA$16,AA$17,AA$11),"")))</f>
        <v/>
      </c>
      <c r="AC48" s="140"/>
      <c r="AD48" s="217"/>
      <c r="AE48" s="219" t="str">
        <f>IF(_epmOfflineCondition_,"",IF(AD48=0,"",IFERROR(AD48/_xll.EVGTS($B$1,1,_xll.EVPRO($B$1,$H48,"COSBASIS"),$B$3,$B$5,$B$6,$B$7,$B$9,AD$16,AD$17,AD$18),"")))</f>
        <v/>
      </c>
      <c r="AF48" s="220">
        <f>IF(AND($AA48="",AD48=""),"",$AA48-AD48)</f>
        <v>0</v>
      </c>
      <c r="AG48" s="217"/>
      <c r="AH48" s="219" t="str">
        <f>IF(_epmOfflineCondition_,"",IF(AG48=0,"",IFERROR(AG48/_xll.EVGTS($B$1,1,_xll.EVPRO($B$1,$H48,"COSBASIS"),$B$3,$B$5,$B$6,$B$7,$B$9,AG$16,AG$17,AG$18),"")))</f>
        <v/>
      </c>
      <c r="AI48" s="220">
        <f>IF(AND($AA48="",AG48=""),"",$AA48-AG48)</f>
        <v>0</v>
      </c>
      <c r="AJ48" s="449">
        <f>IFERROR(AA48/AA$20,0)</f>
        <v>0</v>
      </c>
      <c r="AK48" s="450">
        <f>IFERROR(AD48/AD$20,0)</f>
        <v>0</v>
      </c>
      <c r="AL48" s="451">
        <f>IFERROR(AG48/AG$20,0)</f>
        <v>0</v>
      </c>
      <c r="AM48" s="452">
        <f>+IFERROR(ROUND(($AB48-AE48)*100,2)&amp;" pts.",0)</f>
        <v>0</v>
      </c>
      <c r="AN48" s="453">
        <f>+IFERROR(ROUND(($AB48-AH48)*100,2)&amp;" pts.",0)</f>
        <v>0</v>
      </c>
      <c r="AO48" s="11"/>
    </row>
    <row r="49" spans="1:41" x14ac:dyDescent="0.35">
      <c r="A49" s="65" t="s">
        <v>5</v>
      </c>
      <c r="B49" s="66"/>
      <c r="C49" s="11"/>
      <c r="D49" s="11"/>
      <c r="E49" s="11"/>
      <c r="F49" s="384"/>
      <c r="G49" s="11"/>
      <c r="H49" s="185" t="s">
        <v>379</v>
      </c>
      <c r="I49" s="188" t="str">
        <f>IF(_epmOfflineCondition_,"T4",_xll.EVPRO($B$1,$H49,"STYLE"))</f>
        <v>T4</v>
      </c>
      <c r="J49" s="188" t="str">
        <f>IF(_epmOfflineCondition_,"Y",_xll.EVPRO($B$1,$H49,"CALC"))</f>
        <v>Y</v>
      </c>
      <c r="K49" s="189" t="str">
        <f>IF(AND(I49&gt;="T5"),"&gt;","")</f>
        <v/>
      </c>
      <c r="L49" s="190" t="str">
        <f>IF(_epmOfflineCondition_,"",_xll.EVPRO($B$1,H49,"JDEID"))</f>
        <v/>
      </c>
      <c r="M49" s="190" t="str">
        <f>IF(_epmOfflineCondition_,"",IF(AND(I49="N",J49="N"),_xll.EVPRO($B$1,H49,"PSFTID"),""))</f>
        <v/>
      </c>
      <c r="N49" s="190" t="str">
        <f>IF(_epmOfflineCondition_,"Total Retail HC/ Spa Cost of Sales",IF(_xll.EVDES(H49,$B$1)="#NODATA","",_xll.EVDES(H49,$B$1)))</f>
        <v>Total Retail HC/ Spa Cost of Sales</v>
      </c>
      <c r="O49" s="225"/>
      <c r="P49" s="225"/>
      <c r="Q49" s="225"/>
      <c r="R49" s="225"/>
      <c r="S49" s="225"/>
      <c r="T49" s="225"/>
      <c r="U49" s="225"/>
      <c r="V49" s="225"/>
      <c r="W49" s="225"/>
      <c r="X49" s="225"/>
      <c r="Y49" s="225"/>
      <c r="Z49" s="225"/>
      <c r="AA49" s="225">
        <f>IF($I49="B1","",SUM(O49:Z49))</f>
        <v>0</v>
      </c>
      <c r="AB49" s="226" t="str">
        <f>IF(_epmOfflineCondition_,"",IF(AA49=0,"",IFERROR(AA49/_xll.EVGTS($B$1,1,_xll.EVPRO($B$1,$H49,"COSBASIS"),$B$3,$B$5,$B$6,$B$7,$B$9,AA$16,AA$17,AA$11),"")))</f>
        <v/>
      </c>
      <c r="AC49" s="227"/>
      <c r="AD49" s="225"/>
      <c r="AE49" s="226" t="str">
        <f>IF(_epmOfflineCondition_,"",IF(AD49=0,"",IFERROR(AD49/_xll.EVGTS($B$1,1,_xll.EVPRO($B$1,$H49,"COSBASIS"),$B$3,$B$5,$B$6,$B$7,$B$9,AD$16,AD$17,AD$18),"")))</f>
        <v/>
      </c>
      <c r="AF49" s="228">
        <f>IF(AND($AA49="",AD49=""),"",$AA49-AD49)</f>
        <v>0</v>
      </c>
      <c r="AG49" s="225"/>
      <c r="AH49" s="226" t="str">
        <f>IF(_epmOfflineCondition_,"",IF(AG49=0,"",IFERROR(AG49/_xll.EVGTS($B$1,1,_xll.EVPRO($B$1,$H49,"COSBASIS"),$B$3,$B$5,$B$6,$B$7,$B$9,AG$16,AG$17,AG$18),"")))</f>
        <v/>
      </c>
      <c r="AI49" s="228">
        <f>IF(AND($AA49="",AG49=""),"",$AA49-AG49)</f>
        <v>0</v>
      </c>
      <c r="AJ49" s="229">
        <f>IFERROR(AA49/AA$20,0)</f>
        <v>0</v>
      </c>
      <c r="AK49" s="230">
        <f>IFERROR(AD49/AD$20,0)</f>
        <v>0</v>
      </c>
      <c r="AL49" s="232">
        <f>IFERROR(AG49/AG$20,0)</f>
        <v>0</v>
      </c>
      <c r="AM49" s="427">
        <f>+IFERROR(ROUND(($AB49-AE49)*100,2)&amp;" pts.",0)</f>
        <v>0</v>
      </c>
      <c r="AN49" s="456">
        <f>+IFERROR(ROUND(($AB49-AH49)*100,2)&amp;" pts.",0)</f>
        <v>0</v>
      </c>
      <c r="AO49" s="11"/>
    </row>
    <row r="50" spans="1:41" x14ac:dyDescent="0.35">
      <c r="A50" s="65" t="s">
        <v>6</v>
      </c>
      <c r="B50" s="66"/>
      <c r="C50" s="11"/>
      <c r="D50" s="11"/>
      <c r="E50" s="11"/>
      <c r="F50" s="384"/>
      <c r="G50" s="11"/>
      <c r="H50" s="185" t="s">
        <v>175</v>
      </c>
      <c r="I50" s="89" t="str">
        <f>IF(_epmOfflineCondition_,"B1",_xll.EVPRO($B$1,$H50,"STYLE"))</f>
        <v>B1</v>
      </c>
      <c r="J50" s="89" t="str">
        <f>IF(_epmOfflineCondition_,"Y",_xll.EVPRO($B$1,$H50,"CALC"))</f>
        <v>Y</v>
      </c>
      <c r="K50" s="265" t="str">
        <f>IF(AND(I50&gt;="T5"),"&gt;","")</f>
        <v/>
      </c>
      <c r="L50" s="265"/>
      <c r="M50" s="265"/>
      <c r="N50" s="106" t="str">
        <f>IF(_epmOfflineCondition_,"BLANKROW",IF(_xll.EVDES(H50,$B$1)="#NODATA","",_xll.EVDES(H50,$B$1)))</f>
        <v>BLANKROW</v>
      </c>
      <c r="O50" s="205"/>
      <c r="P50" s="205"/>
      <c r="Q50" s="205"/>
      <c r="R50" s="205"/>
      <c r="S50" s="205"/>
      <c r="T50" s="205"/>
      <c r="U50" s="205"/>
      <c r="V50" s="205"/>
      <c r="W50" s="205"/>
      <c r="X50" s="205"/>
      <c r="Y50" s="205"/>
      <c r="Z50" s="205"/>
      <c r="AA50" s="205" t="str">
        <f>IF($I50="B1","",SUM(O50:Z50))</f>
        <v/>
      </c>
      <c r="AB50" s="206" t="str">
        <f>IF(_epmOfflineCondition_,"",IF(O50=0,"",IFERROR(O50/_xll.EVGTS($B$1,1,INDEX($C$143:$C$166,MATCH($H50,$A$143:$A$166,0)),$B$3,$B$5,$B$6,$B$7,$B$9,O$16,O$17,O$18),"")))</f>
        <v/>
      </c>
      <c r="AC50" s="11"/>
      <c r="AD50" s="205"/>
      <c r="AE50" s="206" t="str">
        <f>IF(_epmOfflineCondition_,"",IF(AD50=0,"",IFERROR(AD50/_xll.EVGTS($B$1,1,INDEX($C$143:$C$166,MATCH($H50,$A$143:$A$166,0)),$B$3,$B$5,$B$6,$B$7,$B$9,AD$16,AD$17,AD$18),"")))</f>
        <v/>
      </c>
      <c r="AF50" s="207" t="str">
        <f>IF(AND($AA50="",AD50=""),"",$AA50-AD50)</f>
        <v/>
      </c>
      <c r="AG50" s="205"/>
      <c r="AH50" s="206" t="str">
        <f>IF(_epmOfflineCondition_,"",IF(AG50=0,"",IFERROR(AG50/_xll.EVGTS($B$1,1,INDEX($C$143:$C$166,MATCH($H50,$A$143:$A$166,0)),$B$3,$B$5,$B$6,$B$7,$B$9,AG$16,AG$17,AG$18),"")))</f>
        <v/>
      </c>
      <c r="AI50" s="207" t="str">
        <f>IF(AND($AA50="",AG50=""),"",$AA50-AG50)</f>
        <v/>
      </c>
      <c r="AJ50" s="200">
        <f>IFERROR(AA50/AA$20,0)</f>
        <v>0</v>
      </c>
      <c r="AK50" s="201">
        <f>IFERROR(AD50/AD$20,0)</f>
        <v>0</v>
      </c>
      <c r="AL50" s="202">
        <f>IFERROR(AG50/AG$20,0)</f>
        <v>0</v>
      </c>
      <c r="AM50" s="392">
        <f>+IFERROR(ROUND(($AB50-AE50)*100,2)&amp;" pts.",0)</f>
        <v>0</v>
      </c>
      <c r="AN50" s="409">
        <f>+IFERROR(ROUND(($AB50-AH50)*100,2)&amp;" pts.",0)</f>
        <v>0</v>
      </c>
      <c r="AO50" s="11"/>
    </row>
    <row r="51" spans="1:41" x14ac:dyDescent="0.35">
      <c r="A51" s="65" t="s">
        <v>7</v>
      </c>
      <c r="B51" s="66" t="str">
        <f>IF(_epmOfflineCondition_,"'HC_SPA'!$A$65:$F$68",_xll.EVRNG(A65:F68))</f>
        <v>'HC_SPA'!$A$65:$F$68</v>
      </c>
      <c r="C51" s="11"/>
      <c r="D51" s="11"/>
      <c r="E51" s="11"/>
      <c r="F51" s="384"/>
      <c r="G51" s="11"/>
      <c r="H51" s="185" t="s">
        <v>292</v>
      </c>
      <c r="I51" s="89" t="str">
        <f>IF(_epmOfflineCondition_,"T3",_xll.EVPRO($B$1,$H51,"STYLE"))</f>
        <v>T3</v>
      </c>
      <c r="J51" s="89" t="str">
        <f>IF(_epmOfflineCondition_,"Y",_xll.EVPRO($B$1,$H51,"CALC"))</f>
        <v>Y</v>
      </c>
      <c r="K51" s="265" t="str">
        <f>IF(AND(I51&gt;="T5"),"&gt;","")</f>
        <v/>
      </c>
      <c r="L51" s="265"/>
      <c r="M51" s="265"/>
      <c r="N51" s="106" t="str">
        <f>IF(_epmOfflineCondition_,"Gross Profit",IF(_xll.EVDES(H51,$B$1)="#NODATA","",_xll.EVDES(H51,$B$1)))</f>
        <v>Gross Profit</v>
      </c>
      <c r="O51" s="123">
        <f t="shared" ref="O51:Z51" si="12">SUMIF($H$34:$H$49,"400000",O34:O49)-SUMIF($H$34:$H$49,"COS_SPARET",O34:O49)</f>
        <v>0</v>
      </c>
      <c r="P51" s="123">
        <f t="shared" si="12"/>
        <v>0</v>
      </c>
      <c r="Q51" s="123">
        <f t="shared" si="12"/>
        <v>0</v>
      </c>
      <c r="R51" s="123">
        <f t="shared" si="12"/>
        <v>0</v>
      </c>
      <c r="S51" s="123">
        <f t="shared" si="12"/>
        <v>0</v>
      </c>
      <c r="T51" s="123">
        <f t="shared" si="12"/>
        <v>0</v>
      </c>
      <c r="U51" s="123">
        <f t="shared" si="12"/>
        <v>0</v>
      </c>
      <c r="V51" s="123">
        <f t="shared" si="12"/>
        <v>0</v>
      </c>
      <c r="W51" s="123">
        <f t="shared" si="12"/>
        <v>0</v>
      </c>
      <c r="X51" s="123">
        <f t="shared" si="12"/>
        <v>0</v>
      </c>
      <c r="Y51" s="123">
        <f t="shared" si="12"/>
        <v>0</v>
      </c>
      <c r="Z51" s="123">
        <f t="shared" si="12"/>
        <v>0</v>
      </c>
      <c r="AA51" s="191">
        <f>IF($I51="B1","",SUM(O51:Z51))</f>
        <v>0</v>
      </c>
      <c r="AB51" s="192" t="str">
        <f>IF(AA51=0,"",IFERROR(AA51/AA$19,""))</f>
        <v/>
      </c>
      <c r="AC51" s="11"/>
      <c r="AD51" s="123">
        <f>SUMIF($H$34:$H$49,"400000",AD34:AD49)-SUMIF($H$34:$H$49,"COS_SPARET",AD34:AD49)</f>
        <v>0</v>
      </c>
      <c r="AE51" s="192" t="str">
        <f>IF(AD51=0,"",IFERROR(AD51/AD$19,""))</f>
        <v/>
      </c>
      <c r="AF51" s="125">
        <f>IF(AND($AA51="",AD51=""),"",$AA51-AD51)</f>
        <v>0</v>
      </c>
      <c r="AG51" s="123">
        <f>SUMIF($H$34:$H$49,"400000",AG34:AG49)-SUMIF($H$34:$H$49,"COS_SPARET",AG34:AG49)</f>
        <v>0</v>
      </c>
      <c r="AH51" s="192" t="str">
        <f>IF(AG51=0,"",IFERROR(AG51/AG$19,""))</f>
        <v/>
      </c>
      <c r="AI51" s="125">
        <f>IF(AND($AA51="",AG51=""),"",$AA51-AG51)</f>
        <v>0</v>
      </c>
      <c r="AJ51" s="193">
        <f>IFERROR(AA51/AA$20,0)</f>
        <v>0</v>
      </c>
      <c r="AK51" s="194">
        <f>IFERROR(AD51/AD$20,0)</f>
        <v>0</v>
      </c>
      <c r="AL51" s="195">
        <f>IFERROR(AG51/AG$20,0)</f>
        <v>0</v>
      </c>
      <c r="AM51" s="407">
        <f>+IFERROR(ROUND(($AB51-AE51)*100,2)&amp;" pts.",0)</f>
        <v>0</v>
      </c>
      <c r="AN51" s="408">
        <f>+IFERROR(ROUND(($AB51-AH51)*100,2)&amp;" pts.",0)</f>
        <v>0</v>
      </c>
      <c r="AO51" s="11"/>
    </row>
    <row r="52" spans="1:41" x14ac:dyDescent="0.35">
      <c r="A52" s="65" t="s">
        <v>47</v>
      </c>
      <c r="B52" s="66" t="str">
        <f>IF(_epmOfflineCondition_,"'HC_SPA'!$A$116:$B$137",_xll.EVRNG($A$116:$B$137))</f>
        <v>'HC_SPA'!$A$116:$B$137</v>
      </c>
      <c r="C52" s="11"/>
      <c r="D52" s="11"/>
      <c r="E52" s="11"/>
      <c r="F52" s="11"/>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203"/>
      <c r="AE52" s="204"/>
      <c r="AF52" s="118"/>
      <c r="AG52" s="204"/>
      <c r="AH52" s="204"/>
      <c r="AI52" s="118"/>
      <c r="AJ52" s="11"/>
      <c r="AK52" s="11"/>
      <c r="AL52" s="11"/>
      <c r="AM52" s="11"/>
      <c r="AN52" s="11"/>
      <c r="AO52" s="11"/>
    </row>
    <row r="53" spans="1:41" x14ac:dyDescent="0.35">
      <c r="A53" s="65" t="s">
        <v>8</v>
      </c>
      <c r="B53" s="66"/>
      <c r="C53" s="11"/>
      <c r="D53" s="11"/>
      <c r="E53" s="11"/>
      <c r="F53" s="11"/>
      <c r="G53" s="11"/>
      <c r="H53" s="11" t="s">
        <v>73</v>
      </c>
      <c r="I53" s="59" t="str">
        <f>IF(_epmOfflineCondition_,"B1",_xll.EVPRO($B$1,$H53,"STYLE"))</f>
        <v>B1</v>
      </c>
      <c r="J53" s="59" t="str">
        <f>IF(_epmOfflineCondition_,"Y",_xll.EVPRO($B$1,$H53,"CALC"))</f>
        <v>Y</v>
      </c>
      <c r="K53" s="11"/>
      <c r="L53" s="11"/>
      <c r="M53" s="11"/>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35">
      <c r="A54" s="11"/>
      <c r="B54" s="11"/>
      <c r="C54" s="11"/>
      <c r="D54" s="11"/>
      <c r="E54" s="11"/>
      <c r="F54" s="11"/>
      <c r="G54" s="11"/>
      <c r="H54" s="11" t="s">
        <v>74</v>
      </c>
      <c r="I54" s="59" t="str">
        <f>IF(_epmOfflineCondition_,"B1",_xll.EVPRO($B$1,$H54,"STYLE"))</f>
        <v>B1</v>
      </c>
      <c r="J54" s="59" t="str">
        <f>IF(_epmOfflineCondition_,"Y",_xll.EVPRO($B$1,$H54,"CALC"))</f>
        <v>Y</v>
      </c>
      <c r="K54" s="11"/>
      <c r="L54" s="11"/>
      <c r="M54" s="11"/>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20"/>
      <c r="AH54" s="120"/>
      <c r="AI54" s="121"/>
      <c r="AJ54" s="11"/>
      <c r="AK54" s="11"/>
      <c r="AL54" s="11"/>
      <c r="AM54" s="11"/>
      <c r="AN54" s="11"/>
      <c r="AO54" s="11"/>
    </row>
    <row r="55" spans="1:41" hidden="1" x14ac:dyDescent="0.35">
      <c r="A55" s="62" t="s">
        <v>9</v>
      </c>
      <c r="B55" s="63" t="s">
        <v>10</v>
      </c>
      <c r="C55" s="11"/>
      <c r="D55" s="11"/>
      <c r="E55" s="11"/>
      <c r="F55" s="11"/>
      <c r="G55" s="11"/>
      <c r="H55" s="88" t="s">
        <v>667</v>
      </c>
      <c r="I55" s="122" t="str">
        <f>IF(_epmOfflineCondition_,"",_xll.EVPRO($B$1,$H55,"STYLE"))</f>
        <v/>
      </c>
      <c r="J55" s="122" t="str">
        <f>IF(_epmOfflineCondition_,"",_xll.EVPRO($B$1,$H55,"CALC"))</f>
        <v/>
      </c>
      <c r="K55" s="179" t="str">
        <f>IF(AND(I55&gt;="T3"),"&gt;","")</f>
        <v/>
      </c>
      <c r="L55" s="90" t="str">
        <f>IF(_epmOfflineCondition_,"",_xll.EVPRO($B$1,H55,"JDEID"))</f>
        <v/>
      </c>
      <c r="M55" s="90" t="str">
        <f>IF(_epmOfflineCondition_,"",IF(AND(I55="N",J55="N"),_xll.EVPRO($B$1,H55,"PSFTID"),""))</f>
        <v/>
      </c>
      <c r="N55" s="90" t="str">
        <f>IF(_epmOfflineCondition_,"",IF(_xll.EVDES(H55,$B$1)="#NODATA","",_xll.EVDES(H55,$B$1)))</f>
        <v/>
      </c>
      <c r="O55" s="210"/>
      <c r="P55" s="210"/>
      <c r="Q55" s="210"/>
      <c r="R55" s="210"/>
      <c r="S55" s="210"/>
      <c r="T55" s="210"/>
      <c r="U55" s="210"/>
      <c r="V55" s="210"/>
      <c r="W55" s="210"/>
      <c r="X55" s="210"/>
      <c r="Y55" s="210"/>
      <c r="Z55" s="210"/>
      <c r="AA55" s="210">
        <f>IF($I55="B1","",SUM(O55:Z55))</f>
        <v>0</v>
      </c>
      <c r="AB55" s="211" t="str">
        <f>IF(AA55=0,"",IFERROR(AA55/AA$19,""))</f>
        <v/>
      </c>
      <c r="AC55" s="140"/>
      <c r="AD55" s="210"/>
      <c r="AE55" s="211" t="str">
        <f>IF(AD55=0,"",IFERROR(AD55/AD$19,""))</f>
        <v/>
      </c>
      <c r="AF55" s="253">
        <f>IF(AND($AA55="",AD55=""),"",$AA55-AD55)</f>
        <v>0</v>
      </c>
      <c r="AG55" s="210"/>
      <c r="AH55" s="211" t="str">
        <f>IF(AG55=0,"",IFERROR(AG55/AG$19,""))</f>
        <v/>
      </c>
      <c r="AI55" s="253">
        <f>IF(AND($AA55="",AG55=""),"",$AA55-AG55)</f>
        <v>0</v>
      </c>
      <c r="AJ55" s="440">
        <f>IFERROR(AA55/AA$20,0)</f>
        <v>0</v>
      </c>
      <c r="AK55" s="441">
        <f>IFERROR(AD55/AD$20,0)</f>
        <v>0</v>
      </c>
      <c r="AL55" s="442">
        <f>IFERROR(AG55/AG$20,0)</f>
        <v>0</v>
      </c>
      <c r="AM55" s="443">
        <f>+IFERROR(ROUND(($AB55-AE55)*100,2)&amp;" pts.",0)</f>
        <v>0</v>
      </c>
      <c r="AN55" s="444">
        <f>+IFERROR(ROUND(($AB55-AH55)*100,2)&amp;" pts.",0)</f>
        <v>0</v>
      </c>
      <c r="AO55" s="11"/>
    </row>
    <row r="56" spans="1:41" hidden="1" x14ac:dyDescent="0.35">
      <c r="A56" s="65" t="s">
        <v>11</v>
      </c>
      <c r="B56" s="66" t="s">
        <v>21</v>
      </c>
      <c r="C56" s="11"/>
      <c r="D56" s="11"/>
      <c r="E56" s="11"/>
      <c r="F56" s="11"/>
      <c r="G56" s="76"/>
      <c r="H56" s="88"/>
      <c r="I56" s="122" t="str">
        <f>IF(_epmOfflineCondition_,"",_xll.EVPRO($B$1,$H56,"STYLE"))</f>
        <v/>
      </c>
      <c r="J56" s="122" t="str">
        <f>IF(_epmOfflineCondition_,"",_xll.EVPRO($B$1,$H56,"CALC"))</f>
        <v/>
      </c>
      <c r="K56" s="179" t="str">
        <f>IF(AND(I56&gt;="T3"),"&gt;","")</f>
        <v/>
      </c>
      <c r="L56" s="90" t="str">
        <f>IF(_epmOfflineCondition_,"",_xll.EVPRO($B$1,H56,"JDEID"))</f>
        <v/>
      </c>
      <c r="M56" s="90" t="str">
        <f>IF(_epmOfflineCondition_,"",IF(AND(I56="N",J56="N"),_xll.EVPRO($B$1,H56,"PSFTID"),""))</f>
        <v/>
      </c>
      <c r="N56" s="90" t="str">
        <f>IF(_epmOfflineCondition_,"",IF(_xll.EVDES(H56,$B$1)="#NODATA","",_xll.EVDES(H56,$B$1)))</f>
        <v/>
      </c>
      <c r="O56" s="210"/>
      <c r="P56" s="210"/>
      <c r="Q56" s="210"/>
      <c r="R56" s="210"/>
      <c r="S56" s="210"/>
      <c r="T56" s="210"/>
      <c r="U56" s="210"/>
      <c r="V56" s="210"/>
      <c r="W56" s="210"/>
      <c r="X56" s="210"/>
      <c r="Y56" s="210"/>
      <c r="Z56" s="210"/>
      <c r="AA56" s="210">
        <f>IF($I56="B1","",SUM(O56:Z56))</f>
        <v>0</v>
      </c>
      <c r="AB56" s="211" t="str">
        <f>IF(AA56=0,"",IFERROR(AA56/AA$19,""))</f>
        <v/>
      </c>
      <c r="AC56" s="140"/>
      <c r="AD56" s="210"/>
      <c r="AE56" s="211" t="str">
        <f>IF(AD56=0,"",IFERROR(AD56/AD$19,""))</f>
        <v/>
      </c>
      <c r="AF56" s="253">
        <f>IF(AND($AA56="",AD56=""),"",$AA56-AD56)</f>
        <v>0</v>
      </c>
      <c r="AG56" s="210"/>
      <c r="AH56" s="211" t="str">
        <f>IF(AG56=0,"",IFERROR(AG56/AG$19,""))</f>
        <v/>
      </c>
      <c r="AI56" s="253">
        <f>IF(AND($AA56="",AG56=""),"",$AA56-AG56)</f>
        <v>0</v>
      </c>
      <c r="AJ56" s="440">
        <f>IFERROR(AA56/AA$20,0)</f>
        <v>0</v>
      </c>
      <c r="AK56" s="441">
        <f>IFERROR(AD56/AD$20,0)</f>
        <v>0</v>
      </c>
      <c r="AL56" s="442">
        <f>IFERROR(AG56/AG$20,0)</f>
        <v>0</v>
      </c>
      <c r="AM56" s="443">
        <f>+IFERROR(ROUND(($AB56-AE56)*100,2)&amp;" pts.",0)</f>
        <v>0</v>
      </c>
      <c r="AN56" s="444">
        <f>+IFERROR(ROUND(($AB56-AH56)*100,2)&amp;" pts.",0)</f>
        <v>0</v>
      </c>
      <c r="AO56" s="11"/>
    </row>
    <row r="57" spans="1:41" x14ac:dyDescent="0.35">
      <c r="A57" s="65" t="s">
        <v>12</v>
      </c>
      <c r="B57" s="66" t="s">
        <v>22</v>
      </c>
      <c r="C57" s="11"/>
      <c r="D57" s="11"/>
      <c r="E57" s="11"/>
      <c r="F57" s="11"/>
      <c r="G57" s="11"/>
      <c r="H57" s="88" t="s">
        <v>75</v>
      </c>
      <c r="I57" s="89" t="str">
        <f>IF(_epmOfflineCondition_,"B1",_xll.EVPRO($B$1,$H57,"STYLE"))</f>
        <v>B1</v>
      </c>
      <c r="J57" s="89" t="str">
        <f>IF(_epmOfflineCondition_,"Y",_xll.EVPRO($B$1,$H57,"CALC"))</f>
        <v>Y</v>
      </c>
      <c r="K57" s="265" t="str">
        <f>IF(AND(I57&gt;="T3"),"&gt;","")</f>
        <v/>
      </c>
      <c r="L57" s="106"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197" t="str">
        <f>IF($I57="B1","",SUM(O57:Z57))</f>
        <v/>
      </c>
      <c r="AB57" s="198" t="str">
        <f>IF(AA57=0,"",IFERROR(AA57/AA$19,""))</f>
        <v/>
      </c>
      <c r="AC57" s="11"/>
      <c r="AD57" s="197"/>
      <c r="AE57" s="198" t="str">
        <f>IF(AD57=0,"",IFERROR(AD57/AD$19,""))</f>
        <v/>
      </c>
      <c r="AF57" s="199" t="str">
        <f>IF(AND($AA57="",AD57=""),"",$AA57-AD57)</f>
        <v/>
      </c>
      <c r="AG57" s="197"/>
      <c r="AH57" s="198" t="str">
        <f>IF(AG57=0,"",IFERROR(AG57/AG$19,""))</f>
        <v/>
      </c>
      <c r="AI57" s="199" t="str">
        <f>IF(AND($AA57="",AG57=""),"",$AA57-AG57)</f>
        <v/>
      </c>
      <c r="AJ57" s="397">
        <f>IFERROR(AA57/AA$20,0)</f>
        <v>0</v>
      </c>
      <c r="AK57" s="398">
        <f>IFERROR(AD57/AD$20,0)</f>
        <v>0</v>
      </c>
      <c r="AL57" s="399">
        <f>IFERROR(AG57/AG$20,0)</f>
        <v>0</v>
      </c>
      <c r="AM57" s="400">
        <f>+IFERROR(ROUND(($AB57-AE57)*100,2)&amp;" pts.",0)</f>
        <v>0</v>
      </c>
      <c r="AN57" s="401">
        <f>+IFERROR(ROUND(($AB57-AH57)*100,2)&amp;" pts.",0)</f>
        <v>0</v>
      </c>
      <c r="AO57" s="11"/>
    </row>
    <row r="58" spans="1:41" hidden="1" x14ac:dyDescent="0.35">
      <c r="A58" s="65" t="s">
        <v>13</v>
      </c>
      <c r="B58" s="66" t="str">
        <f>"DEP(COS_SPARET) AND "&amp;$E$6&amp;"=Y,COS_SPARET"</f>
        <v>DEP(COS_SPARET) AND D1132=Y,COS_SPARET</v>
      </c>
      <c r="C58" s="11"/>
      <c r="D58" s="11"/>
      <c r="E58" s="11"/>
      <c r="F58" s="11"/>
      <c r="G58" s="11"/>
      <c r="H58" s="88" t="s">
        <v>667</v>
      </c>
      <c r="I58" s="122" t="str">
        <f>IF(_epmOfflineCondition_,"",_xll.EVPRO($B$1,$H58,"STYLE"))</f>
        <v/>
      </c>
      <c r="J58" s="122" t="str">
        <f>IF(_epmOfflineCondition_,"",_xll.EVPRO($B$1,$H58,"CALC"))</f>
        <v/>
      </c>
      <c r="K58" s="179" t="str">
        <f>IF(AND(I58&gt;="T3"),"&gt;","")</f>
        <v/>
      </c>
      <c r="L58" s="90" t="str">
        <f>IF(_epmOfflineCondition_,"",_xll.EVPRO($B$1,H58,"JDEID"))</f>
        <v/>
      </c>
      <c r="M58" s="90" t="str">
        <f>IF(_epmOfflineCondition_,"",IF(AND(I58="N",J58="N"),_xll.EVPRO($B$1,H58,"PSFTID"),""))</f>
        <v/>
      </c>
      <c r="N58" s="90" t="str">
        <f>IF(_epmOfflineCondition_,"",IF(_xll.EVDES(H58,$B$1)="#NODATA","",_xll.EVDES(H58,$B$1)))</f>
        <v/>
      </c>
      <c r="O58" s="216"/>
      <c r="P58" s="216"/>
      <c r="Q58" s="216"/>
      <c r="R58" s="216"/>
      <c r="S58" s="216"/>
      <c r="T58" s="216"/>
      <c r="U58" s="216"/>
      <c r="V58" s="216"/>
      <c r="W58" s="216"/>
      <c r="X58" s="216"/>
      <c r="Y58" s="216"/>
      <c r="Z58" s="216"/>
      <c r="AA58" s="216">
        <f>IF($I58="B1","",SUM(O58:Z58))</f>
        <v>0</v>
      </c>
      <c r="AB58" s="218" t="str">
        <f>IF(AA58=0,"",IFERROR(AA58/AA$19,""))</f>
        <v/>
      </c>
      <c r="AC58" s="140"/>
      <c r="AD58" s="216"/>
      <c r="AE58" s="218" t="str">
        <f>IF(AD58=0,"",IFERROR(AD58/AD$19,""))</f>
        <v/>
      </c>
      <c r="AF58" s="233">
        <f>IF(AND($AA58="",AD58=""),"",$AA58-AD58)</f>
        <v>0</v>
      </c>
      <c r="AG58" s="216"/>
      <c r="AH58" s="218" t="str">
        <f>IF(AG58=0,"",IFERROR(AG58/AG$19,""))</f>
        <v/>
      </c>
      <c r="AI58" s="233">
        <f>IF(AND($AA58="",AG58=""),"",$AA58-AG58)</f>
        <v>0</v>
      </c>
      <c r="AJ58" s="440">
        <f>IFERROR(AA58/AA$20,0)</f>
        <v>0</v>
      </c>
      <c r="AK58" s="441">
        <f>IFERROR(AD58/AD$20,0)</f>
        <v>0</v>
      </c>
      <c r="AL58" s="442">
        <f>IFERROR(AG58/AG$20,0)</f>
        <v>0</v>
      </c>
      <c r="AM58" s="443">
        <f>+IFERROR(ROUND(($AB58-AE58)*100,2)&amp;" pts.",0)</f>
        <v>0</v>
      </c>
      <c r="AN58" s="444">
        <f>+IFERROR(ROUND(($AB58-AH58)*100,2)&amp;" pts.",0)</f>
        <v>0</v>
      </c>
      <c r="AO58" s="11"/>
    </row>
    <row r="59" spans="1:41" hidden="1" x14ac:dyDescent="0.35">
      <c r="A59" s="65" t="s">
        <v>14</v>
      </c>
      <c r="B59" s="66"/>
      <c r="C59" s="11"/>
      <c r="D59" s="11"/>
      <c r="E59" s="11"/>
      <c r="F59" s="11"/>
      <c r="G59" s="11"/>
      <c r="H59" s="88"/>
      <c r="I59" s="122" t="str">
        <f>IF(_epmOfflineCondition_,"",_xll.EVPRO($B$1,$H59,"STYLE"))</f>
        <v/>
      </c>
      <c r="J59" s="122" t="str">
        <f>IF(_epmOfflineCondition_,"",_xll.EVPRO($B$1,$H59,"CALC"))</f>
        <v/>
      </c>
      <c r="K59" s="179" t="str">
        <f>IF(AND(I59&gt;="T3"),"&gt;","")</f>
        <v/>
      </c>
      <c r="L59" s="90" t="str">
        <f>IF(_epmOfflineCondition_,"",_xll.EVPRO($B$1,H59,"JDEID"))</f>
        <v/>
      </c>
      <c r="M59" s="90" t="str">
        <f>IF(_epmOfflineCondition_,"",IF(AND(I59="N",J59="N"),_xll.EVPRO($B$1,H59,"PSFTID"),""))</f>
        <v/>
      </c>
      <c r="N59" s="90" t="str">
        <f>IF(_epmOfflineCondition_,"",IF(_xll.EVDES(H59,$B$1)="#NODATA","",_xll.EVDES(H59,$B$1)))</f>
        <v/>
      </c>
      <c r="O59" s="216"/>
      <c r="P59" s="216"/>
      <c r="Q59" s="216"/>
      <c r="R59" s="216"/>
      <c r="S59" s="216"/>
      <c r="T59" s="216"/>
      <c r="U59" s="216"/>
      <c r="V59" s="216"/>
      <c r="W59" s="216"/>
      <c r="X59" s="216"/>
      <c r="Y59" s="216"/>
      <c r="Z59" s="216"/>
      <c r="AA59" s="216">
        <f>IF($I59="B1","",SUM(O59:Z59))</f>
        <v>0</v>
      </c>
      <c r="AB59" s="218" t="str">
        <f>IF(AA59=0,"",IFERROR(AA59/AA$19,""))</f>
        <v/>
      </c>
      <c r="AC59" s="140"/>
      <c r="AD59" s="216"/>
      <c r="AE59" s="218" t="str">
        <f>IF(AD59=0,"",IFERROR(AD59/AD$19,""))</f>
        <v/>
      </c>
      <c r="AF59" s="233">
        <f>IF(AND($AA59="",AD59=""),"",$AA59-AD59)</f>
        <v>0</v>
      </c>
      <c r="AG59" s="216"/>
      <c r="AH59" s="218" t="str">
        <f>IF(AG59=0,"",IFERROR(AG59/AG$19,""))</f>
        <v/>
      </c>
      <c r="AI59" s="233">
        <f>IF(AND($AA59="",AG59=""),"",$AA59-AG59)</f>
        <v>0</v>
      </c>
      <c r="AJ59" s="440">
        <f>IFERROR(AA59/AA$20,0)</f>
        <v>0</v>
      </c>
      <c r="AK59" s="441">
        <f>IFERROR(AD59/AD$20,0)</f>
        <v>0</v>
      </c>
      <c r="AL59" s="442">
        <f>IFERROR(AG59/AG$20,0)</f>
        <v>0</v>
      </c>
      <c r="AM59" s="443">
        <f>+IFERROR(ROUND(($AB59-AE59)*100,2)&amp;" pts.",0)</f>
        <v>0</v>
      </c>
      <c r="AN59" s="444">
        <f>+IFERROR(ROUND(($AB59-AH59)*100,2)&amp;" pts.",0)</f>
        <v>0</v>
      </c>
      <c r="AO59" s="11"/>
    </row>
    <row r="60" spans="1:41" x14ac:dyDescent="0.35">
      <c r="A60" s="65" t="s">
        <v>15</v>
      </c>
      <c r="B60" s="66"/>
      <c r="C60" s="11"/>
      <c r="D60" s="11"/>
      <c r="E60" s="11"/>
      <c r="F60" s="11"/>
      <c r="G60" s="11"/>
      <c r="H60" s="11"/>
      <c r="I60" s="59"/>
      <c r="J60" s="59"/>
      <c r="K60" s="11"/>
      <c r="L60" s="11"/>
      <c r="M60" s="11"/>
      <c r="N60" s="11"/>
      <c r="O60" s="129"/>
      <c r="P60" s="130"/>
      <c r="Q60" s="130"/>
      <c r="R60" s="130"/>
      <c r="S60" s="130"/>
      <c r="T60" s="130"/>
      <c r="U60" s="130"/>
      <c r="V60" s="130"/>
      <c r="W60" s="130"/>
      <c r="X60" s="130"/>
      <c r="Y60" s="130"/>
      <c r="Z60" s="130"/>
      <c r="AA60" s="130"/>
      <c r="AB60" s="131"/>
      <c r="AC60" s="11"/>
      <c r="AD60" s="129"/>
      <c r="AE60" s="130"/>
      <c r="AF60" s="131"/>
      <c r="AG60" s="129"/>
      <c r="AH60" s="130"/>
      <c r="AI60" s="131"/>
      <c r="AJ60" s="11"/>
      <c r="AK60" s="11"/>
      <c r="AL60" s="11"/>
      <c r="AM60" s="11"/>
      <c r="AN60" s="11"/>
      <c r="AO60" s="11"/>
    </row>
    <row r="61" spans="1:41" x14ac:dyDescent="0.35">
      <c r="A61" s="65" t="s">
        <v>16</v>
      </c>
      <c r="B61" s="66"/>
      <c r="C61" s="11"/>
      <c r="D61" s="11"/>
      <c r="E61" s="11"/>
      <c r="F61" s="11"/>
      <c r="G61" s="11"/>
      <c r="H61" s="11" t="s">
        <v>82</v>
      </c>
      <c r="I61" s="59" t="str">
        <f>IF(_epmOfflineCondition_,"B1",_xll.EVPRO($B$1,$H61,"STYLE"))</f>
        <v>B1</v>
      </c>
      <c r="J61" s="59" t="str">
        <f>IF(_epmOfflineCondition_,"Y",_xll.EVPRO($B$1,$H61,"CALC"))</f>
        <v>Y</v>
      </c>
      <c r="K61" s="11"/>
      <c r="L61" s="11"/>
      <c r="M61" s="11"/>
      <c r="N61" s="105" t="str">
        <f>IF(_epmOfflineCondition_,"Other Expenses",IF(_xll.EVDES(H61,$B$1)="#NODATA","",_xll.EVDES(H61,$B$1)))</f>
        <v>Other Expenses</v>
      </c>
      <c r="O61" s="119"/>
      <c r="P61" s="120"/>
      <c r="Q61" s="120"/>
      <c r="R61" s="120"/>
      <c r="S61" s="120"/>
      <c r="T61" s="120"/>
      <c r="U61" s="120"/>
      <c r="V61" s="120"/>
      <c r="W61" s="120"/>
      <c r="X61" s="120"/>
      <c r="Y61" s="120"/>
      <c r="Z61" s="120"/>
      <c r="AA61" s="120"/>
      <c r="AB61" s="121"/>
      <c r="AC61" s="11"/>
      <c r="AD61" s="119"/>
      <c r="AE61" s="120"/>
      <c r="AF61" s="121"/>
      <c r="AG61" s="119"/>
      <c r="AH61" s="120"/>
      <c r="AI61" s="121"/>
      <c r="AJ61" s="11"/>
      <c r="AK61" s="11"/>
      <c r="AL61" s="11"/>
      <c r="AM61" s="11"/>
      <c r="AN61" s="11"/>
      <c r="AO61" s="11"/>
    </row>
    <row r="62" spans="1:41" hidden="1" x14ac:dyDescent="0.35">
      <c r="A62" s="65" t="s">
        <v>17</v>
      </c>
      <c r="B62" s="66"/>
      <c r="C62" s="11"/>
      <c r="D62" s="11"/>
      <c r="E62" s="11"/>
      <c r="F62" s="11"/>
      <c r="G62" s="11"/>
      <c r="H62" s="88" t="s">
        <v>667</v>
      </c>
      <c r="I62" s="122" t="str">
        <f>IF(_epmOfflineCondition_,"",_xll.EVPRO($B$1,$H62,"STYLE"))</f>
        <v/>
      </c>
      <c r="J62" s="122" t="str">
        <f>IF(_epmOfflineCondition_,"",_xll.EVPRO($B$1,$H62,"CALC"))</f>
        <v/>
      </c>
      <c r="K62" s="179" t="str">
        <f>IF(AND(I62&lt;&gt;"B1",J62="Y"),"&gt;","")</f>
        <v/>
      </c>
      <c r="L62" s="90" t="str">
        <f>IF(_epmOfflineCondition_,"",_xll.EVPRO($B$1,H62,"JDEID"))</f>
        <v/>
      </c>
      <c r="M62" s="90" t="str">
        <f>IF(_epmOfflineCondition_,"",IF(AND(I62="N",J62="N"),_xll.EVPRO($B$1,H62,"PSFTID"),""))</f>
        <v/>
      </c>
      <c r="N62" s="90" t="str">
        <f>IF(_epmOfflineCondition_,"",IF(_xll.EVDES(H62,$B$1)="#NODATA","",_xll.EVDES(H62,$B$1)))</f>
        <v/>
      </c>
      <c r="O62" s="143"/>
      <c r="P62" s="143"/>
      <c r="Q62" s="143"/>
      <c r="R62" s="143"/>
      <c r="S62" s="143"/>
      <c r="T62" s="143"/>
      <c r="U62" s="143"/>
      <c r="V62" s="143"/>
      <c r="W62" s="143"/>
      <c r="X62" s="143"/>
      <c r="Y62" s="143"/>
      <c r="Z62" s="143"/>
      <c r="AA62" s="143">
        <f>IF($I62="B1","",SUM(O62:Z62))</f>
        <v>0</v>
      </c>
      <c r="AB62" s="144" t="str">
        <f>IF(AA62=0,"",IFERROR(AA62/AA$19,""))</f>
        <v/>
      </c>
      <c r="AC62" s="140"/>
      <c r="AD62" s="143"/>
      <c r="AE62" s="144" t="str">
        <f>IF(AD62=0,"",IFERROR(AD62/AD$19,""))</f>
        <v/>
      </c>
      <c r="AF62" s="145">
        <f>IF(AND($AA62="",AD62=""),"",$AA62-AD62)</f>
        <v>0</v>
      </c>
      <c r="AG62" s="143"/>
      <c r="AH62" s="144" t="str">
        <f>IF(AG62=0,"",IFERROR(AG62/AG$19,""))</f>
        <v/>
      </c>
      <c r="AI62" s="145">
        <f>IF(AND($AA62="",AG62=""),"",$AA62-AG62)</f>
        <v>0</v>
      </c>
      <c r="AJ62" s="440">
        <f>IFERROR(AA62/AA$20,0)</f>
        <v>0</v>
      </c>
      <c r="AK62" s="441">
        <f>IFERROR(AD62/AD$20,0)</f>
        <v>0</v>
      </c>
      <c r="AL62" s="442">
        <f>IFERROR(AG62/AG$20,0)</f>
        <v>0</v>
      </c>
      <c r="AM62" s="443">
        <f>+IFERROR(ROUND(($AB62-AE62)*100,2)&amp;" pts.",0)</f>
        <v>0</v>
      </c>
      <c r="AN62" s="444">
        <f>+IFERROR(ROUND(($AB62-AH62)*100,2)&amp;" pts.",0)</f>
        <v>0</v>
      </c>
      <c r="AO62" s="11"/>
    </row>
    <row r="63" spans="1:41" hidden="1" x14ac:dyDescent="0.35">
      <c r="A63" s="11"/>
      <c r="B63" s="11"/>
      <c r="C63" s="11"/>
      <c r="D63" s="11"/>
      <c r="E63" s="11"/>
      <c r="F63" s="11"/>
      <c r="G63" s="11"/>
      <c r="H63" s="88"/>
      <c r="I63" s="122" t="str">
        <f>IF(_epmOfflineCondition_,"",_xll.EVPRO($B$1,$H63,"STYLE"))</f>
        <v/>
      </c>
      <c r="J63" s="122" t="str">
        <f>IF(_epmOfflineCondition_,"",_xll.EVPRO($B$1,$H63,"CALC"))</f>
        <v/>
      </c>
      <c r="K63" s="179" t="str">
        <f>IF(AND(I63&lt;&gt;"B1",J63="Y"),"&gt;","")</f>
        <v/>
      </c>
      <c r="L63" s="90" t="str">
        <f>IF(_epmOfflineCondition_,"",_xll.EVPRO($B$1,H63,"JDEID"))</f>
        <v/>
      </c>
      <c r="M63" s="90" t="str">
        <f>IF(_epmOfflineCondition_,"",IF(AND(I63="N",J63="N"),_xll.EVPRO($B$1,H63,"PSFTID"),""))</f>
        <v/>
      </c>
      <c r="N63" s="90" t="str">
        <f>IF(_epmOfflineCondition_,"",IF(_xll.EVDES(H63,$B$1)="#NODATA","",_xll.EVDES(H63,$B$1)))</f>
        <v/>
      </c>
      <c r="O63" s="143"/>
      <c r="P63" s="143"/>
      <c r="Q63" s="143"/>
      <c r="R63" s="143"/>
      <c r="S63" s="143"/>
      <c r="T63" s="143"/>
      <c r="U63" s="143"/>
      <c r="V63" s="143"/>
      <c r="W63" s="143"/>
      <c r="X63" s="143"/>
      <c r="Y63" s="143"/>
      <c r="Z63" s="143"/>
      <c r="AA63" s="143">
        <f>IF($I63="B1","",SUM(O63:Z63))</f>
        <v>0</v>
      </c>
      <c r="AB63" s="144" t="str">
        <f>IF(AA63=0,"",IFERROR(AA63/AA$19,""))</f>
        <v/>
      </c>
      <c r="AC63" s="140"/>
      <c r="AD63" s="143"/>
      <c r="AE63" s="144" t="str">
        <f>IF(AD63=0,"",IFERROR(AD63/AD$19,""))</f>
        <v/>
      </c>
      <c r="AF63" s="145">
        <f>IF(AND($AA63="",AD63=""),"",$AA63-AD63)</f>
        <v>0</v>
      </c>
      <c r="AG63" s="143"/>
      <c r="AH63" s="144" t="str">
        <f>IF(AG63=0,"",IFERROR(AG63/AG$19,""))</f>
        <v/>
      </c>
      <c r="AI63" s="145">
        <f>IF(AND($AA63="",AG63=""),"",$AA63-AG63)</f>
        <v>0</v>
      </c>
      <c r="AJ63" s="440">
        <f>IFERROR(AA63/AA$20,0)</f>
        <v>0</v>
      </c>
      <c r="AK63" s="441">
        <f>IFERROR(AD63/AD$20,0)</f>
        <v>0</v>
      </c>
      <c r="AL63" s="442">
        <f>IFERROR(AG63/AG$20,0)</f>
        <v>0</v>
      </c>
      <c r="AM63" s="443">
        <f>+IFERROR(ROUND(($AB63-AE63)*100,2)&amp;" pts.",0)</f>
        <v>0</v>
      </c>
      <c r="AN63" s="444">
        <f>+IFERROR(ROUND(($AB63-AH63)*100,2)&amp;" pts.",0)</f>
        <v>0</v>
      </c>
      <c r="AO63" s="11"/>
    </row>
    <row r="64" spans="1:41" x14ac:dyDescent="0.35">
      <c r="A64" s="97" t="s">
        <v>92</v>
      </c>
      <c r="B64" s="98" t="s">
        <v>93</v>
      </c>
      <c r="C64" s="98" t="s">
        <v>94</v>
      </c>
      <c r="D64" s="98" t="s">
        <v>95</v>
      </c>
      <c r="E64" s="98" t="s">
        <v>96</v>
      </c>
      <c r="F64" s="99" t="s">
        <v>97</v>
      </c>
      <c r="G64" s="11"/>
      <c r="H64" s="88" t="s">
        <v>79</v>
      </c>
      <c r="I64" s="136" t="str">
        <f>IF(_epmOfflineCondition_,"T3",_xll.EVPRO($B$1,$H64,"STYLE"))</f>
        <v>T3</v>
      </c>
      <c r="J64" s="136" t="str">
        <f>IF(_epmOfflineCondition_,"Y",_xll.EVPRO($B$1,$H64,"CALC"))</f>
        <v>Y</v>
      </c>
      <c r="K64" s="104"/>
      <c r="L64" s="104"/>
      <c r="M64" s="104"/>
      <c r="N64" s="106" t="str">
        <f>IF(_epmOfflineCondition_,"Total Operations Expense",IF(_xll.EVDES(H64,$B$1)="#NODATA","",_xll.EVDES(H64,$B$1)))</f>
        <v>Total Operations Expense</v>
      </c>
      <c r="O64" s="154"/>
      <c r="P64" s="154"/>
      <c r="Q64" s="154"/>
      <c r="R64" s="154"/>
      <c r="S64" s="154"/>
      <c r="T64" s="154"/>
      <c r="U64" s="154"/>
      <c r="V64" s="154"/>
      <c r="W64" s="154"/>
      <c r="X64" s="154"/>
      <c r="Y64" s="154"/>
      <c r="Z64" s="154"/>
      <c r="AA64" s="154">
        <f>IF($I64="B1","",SUM(O64:Z64))</f>
        <v>0</v>
      </c>
      <c r="AB64" s="155" t="str">
        <f>IF(AA64=0,"",IFERROR(AA64/AA$19,""))</f>
        <v/>
      </c>
      <c r="AC64" s="140"/>
      <c r="AD64" s="154"/>
      <c r="AE64" s="155" t="str">
        <f>IF(AD64=0,"",IFERROR(AD64/AD$19,""))</f>
        <v/>
      </c>
      <c r="AF64" s="156">
        <f>IF(AND($AA64="",AD64=""),"",$AA64-AD64)</f>
        <v>0</v>
      </c>
      <c r="AG64" s="154"/>
      <c r="AH64" s="155" t="str">
        <f>IF(AG64=0,"",IFERROR(AG64/AG$19,""))</f>
        <v/>
      </c>
      <c r="AI64" s="156">
        <f>IF(AND($AA64="",AG64=""),"",$AA64-AG64)</f>
        <v>0</v>
      </c>
      <c r="AJ64" s="477">
        <f>IFERROR(AA64/AA$20,0)</f>
        <v>0</v>
      </c>
      <c r="AK64" s="478">
        <f>IFERROR(AD64/AD$20,0)</f>
        <v>0</v>
      </c>
      <c r="AL64" s="479">
        <f>IFERROR(AG64/AG$20,0)</f>
        <v>0</v>
      </c>
      <c r="AM64" s="480">
        <f>+IFERROR(ROUND(($AB64-AE64)*100,2)&amp;" pts.",0)</f>
        <v>0</v>
      </c>
      <c r="AN64" s="555">
        <f>+IFERROR(ROUND(($AB64-AH64)*100,2)&amp;" pts.",0)</f>
        <v>0</v>
      </c>
      <c r="AO64" s="11"/>
    </row>
    <row r="65" spans="1:41" x14ac:dyDescent="0.35">
      <c r="A65" s="11"/>
      <c r="B65" s="11"/>
      <c r="C65" s="11"/>
      <c r="D65" s="11"/>
      <c r="E65" s="11"/>
      <c r="F65" s="11"/>
      <c r="G65" s="11"/>
      <c r="H65" s="11"/>
      <c r="I65" s="59"/>
      <c r="J65" s="59"/>
      <c r="K65" s="11"/>
      <c r="L65" s="11"/>
      <c r="M65" s="11"/>
      <c r="N65" s="11"/>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1"/>
    </row>
    <row r="66" spans="1:41" x14ac:dyDescent="0.35">
      <c r="A66" s="11" t="s">
        <v>105</v>
      </c>
      <c r="B66" s="11"/>
      <c r="C66" s="104" t="s">
        <v>101</v>
      </c>
      <c r="D66" s="11" t="s">
        <v>106</v>
      </c>
      <c r="E66" s="11"/>
      <c r="F66" s="11" t="s">
        <v>98</v>
      </c>
      <c r="G66" s="11"/>
      <c r="H66" s="88" t="s">
        <v>80</v>
      </c>
      <c r="I66" s="136" t="str">
        <f>IF(_epmOfflineCondition_,"T3",_xll.EVPRO($B$1,$H66,"STYLE"))</f>
        <v>T3</v>
      </c>
      <c r="J66" s="136" t="str">
        <f>IF(_epmOfflineCondition_,"Y",_xll.EVPRO($B$1,$H66,"CALC"))</f>
        <v>Y</v>
      </c>
      <c r="K66" s="106"/>
      <c r="L66" s="106"/>
      <c r="M66" s="106"/>
      <c r="N66" s="106" t="str">
        <f>IF(_epmOfflineCondition_,"Total Expenses",IF(_xll.EVDES(H66,$B$1)="#NODATA","",_xll.EVDES(H66,$B$1)))</f>
        <v>Total Expenses</v>
      </c>
      <c r="O66" s="238"/>
      <c r="P66" s="238"/>
      <c r="Q66" s="238"/>
      <c r="R66" s="238"/>
      <c r="S66" s="238"/>
      <c r="T66" s="238"/>
      <c r="U66" s="238"/>
      <c r="V66" s="238"/>
      <c r="W66" s="238"/>
      <c r="X66" s="238"/>
      <c r="Y66" s="238"/>
      <c r="Z66" s="238"/>
      <c r="AA66" s="238">
        <f>IF($I66="B1","",SUM(O66:Z66))</f>
        <v>0</v>
      </c>
      <c r="AB66" s="239" t="str">
        <f>IF(AA66=0,"",IFERROR(AA66/AA$19,""))</f>
        <v/>
      </c>
      <c r="AC66" s="140"/>
      <c r="AD66" s="238"/>
      <c r="AE66" s="239" t="str">
        <f>IF(AD66=0,"",IFERROR(AD66/AD$19,""))</f>
        <v/>
      </c>
      <c r="AF66" s="254">
        <f>IF(AND($AA66="",AD66=""),"",$AA66-AD66)</f>
        <v>0</v>
      </c>
      <c r="AG66" s="255"/>
      <c r="AH66" s="256" t="str">
        <f>IF(AG66=0,"",IFERROR(AG66/AG$19,""))</f>
        <v/>
      </c>
      <c r="AI66" s="254">
        <f>IF(AND($AA66="",AG66=""),"",$AA66-AG66)</f>
        <v>0</v>
      </c>
      <c r="AJ66" s="466">
        <f>IFERROR(AA66/AA$20,0)</f>
        <v>0</v>
      </c>
      <c r="AK66" s="467">
        <f>IFERROR(AD66/AD$20,0)</f>
        <v>0</v>
      </c>
      <c r="AL66" s="468">
        <f>IFERROR(AG66/AG$20,0)</f>
        <v>0</v>
      </c>
      <c r="AM66" s="469">
        <f>+IFERROR(ROUND(($AB66-AE66)*100,2)&amp;" pts.",0)</f>
        <v>0</v>
      </c>
      <c r="AN66" s="556">
        <f>+IFERROR(ROUND(($AB66-AH66)*100,2)&amp;" pts.",0)</f>
        <v>0</v>
      </c>
      <c r="AO66" s="11"/>
    </row>
    <row r="67" spans="1:41" ht="15" thickBot="1" x14ac:dyDescent="0.4">
      <c r="A67" s="11" t="s">
        <v>102</v>
      </c>
      <c r="B67" s="11"/>
      <c r="C67" s="106" t="s">
        <v>101</v>
      </c>
      <c r="D67" s="11" t="s">
        <v>106</v>
      </c>
      <c r="E67" s="11"/>
      <c r="F67" s="11" t="s">
        <v>98</v>
      </c>
      <c r="G67" s="11"/>
      <c r="H67" s="88" t="s">
        <v>81</v>
      </c>
      <c r="I67" s="136" t="str">
        <f>IF(_epmOfflineCondition_,"T3",_xll.EVPRO($B$1,$H67,"STYLE"))</f>
        <v>T3</v>
      </c>
      <c r="J67" s="136" t="str">
        <f>IF(_epmOfflineCondition_,"Y",_xll.EVPRO($B$1,$H67,"CALC"))</f>
        <v>Y</v>
      </c>
      <c r="K67" s="106"/>
      <c r="L67" s="106"/>
      <c r="M67" s="106"/>
      <c r="N67" s="106" t="str">
        <f>IF(_epmOfflineCondition_,"Department Profit (Loss)",IF(_xll.EVDES(H67,$B$1)="#NODATA","",_xll.EVDES(H67,$B$1)))</f>
        <v>Department Profit (Loss)</v>
      </c>
      <c r="O67" s="169"/>
      <c r="P67" s="169"/>
      <c r="Q67" s="169"/>
      <c r="R67" s="169"/>
      <c r="S67" s="169"/>
      <c r="T67" s="169"/>
      <c r="U67" s="169"/>
      <c r="V67" s="169"/>
      <c r="W67" s="169"/>
      <c r="X67" s="169"/>
      <c r="Y67" s="169"/>
      <c r="Z67" s="169"/>
      <c r="AA67" s="169">
        <f>IF($I67="B1","",SUM(O67:Z67))</f>
        <v>0</v>
      </c>
      <c r="AB67" s="170" t="str">
        <f>IF(AA67=0,"",IFERROR(AA67/AA$19,""))</f>
        <v/>
      </c>
      <c r="AC67" s="140"/>
      <c r="AD67" s="169"/>
      <c r="AE67" s="170" t="str">
        <f>IF(AD67=0,"",IFERROR(AD67/AD$19,""))</f>
        <v/>
      </c>
      <c r="AF67" s="171">
        <f>IF(AND($AA67="",AD67=""),"",$AA67-AD67)</f>
        <v>0</v>
      </c>
      <c r="AG67" s="169"/>
      <c r="AH67" s="170" t="str">
        <f>IF(AG67=0,"",IFERROR(AG67/AG$19,""))</f>
        <v/>
      </c>
      <c r="AI67" s="171">
        <f>IF(AND($AA67="",AG67=""),"",$AA67-AG67)</f>
        <v>0</v>
      </c>
      <c r="AJ67" s="483">
        <f>IFERROR(AA67/AA$20,0)</f>
        <v>0</v>
      </c>
      <c r="AK67" s="484">
        <f>IFERROR(AD67/AD$20,0)</f>
        <v>0</v>
      </c>
      <c r="AL67" s="485">
        <f>IFERROR(AG67/AG$20,0)</f>
        <v>0</v>
      </c>
      <c r="AM67" s="486">
        <f>+IFERROR(ROUND(($AB67-AE67)*100,2)&amp;" pts.",0)</f>
        <v>0</v>
      </c>
      <c r="AN67" s="557">
        <f>+IFERROR(ROUND(($AB67-AH67)*100,2)&amp;" pts.",0)</f>
        <v>0</v>
      </c>
      <c r="AO67" s="11"/>
    </row>
    <row r="68" spans="1:41" ht="15" thickTop="1" x14ac:dyDescent="0.35">
      <c r="A68" s="11" t="s">
        <v>102</v>
      </c>
      <c r="B68" s="11"/>
      <c r="C68" s="196" t="s">
        <v>101</v>
      </c>
      <c r="D68" s="11" t="s">
        <v>107</v>
      </c>
      <c r="E68" s="11"/>
      <c r="F68" s="11" t="s">
        <v>99</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11"/>
      <c r="M69" s="11"/>
      <c r="N69" s="104" t="str">
        <f>N66&amp;" - Check"</f>
        <v>Total Expenses - Check</v>
      </c>
      <c r="O69" s="209">
        <f t="shared" ref="O69:AA69" si="13">SUMIF($H$34:$H$67,"600000",O$34:O$67)+SUMIF($H$34:$H$67,"700000",O$34:O$67)-SUMIF($H$34:$H$67,"TOTDEPTEXP",O$34:O$67)</f>
        <v>0</v>
      </c>
      <c r="P69" s="209">
        <f t="shared" si="13"/>
        <v>0</v>
      </c>
      <c r="Q69" s="209">
        <f t="shared" si="13"/>
        <v>0</v>
      </c>
      <c r="R69" s="209">
        <f t="shared" si="13"/>
        <v>0</v>
      </c>
      <c r="S69" s="209">
        <f t="shared" si="13"/>
        <v>0</v>
      </c>
      <c r="T69" s="209">
        <f t="shared" si="13"/>
        <v>0</v>
      </c>
      <c r="U69" s="209">
        <f t="shared" si="13"/>
        <v>0</v>
      </c>
      <c r="V69" s="209">
        <f t="shared" si="13"/>
        <v>0</v>
      </c>
      <c r="W69" s="209">
        <f t="shared" si="13"/>
        <v>0</v>
      </c>
      <c r="X69" s="209">
        <f t="shared" si="13"/>
        <v>0</v>
      </c>
      <c r="Y69" s="209">
        <f t="shared" si="13"/>
        <v>0</v>
      </c>
      <c r="Z69" s="209">
        <f t="shared" si="13"/>
        <v>0</v>
      </c>
      <c r="AA69" s="209">
        <f t="shared" si="13"/>
        <v>0</v>
      </c>
      <c r="AB69" s="100"/>
      <c r="AC69" s="11"/>
      <c r="AD69" s="209">
        <f>SUMIF($H$34:$H$67,"600000",AD$34:AD$67)+SUMIF($H$34:$H$67,"700000",AD$34:AD$67)-SUMIF($H$34:$H$67,"TOTDEPTEXP",AD$34:AD$67)</f>
        <v>0</v>
      </c>
      <c r="AE69" s="100"/>
      <c r="AF69" s="91"/>
      <c r="AG69" s="209">
        <f>SUMIF($H$34:$H$67,"600000",AG$34:AG$67)+SUMIF($H$34:$H$67,"700000",AG$34:AG$67)-SUMIF($H$34:$H$67,"TOTDEPTEXP",AG$34:AG$67)</f>
        <v>0</v>
      </c>
      <c r="AH69" s="100"/>
      <c r="AI69" s="91"/>
      <c r="AJ69" s="11"/>
      <c r="AK69" s="11"/>
      <c r="AL69" s="11"/>
      <c r="AM69" s="11"/>
      <c r="AN69" s="11"/>
      <c r="AO69" s="11"/>
    </row>
    <row r="70" spans="1:41" x14ac:dyDescent="0.35">
      <c r="A70" s="11"/>
      <c r="B70" s="11"/>
      <c r="C70" s="208"/>
      <c r="D70" s="11"/>
      <c r="E70" s="11"/>
      <c r="F70" s="11"/>
      <c r="G70" s="11"/>
      <c r="H70" s="11"/>
      <c r="I70" s="59"/>
      <c r="J70" s="59"/>
      <c r="K70" s="11"/>
      <c r="L70" s="11"/>
      <c r="M70" s="11"/>
      <c r="N70" s="104" t="str">
        <f>N67&amp;" - Check"</f>
        <v>Department Profit (Loss) - Check</v>
      </c>
      <c r="O70" s="209">
        <f t="shared" ref="O70:AA70" si="14">SUMIF($H$34:$H$67,"KPI_GP",O$34:O$67)-SUMIF($H$34:$H$67,"TOTDEPTEXP",O$34:O$67)-SUMIF($H$34:$H$67,"TOTDEPTPL",O$34:O$67)</f>
        <v>0</v>
      </c>
      <c r="P70" s="209">
        <f t="shared" si="14"/>
        <v>0</v>
      </c>
      <c r="Q70" s="209">
        <f t="shared" si="14"/>
        <v>0</v>
      </c>
      <c r="R70" s="209">
        <f t="shared" si="14"/>
        <v>0</v>
      </c>
      <c r="S70" s="209">
        <f t="shared" si="14"/>
        <v>0</v>
      </c>
      <c r="T70" s="209">
        <f t="shared" si="14"/>
        <v>0</v>
      </c>
      <c r="U70" s="209">
        <f t="shared" si="14"/>
        <v>0</v>
      </c>
      <c r="V70" s="209">
        <f t="shared" si="14"/>
        <v>0</v>
      </c>
      <c r="W70" s="209">
        <f t="shared" si="14"/>
        <v>0</v>
      </c>
      <c r="X70" s="209">
        <f t="shared" si="14"/>
        <v>0</v>
      </c>
      <c r="Y70" s="209">
        <f t="shared" si="14"/>
        <v>0</v>
      </c>
      <c r="Z70" s="209">
        <f t="shared" si="14"/>
        <v>0</v>
      </c>
      <c r="AA70" s="209">
        <f t="shared" si="14"/>
        <v>0</v>
      </c>
      <c r="AB70" s="100"/>
      <c r="AC70" s="11"/>
      <c r="AD70" s="209">
        <f>SUMIF($H$34:$H$67,"KPI_GP",AD$34:AD$67)-SUMIF($H$34:$H$67,"TOTDEPTEXP",AD$34:AD$67)-SUMIF($H$34:$H$67,"TOTDEPTPL",AD$34:AD$67)</f>
        <v>0</v>
      </c>
      <c r="AE70" s="100"/>
      <c r="AF70" s="91"/>
      <c r="AG70" s="209">
        <f>SUMIF($H$34:$H$67,"KPI_GP",AG$34:AG$67)-SUMIF($H$34:$H$67,"TOTDEPTEXP",AG$34:AG$67)-SUMIF($H$34:$H$67,"TOTDEPTPL",AG$34:AG$67)</f>
        <v>0</v>
      </c>
      <c r="AH70" s="100"/>
      <c r="AI70" s="91"/>
      <c r="AJ70" s="11"/>
      <c r="AK70" s="11"/>
      <c r="AL70" s="11"/>
      <c r="AM70" s="11"/>
      <c r="AN70" s="11"/>
      <c r="AO70" s="11"/>
    </row>
    <row r="71" spans="1:41" x14ac:dyDescent="0.35">
      <c r="A71" s="61" t="str">
        <f>IF(_epmOfflineCondition_,"Evdre:Ok",_xll.EVDRE($B$1,A74:B81,A84:B90))</f>
        <v>Evdre:Ok</v>
      </c>
      <c r="B71" s="11"/>
      <c r="C71" s="11"/>
      <c r="D71" s="11"/>
      <c r="E71" s="11"/>
      <c r="F71" s="11"/>
      <c r="G71" s="11"/>
      <c r="H71" s="11"/>
      <c r="I71" s="59"/>
      <c r="J71" s="59"/>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11"/>
      <c r="I72" s="59"/>
      <c r="J72" s="59"/>
      <c r="K72" s="11"/>
      <c r="L72" s="11"/>
      <c r="M72" s="11"/>
      <c r="N72" s="11"/>
      <c r="O72" s="137"/>
      <c r="P72" s="137"/>
      <c r="Q72" s="137"/>
      <c r="R72" s="137"/>
      <c r="S72" s="137"/>
      <c r="T72" s="137"/>
      <c r="U72" s="137"/>
      <c r="V72" s="137"/>
      <c r="W72" s="137"/>
      <c r="X72" s="137"/>
      <c r="Y72" s="137"/>
      <c r="Z72" s="137"/>
      <c r="AA72" s="137"/>
      <c r="AB72" s="11"/>
      <c r="AC72" s="11"/>
      <c r="AD72" s="137"/>
      <c r="AE72" s="11"/>
      <c r="AF72" s="11"/>
      <c r="AG72" s="137"/>
      <c r="AH72" s="11"/>
      <c r="AI72" s="11"/>
      <c r="AJ72" s="11"/>
      <c r="AK72" s="11"/>
      <c r="AL72" s="11"/>
      <c r="AM72" s="11"/>
      <c r="AN72" s="11"/>
      <c r="AO72" s="11"/>
    </row>
    <row r="73" spans="1:41" x14ac:dyDescent="0.35">
      <c r="A73" s="62" t="s">
        <v>0</v>
      </c>
      <c r="B73" s="63" t="s">
        <v>1</v>
      </c>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2</v>
      </c>
      <c r="B74" s="66" t="str">
        <f>IF(_epmOfflineCondition_,"'HC_SPA'!$B$2:$B$10",_xll.EVRNG($B$2:$B$10))</f>
        <v>'HC_SPA'!$B$2:$B$10</v>
      </c>
      <c r="C74" s="11"/>
      <c r="D74" s="11"/>
      <c r="E74" s="11"/>
      <c r="F74" s="11"/>
      <c r="G74" s="11"/>
      <c r="H74" s="11"/>
      <c r="I74" s="59"/>
      <c r="J74" s="59"/>
      <c r="K74" s="11"/>
      <c r="L74" s="11"/>
      <c r="M74" s="11"/>
      <c r="N74" s="11"/>
      <c r="O74" s="137"/>
      <c r="P74" s="137"/>
      <c r="Q74" s="137"/>
      <c r="R74" s="137"/>
      <c r="S74" s="137"/>
      <c r="T74" s="137"/>
      <c r="U74" s="137"/>
      <c r="V74" s="137"/>
      <c r="W74" s="137"/>
      <c r="X74" s="137"/>
      <c r="Y74" s="137"/>
      <c r="Z74" s="137"/>
      <c r="AA74" s="137"/>
      <c r="AB74" s="11"/>
      <c r="AC74" s="11"/>
      <c r="AD74" s="137"/>
      <c r="AE74" s="11"/>
      <c r="AF74" s="11"/>
      <c r="AG74" s="137"/>
      <c r="AH74" s="11"/>
      <c r="AI74" s="11"/>
      <c r="AJ74" s="11"/>
      <c r="AK74" s="11"/>
      <c r="AL74" s="11"/>
      <c r="AM74" s="11"/>
      <c r="AN74" s="11"/>
      <c r="AO74" s="11"/>
    </row>
    <row r="75" spans="1:41" x14ac:dyDescent="0.35">
      <c r="A75" s="65" t="s">
        <v>3</v>
      </c>
      <c r="B75" s="66" t="str">
        <f>IF(_epmOfflineCondition_,"'HC_SPA'!$O$16:$AN$18",_xll.EVRNG($O$16:$AN$18))</f>
        <v>'HC_SPA'!$O$16:$AN$18</v>
      </c>
      <c r="C75" s="11"/>
      <c r="D75" s="11"/>
      <c r="E75" s="11"/>
      <c r="F75" s="11"/>
      <c r="G75" s="11"/>
      <c r="H75" s="11"/>
      <c r="I75" s="59"/>
      <c r="J75" s="5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4</v>
      </c>
      <c r="B76" s="66" t="str">
        <f>IF(_epmOfflineCondition_,"'HC_SPA'!$H$55:$H$56,'HC_SPA'!$H$58:$H$59,'HC_SPA'!$H$62:$H$63",_xll.EVRNG(H55:H56,H58:H59,H62:H63))</f>
        <v>'HC_SPA'!$H$55:$H$56,'HC_SPA'!$H$58:$H$59,'HC_SPA'!$H$62:$H$63</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5</v>
      </c>
      <c r="B77" s="66"/>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6</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7</v>
      </c>
      <c r="B79" s="66" t="str">
        <f>IF(_epmOfflineCondition_,"'HC_SPA'!$A$93:$F$99",_xll.EVRNG(A93:F99))</f>
        <v>'HC_SPA'!$A$93:$F$99</v>
      </c>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47</v>
      </c>
      <c r="B80" s="66" t="str">
        <f>IF(_epmOfflineCondition_,"'HC_SPA'!$A$116:$B$137",_xll.EVRNG($A$116:$B$137))</f>
        <v>'HC_SPA'!$A$116:$B$137</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8</v>
      </c>
      <c r="B81" s="66"/>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208"/>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1" t="str">
        <f>IF(_epmOfflineCondition_,"Evdre:Ok",_xll.EVDRE($B$1,A105:B112))</f>
        <v>Evdre:Ok</v>
      </c>
      <c r="B102" s="11" t="s">
        <v>736</v>
      </c>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76"/>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0</v>
      </c>
      <c r="B104" s="63" t="s">
        <v>1</v>
      </c>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v>
      </c>
      <c r="B105" s="66" t="str">
        <f>IF(_epmOfflineCondition_,"'HC_SPA'!$B$2:$B$10",_xll.EVRNG($B$2:$B$10))</f>
        <v>'HC_SPA'!$B$2:$B$10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3</v>
      </c>
      <c r="B106" s="66" t="str">
        <f>IF(_epmOfflineCondition_,"'HC_SPA'!$O$16:$AN$18",_xll.EVRNG($O$16:$AN$18))</f>
        <v>'HC_SPA'!$O$16:$AN$18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v>
      </c>
      <c r="B107" s="66" t="str">
        <f>IF(_epmOfflineCondition_,"'HC_SPA'!$H$64:$H$67",_xll.EVRNG(H64:H67))</f>
        <v>'HC_SPA'!$H$64:$H$67</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6</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47</v>
      </c>
      <c r="B111" s="66" t="str">
        <f>IF(_epmOfflineCondition_,"'HC_SPA'!$A$116:$B$137",_xll.EVRNG($A$116:$B$137))</f>
        <v>'HC_SPA'!$A$116:$B$137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267"/>
      <c r="J140" s="11"/>
      <c r="K140" s="267"/>
      <c r="L140" s="267"/>
      <c r="M140" s="267"/>
      <c r="N140" s="11"/>
      <c r="O140" s="267"/>
      <c r="P140" s="267"/>
      <c r="Q140" s="267"/>
      <c r="R140" s="267"/>
      <c r="S140" s="267"/>
      <c r="T140" s="267"/>
      <c r="U140" s="267"/>
      <c r="V140" s="267"/>
      <c r="W140" s="267"/>
      <c r="X140" s="267"/>
      <c r="Y140" s="267"/>
      <c r="Z140" s="267"/>
      <c r="AA140" s="267"/>
      <c r="AB140" s="11"/>
      <c r="AC140" s="11"/>
      <c r="AD140" s="267"/>
      <c r="AE140" s="11"/>
      <c r="AF140" s="267"/>
      <c r="AG140" s="11"/>
      <c r="AH140" s="267"/>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267"/>
      <c r="J144" s="11"/>
      <c r="K144" s="267"/>
      <c r="L144" s="267"/>
      <c r="M144" s="267"/>
      <c r="N144" s="11"/>
      <c r="O144" s="267"/>
      <c r="P144" s="267"/>
      <c r="Q144" s="267"/>
      <c r="R144" s="267"/>
      <c r="S144" s="267"/>
      <c r="T144" s="267"/>
      <c r="U144" s="267"/>
      <c r="V144" s="267"/>
      <c r="W144" s="267"/>
      <c r="X144" s="267"/>
      <c r="Y144" s="267"/>
      <c r="Z144" s="267"/>
      <c r="AA144" s="267"/>
      <c r="AB144" s="11"/>
      <c r="AC144" s="11"/>
      <c r="AD144" s="267"/>
      <c r="AE144" s="11"/>
      <c r="AF144" s="267"/>
      <c r="AG144" s="11"/>
      <c r="AH144" s="267"/>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nY/h/JaVlZFBarsGbGFAcrmWHnR2oYthhLpw2SDKm/Mk6esrssQz4qHHbe/5hePg8e8EUf+eHvcOTDc4H6VFTw==" saltValue="0WDPSV3WAmegi3vNiUdVbA==" spinCount="100000" sheet="1" scenarios="1"/>
  <mergeCells count="2">
    <mergeCell ref="AD31:AE31"/>
    <mergeCell ref="AG31:AH31"/>
  </mergeCells>
  <dataValidations disablePrompts="1" count="2">
    <dataValidation type="list" allowBlank="1" sqref="B28 B57 B85" xr:uid="{00000000-0002-0000-2000-000000000000}">
      <formula1>"ACCOUNT,BUSINESSUNIT,CATEGORY,DATASRC,DEPARTMENT,INTCO,MEASURES,RPTCURRENCY,TIME"</formula1>
    </dataValidation>
    <dataValidation type="list" allowBlank="1" sqref="B86 B58 B29" xr:uid="{00000000-0002-0000-2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482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4827" r:id="rId7" name="FPMExcelClientSheetOptionstb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380</v>
      </c>
      <c r="C6" s="11" t="str">
        <f>IF(_epmOfflineCondition_,"Parking",_xll.EVDES(B6,$B$1))</f>
        <v>Parking</v>
      </c>
      <c r="D6" s="11"/>
      <c r="E6" s="58" t="str">
        <f>IF(_epmOfflineCondition_,"D1133",_xll.EVPRO($B$1,$B$6,$F$6))</f>
        <v>D1133</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IF(_epmOfflineCondition_,"'Parking'!$B$2:$B$10",_xll.EVRNG($B$2:$B$10))</f>
        <v>'Parking'!$B$2:$B$10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IF(_epmOfflineCondition_,"'Parking'!$O$16:$AN$18",_xll.EVRNG($O$16:$AN$18))</f>
        <v>'Parking'!$O$16:$AN$18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IF(_epmOfflineCondition_,"'Parking'!$H$34:$H$38",_xll.EVRNG(H34:H38))</f>
        <v>'Parking'!$H$34:$H$38</v>
      </c>
      <c r="C19" s="11"/>
      <c r="D19" s="11"/>
      <c r="E19" s="11"/>
      <c r="F19" s="11"/>
      <c r="G19" s="67" t="str">
        <f>$B$6</f>
        <v>D1133</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IF(_epmOfflineCondition_,61112.56,_xll.EVGTS($B$1,1,$B$3,$B$5,$B$7,$B$9,AG$16,AG$17,AG$18,$G$19,$H$19))</f>
        <v>61112.56</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IF(_epmOfflineCondition_,"'Parking'!$A$36:$F$40",_xll.EVRNG(A36:F40))</f>
        <v>'Parking'!$A$36:$F$40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IF(_epmOfflineCondition_,"'Parking'!$A$116:$B$137",_xll.EVRNG($A$116:$B$137))</f>
        <v>'Parking'!$A$116:$B$137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IF(_epmOfflineCondition_,"Parking Department",IF(_xll.EVDES(B6,$B$1)="#NODATA","",_xll.EVDES(B6,$B$1)&amp;" Department"))</f>
        <v>Parking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"DEP(430000) AND "&amp;$E$6&amp;"=Y,400000"</f>
        <v>DEP(430000) AND D1133=Y,400000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381</v>
      </c>
      <c r="I34" s="122" t="str">
        <f>IF(_epmOfflineCondition_,"N",_xll.EVPRO($B$1,$H34,"STYLE"))</f>
        <v>N</v>
      </c>
      <c r="J34" s="122" t="str">
        <f>IF(_epmOfflineCondition_,"N",_xll.EVPRO($B$1,$H34,"CALC"))</f>
        <v>N</v>
      </c>
      <c r="K34" s="179" t="str">
        <f>IF(AND(I34&gt;="T5"),"&gt;","")</f>
        <v/>
      </c>
      <c r="L34" s="90" t="str">
        <f>IF(_epmOfflineCondition_,"430100",_xll.EVPRO($B$1,H34,"JDEID"))</f>
        <v>430100</v>
      </c>
      <c r="M34" s="90" t="str">
        <f>IF(_epmOfflineCondition_,"206012",IF(AND(I34="N",J34="N"),_xll.EVPRO($B$1,H34,"PSFTID"),""))</f>
        <v>206012</v>
      </c>
      <c r="N34" s="90" t="str">
        <f>IF(_epmOfflineCondition_,"Self-Parking Revenue",IF(_xll.EVDES(H34,$B$1)="#NODATA","",_xll.EVDES(H34,$B$1)))</f>
        <v>Self-Parking Revenue</v>
      </c>
      <c r="O34" s="143"/>
      <c r="P34" s="143"/>
      <c r="Q34" s="143"/>
      <c r="R34" s="143"/>
      <c r="S34" s="143"/>
      <c r="T34" s="143"/>
      <c r="U34" s="143"/>
      <c r="V34" s="143"/>
      <c r="W34" s="143"/>
      <c r="X34" s="143"/>
      <c r="Y34" s="143"/>
      <c r="Z34" s="143"/>
      <c r="AA34" s="250">
        <f>IF($I34="B1","",SUM(O34:Z34))</f>
        <v>0</v>
      </c>
      <c r="AB34" s="144" t="str">
        <f>IF(AA34=0,"",IFERROR(AA34/AA$19,""))</f>
        <v/>
      </c>
      <c r="AC34" s="140"/>
      <c r="AD34" s="143"/>
      <c r="AE34" s="144" t="str">
        <f>IF(AD34=0,"",IFERROR(AD34/AD$19,""))</f>
        <v/>
      </c>
      <c r="AF34" s="145">
        <f>IF(AND($AA34="",AD34=""),"",$AA34-AD34)</f>
        <v>0</v>
      </c>
      <c r="AG34" s="143">
        <v>1093.78</v>
      </c>
      <c r="AH34" s="144">
        <f>IF(AG34=0,"",IFERROR(AG34/AG$19,""))</f>
        <v>1.7897793841396923E-2</v>
      </c>
      <c r="AI34" s="145">
        <f>IF(AND($AA34="",AG34=""),"",$AA34-AG34)</f>
        <v>-1093.78</v>
      </c>
      <c r="AJ34" s="440">
        <f>IFERROR(AA34/AA$20,0)</f>
        <v>0</v>
      </c>
      <c r="AK34" s="441">
        <f>IFERROR(AD34/AD$20,0)</f>
        <v>0</v>
      </c>
      <c r="AL34" s="442">
        <f>IFERROR(AG34/AG$20,0)</f>
        <v>5.4552618453865338E-2</v>
      </c>
      <c r="AM34" s="443">
        <f>+IFERROR(ROUND(($AB34-AE34)*100,2)&amp;" pts.",0)</f>
        <v>0</v>
      </c>
      <c r="AN34" s="444">
        <f>+IFERROR(ROUND(($AB34-AH34)*100,2)&amp;" pts.",0)</f>
        <v>0</v>
      </c>
      <c r="AO34" s="11"/>
    </row>
    <row r="35" spans="1:41" x14ac:dyDescent="0.35">
      <c r="A35" s="97" t="s">
        <v>92</v>
      </c>
      <c r="B35" s="98" t="s">
        <v>93</v>
      </c>
      <c r="C35" s="98" t="s">
        <v>94</v>
      </c>
      <c r="D35" s="98" t="s">
        <v>95</v>
      </c>
      <c r="E35" s="98" t="s">
        <v>96</v>
      </c>
      <c r="F35" s="99" t="s">
        <v>97</v>
      </c>
      <c r="G35" s="11"/>
      <c r="H35" s="88" t="s">
        <v>382</v>
      </c>
      <c r="I35" s="122" t="str">
        <f>IF(_epmOfflineCondition_,"T5",_xll.EVPRO($B$1,$H35,"STYLE"))</f>
        <v>T5</v>
      </c>
      <c r="J35" s="122" t="str">
        <f>IF(_epmOfflineCondition_,"Y",_xll.EVPRO($B$1,$H35,"CALC"))</f>
        <v>Y</v>
      </c>
      <c r="K35" s="179" t="str">
        <f>IF(AND(I35&gt;="T5"),"&gt;","")</f>
        <v>&gt;</v>
      </c>
      <c r="L35" s="90" t="str">
        <f>IF(_epmOfflineCondition_,"",_xll.EVPRO($B$1,H35,"JDEID"))</f>
        <v/>
      </c>
      <c r="M35" s="90" t="str">
        <f>IF(_epmOfflineCondition_,"",IF(AND(I35="N",J35="N"),_xll.EVPRO($B$1,H35,"PSFTID"),""))</f>
        <v/>
      </c>
      <c r="N35" s="90" t="str">
        <f>IF(_epmOfflineCondition_,"Valet Parking Revenue",IF(_xll.EVDES(H35,$B$1)="#NODATA","",_xll.EVDES(H35,$B$1)))</f>
        <v>Valet Parking Revenue</v>
      </c>
      <c r="O35" s="143"/>
      <c r="P35" s="143"/>
      <c r="Q35" s="143"/>
      <c r="R35" s="143"/>
      <c r="S35" s="143"/>
      <c r="T35" s="143"/>
      <c r="U35" s="143"/>
      <c r="V35" s="143"/>
      <c r="W35" s="143"/>
      <c r="X35" s="143"/>
      <c r="Y35" s="143"/>
      <c r="Z35" s="143"/>
      <c r="AA35" s="250">
        <f>IF($I35="B1","",SUM(O35:Z35))</f>
        <v>0</v>
      </c>
      <c r="AB35" s="144" t="str">
        <f>IF(AA35=0,"",IFERROR(AA35/AA$19,""))</f>
        <v/>
      </c>
      <c r="AC35" s="140"/>
      <c r="AD35" s="143"/>
      <c r="AE35" s="144" t="str">
        <f>IF(AD35=0,"",IFERROR(AD35/AD$19,""))</f>
        <v/>
      </c>
      <c r="AF35" s="145">
        <f>IF(AND($AA35="",AD35=""),"",$AA35-AD35)</f>
        <v>0</v>
      </c>
      <c r="AG35" s="143">
        <v>60018.78</v>
      </c>
      <c r="AH35" s="144">
        <f>IF(AG35=0,"",IFERROR(AG35/AG$19,""))</f>
        <v>0.98210220615860311</v>
      </c>
      <c r="AI35" s="145">
        <f>IF(AND($AA35="",AG35=""),"",$AA35-AG35)</f>
        <v>-60018.78</v>
      </c>
      <c r="AJ35" s="440">
        <f>IFERROR(AA35/AA$20,0)</f>
        <v>0</v>
      </c>
      <c r="AK35" s="441">
        <f>IFERROR(AD35/AD$20,0)</f>
        <v>0</v>
      </c>
      <c r="AL35" s="442">
        <f>IFERROR(AG35/AG$20,0)</f>
        <v>2.99345536159601</v>
      </c>
      <c r="AM35" s="443">
        <f>+IFERROR(ROUND(($AB35-AE35)*100,2)&amp;" pts.",0)</f>
        <v>0</v>
      </c>
      <c r="AN35" s="444">
        <f>+IFERROR(ROUND(($AB35-AH35)*100,2)&amp;" pts.",0)</f>
        <v>0</v>
      </c>
      <c r="AO35" s="11"/>
    </row>
    <row r="36" spans="1:41" x14ac:dyDescent="0.35">
      <c r="A36" s="11"/>
      <c r="B36" s="11"/>
      <c r="C36" s="11"/>
      <c r="D36" s="11"/>
      <c r="E36" s="11"/>
      <c r="F36" s="11"/>
      <c r="G36" s="11"/>
      <c r="H36" s="88" t="s">
        <v>383</v>
      </c>
      <c r="I36" s="122" t="str">
        <f>IF(_epmOfflineCondition_,"N",_xll.EVPRO($B$1,$H36,"STYLE"))</f>
        <v>N</v>
      </c>
      <c r="J36" s="122" t="str">
        <f>IF(_epmOfflineCondition_,"N",_xll.EVPRO($B$1,$H36,"CALC"))</f>
        <v>N</v>
      </c>
      <c r="K36" s="179" t="str">
        <f>IF(AND(I36&gt;="T5"),"&gt;","")</f>
        <v/>
      </c>
      <c r="L36" s="90" t="str">
        <f>IF(_epmOfflineCondition_,"430300",_xll.EVPRO($B$1,H36,"JDEID"))</f>
        <v>430300</v>
      </c>
      <c r="M36" s="90" t="str">
        <f>IF(_epmOfflineCondition_,"206098",IF(AND(I36="N",J36="N"),_xll.EVPRO($B$1,H36,"PSFTID"),""))</f>
        <v>206098</v>
      </c>
      <c r="N36" s="90" t="str">
        <f>IF(_epmOfflineCondition_,"Other Revenue",IF(_xll.EVDES(H36,$B$1)="#NODATA","",_xll.EVDES(H36,$B$1)))</f>
        <v>Other Revenue</v>
      </c>
      <c r="O36" s="143"/>
      <c r="P36" s="143"/>
      <c r="Q36" s="143"/>
      <c r="R36" s="143"/>
      <c r="S36" s="143"/>
      <c r="T36" s="143"/>
      <c r="U36" s="143"/>
      <c r="V36" s="143"/>
      <c r="W36" s="143"/>
      <c r="X36" s="143"/>
      <c r="Y36" s="143"/>
      <c r="Z36" s="143"/>
      <c r="AA36" s="250">
        <f>IF($I36="B1","",SUM(O36:Z36))</f>
        <v>0</v>
      </c>
      <c r="AB36" s="144" t="str">
        <f>IF(AA36=0,"",IFERROR(AA36/AA$19,""))</f>
        <v/>
      </c>
      <c r="AC36" s="140"/>
      <c r="AD36" s="143"/>
      <c r="AE36" s="144" t="str">
        <f>IF(AD36=0,"",IFERROR(AD36/AD$19,""))</f>
        <v/>
      </c>
      <c r="AF36" s="145">
        <f>IF(AND($AA36="",AD36=""),"",$AA36-AD36)</f>
        <v>0</v>
      </c>
      <c r="AG36" s="143"/>
      <c r="AH36" s="144" t="str">
        <f>IF(AG36=0,"",IFERROR(AG36/AG$19,""))</f>
        <v/>
      </c>
      <c r="AI36" s="145">
        <f>IF(AND($AA36="",AG36=""),"",$AA36-AG36)</f>
        <v>0</v>
      </c>
      <c r="AJ36" s="440">
        <f>IFERROR(AA36/AA$20,0)</f>
        <v>0</v>
      </c>
      <c r="AK36" s="441">
        <f>IFERROR(AD36/AD$20,0)</f>
        <v>0</v>
      </c>
      <c r="AL36" s="442">
        <f>IFERROR(AG36/AG$20,0)</f>
        <v>0</v>
      </c>
      <c r="AM36" s="443">
        <f>+IFERROR(ROUND(($AB36-AE36)*100,2)&amp;" pts.",0)</f>
        <v>0</v>
      </c>
      <c r="AN36" s="444">
        <f>+IFERROR(ROUND(($AB36-AH36)*100,2)&amp;" pts.",0)</f>
        <v>0</v>
      </c>
      <c r="AO36" s="11"/>
    </row>
    <row r="37" spans="1:41" x14ac:dyDescent="0.35">
      <c r="A37" s="11" t="s">
        <v>105</v>
      </c>
      <c r="B37" s="11"/>
      <c r="C37" s="104" t="s">
        <v>101</v>
      </c>
      <c r="D37" s="11" t="s">
        <v>106</v>
      </c>
      <c r="E37" s="11"/>
      <c r="F37" s="11" t="s">
        <v>98</v>
      </c>
      <c r="G37" s="11"/>
      <c r="H37" s="88" t="s">
        <v>384</v>
      </c>
      <c r="I37" s="122" t="str">
        <f>IF(_epmOfflineCondition_,"N",_xll.EVPRO($B$1,$H37,"STYLE"))</f>
        <v>N</v>
      </c>
      <c r="J37" s="122" t="str">
        <f>IF(_epmOfflineCondition_,"N",_xll.EVPRO($B$1,$H37,"CALC"))</f>
        <v>N</v>
      </c>
      <c r="K37" s="179" t="str">
        <f>IF(AND(I37&gt;="T5"),"&gt;","")</f>
        <v/>
      </c>
      <c r="L37" s="90" t="str">
        <f>IF(_epmOfflineCondition_,"430990",_xll.EVPRO($B$1,H37,"JDEID"))</f>
        <v>430990</v>
      </c>
      <c r="M37" s="90" t="str">
        <f>IF(_epmOfflineCondition_,"206022",IF(AND(I37="N",J37="N"),_xll.EVPRO($B$1,H37,"PSFTID"),""))</f>
        <v>206022</v>
      </c>
      <c r="N37" s="90" t="str">
        <f>IF(_epmOfflineCondition_,"Parking: Allowances",IF(_xll.EVDES(H37,$B$1)="#NODATA","",_xll.EVDES(H37,$B$1)))</f>
        <v>Parking: Allowances</v>
      </c>
      <c r="O37" s="217"/>
      <c r="P37" s="217"/>
      <c r="Q37" s="217"/>
      <c r="R37" s="217"/>
      <c r="S37" s="217"/>
      <c r="T37" s="217"/>
      <c r="U37" s="217"/>
      <c r="V37" s="217"/>
      <c r="W37" s="217"/>
      <c r="X37" s="217"/>
      <c r="Y37" s="217"/>
      <c r="Z37" s="217"/>
      <c r="AA37" s="251">
        <f>IF($I37="B1","",SUM(O37:Z37))</f>
        <v>0</v>
      </c>
      <c r="AB37" s="219" t="str">
        <f>IF(AA37=0,"",IFERROR(AA37/AA$19,""))</f>
        <v/>
      </c>
      <c r="AC37" s="140"/>
      <c r="AD37" s="217"/>
      <c r="AE37" s="219" t="str">
        <f>IF(AD37=0,"",IFERROR(AD37/AD$19,""))</f>
        <v/>
      </c>
      <c r="AF37" s="220">
        <f>IF(AND($AA37="",AD37=""),"",$AA37-AD37)</f>
        <v>0</v>
      </c>
      <c r="AG37" s="217"/>
      <c r="AH37" s="219" t="str">
        <f>IF(AG37=0,"",IFERROR(AG37/AG$19,""))</f>
        <v/>
      </c>
      <c r="AI37" s="220">
        <f>IF(AND($AA37="",AG37=""),"",$AA37-AG37)</f>
        <v>0</v>
      </c>
      <c r="AJ37" s="449">
        <f>IFERROR(AA37/AA$20,0)</f>
        <v>0</v>
      </c>
      <c r="AK37" s="450">
        <f>IFERROR(AD37/AD$20,0)</f>
        <v>0</v>
      </c>
      <c r="AL37" s="451">
        <f>IFERROR(AG37/AG$20,0)</f>
        <v>0</v>
      </c>
      <c r="AM37" s="452">
        <f>+IFERROR(ROUND(($AB37-AE37)*100,2)&amp;" pts.",0)</f>
        <v>0</v>
      </c>
      <c r="AN37" s="453">
        <f>+IFERROR(ROUND(($AB37-AH37)*100,2)&amp;" pts.",0)</f>
        <v>0</v>
      </c>
      <c r="AO37" s="11"/>
    </row>
    <row r="38" spans="1:41" x14ac:dyDescent="0.35">
      <c r="A38" s="11" t="s">
        <v>104</v>
      </c>
      <c r="B38" s="11"/>
      <c r="C38" s="104" t="s">
        <v>101</v>
      </c>
      <c r="D38" s="11" t="s">
        <v>106</v>
      </c>
      <c r="E38" s="11"/>
      <c r="F38" s="11" t="s">
        <v>98</v>
      </c>
      <c r="G38" s="11"/>
      <c r="H38" s="88" t="s">
        <v>280</v>
      </c>
      <c r="I38" s="188" t="str">
        <f>IF(_epmOfflineCondition_,"T3",_xll.EVPRO($B$1,$H38,"STYLE"))</f>
        <v>T3</v>
      </c>
      <c r="J38" s="188" t="str">
        <f>IF(_epmOfflineCondition_,"Y",_xll.EVPRO($B$1,$H38,"CALC"))</f>
        <v>Y</v>
      </c>
      <c r="K38" s="189" t="str">
        <f>IF(AND(I38&gt;="T5"),"&gt;","")</f>
        <v/>
      </c>
      <c r="L38" s="190" t="str">
        <f>IF(_epmOfflineCondition_,"400000",_xll.EVPRO($B$1,H38,"JDEID"))</f>
        <v>400000</v>
      </c>
      <c r="M38" s="190" t="str">
        <f>IF(_epmOfflineCondition_,"",IF(AND(I38="N",J38="N"),_xll.EVPRO($B$1,H38,"PSFTID"),""))</f>
        <v/>
      </c>
      <c r="N38" s="190" t="str">
        <f>IF(_epmOfflineCondition_,"Total Revenue",IF(_xll.EVDES(H38,$B$1)="#NODATA","",_xll.EVDES(H38,$B$1)))</f>
        <v>Total Revenue</v>
      </c>
      <c r="O38" s="225"/>
      <c r="P38" s="225"/>
      <c r="Q38" s="225"/>
      <c r="R38" s="225"/>
      <c r="S38" s="225"/>
      <c r="T38" s="225"/>
      <c r="U38" s="225"/>
      <c r="V38" s="225"/>
      <c r="W38" s="225"/>
      <c r="X38" s="225"/>
      <c r="Y38" s="225"/>
      <c r="Z38" s="225"/>
      <c r="AA38" s="225">
        <f>IF($I38="B1","",SUM(O38:Z38))</f>
        <v>0</v>
      </c>
      <c r="AB38" s="226" t="str">
        <f>IF(AA38=0,"",IFERROR(AA38/AA$19,""))</f>
        <v/>
      </c>
      <c r="AC38" s="227"/>
      <c r="AD38" s="225"/>
      <c r="AE38" s="226" t="str">
        <f>IF(AD38=0,"",IFERROR(AD38/AD$19,""))</f>
        <v/>
      </c>
      <c r="AF38" s="228">
        <f>IF(AND($AA38="",AD38=""),"",$AA38-AD38)</f>
        <v>0</v>
      </c>
      <c r="AG38" s="225">
        <v>61112.56</v>
      </c>
      <c r="AH38" s="226">
        <f>IF(AG38=0,"",IFERROR(AG38/AG$19,""))</f>
        <v>1</v>
      </c>
      <c r="AI38" s="228">
        <f>IF(AND($AA38="",AG38=""),"",$AA38-AG38)</f>
        <v>-61112.56</v>
      </c>
      <c r="AJ38" s="229">
        <f>IFERROR(AA38/AA$20,0)</f>
        <v>0</v>
      </c>
      <c r="AK38" s="230">
        <f>IFERROR(AD38/AD$20,0)</f>
        <v>0</v>
      </c>
      <c r="AL38" s="232">
        <f>IFERROR(AG38/AG$20,0)</f>
        <v>3.0480079800498752</v>
      </c>
      <c r="AM38" s="427">
        <f>+IFERROR(ROUND(($AB38-AE38)*100,2)&amp;" pts.",0)</f>
        <v>0</v>
      </c>
      <c r="AN38" s="456">
        <f>+IFERROR(ROUND(($AB38-AH38)*100,2)&amp;" pts.",0)</f>
        <v>0</v>
      </c>
      <c r="AO38" s="11"/>
    </row>
    <row r="39" spans="1:41" x14ac:dyDescent="0.35">
      <c r="A39" s="11" t="s">
        <v>108</v>
      </c>
      <c r="B39" s="11"/>
      <c r="C39" s="106" t="s">
        <v>101</v>
      </c>
      <c r="D39" s="11" t="s">
        <v>106</v>
      </c>
      <c r="E39" s="11"/>
      <c r="F39" s="11" t="s">
        <v>98</v>
      </c>
      <c r="G39" s="11"/>
      <c r="H39" s="11"/>
      <c r="I39" s="59"/>
      <c r="J39" s="59"/>
      <c r="K39" s="11"/>
      <c r="L39" s="11"/>
      <c r="M39" s="11"/>
      <c r="N39" s="11"/>
      <c r="O39" s="203"/>
      <c r="P39" s="204"/>
      <c r="Q39" s="204"/>
      <c r="R39" s="204"/>
      <c r="S39" s="204"/>
      <c r="T39" s="204"/>
      <c r="U39" s="204"/>
      <c r="V39" s="204"/>
      <c r="W39" s="204"/>
      <c r="X39" s="204"/>
      <c r="Y39" s="204"/>
      <c r="Z39" s="204"/>
      <c r="AA39" s="204"/>
      <c r="AB39" s="118"/>
      <c r="AC39" s="11"/>
      <c r="AD39" s="203"/>
      <c r="AE39" s="204"/>
      <c r="AF39" s="118"/>
      <c r="AG39" s="203"/>
      <c r="AH39" s="204"/>
      <c r="AI39" s="118"/>
      <c r="AJ39" s="11"/>
      <c r="AK39" s="11"/>
      <c r="AL39" s="11"/>
      <c r="AM39" s="11"/>
      <c r="AN39" s="11"/>
      <c r="AO39" s="11"/>
    </row>
    <row r="40" spans="1:41" x14ac:dyDescent="0.35">
      <c r="A40" s="11" t="s">
        <v>108</v>
      </c>
      <c r="B40" s="11"/>
      <c r="C40" s="196" t="s">
        <v>101</v>
      </c>
      <c r="D40" s="11" t="s">
        <v>107</v>
      </c>
      <c r="E40" s="11"/>
      <c r="F40" s="11" t="s">
        <v>99</v>
      </c>
      <c r="G40" s="11"/>
      <c r="H40" s="11" t="s">
        <v>281</v>
      </c>
      <c r="I40" s="59" t="str">
        <f>IF(_epmOfflineCondition_,"B1",_xll.EVPRO($B$1,$H40,"STYLE"))</f>
        <v>B1</v>
      </c>
      <c r="J40" s="59" t="str">
        <f>IF(_epmOfflineCondition_,"Y",_xll.EVPRO($B$1,$H40,"CALC"))</f>
        <v>Y</v>
      </c>
      <c r="K40" s="11"/>
      <c r="L40" s="11"/>
      <c r="M40" s="11"/>
      <c r="N40" s="105" t="str">
        <f>IF(_epmOfflineCondition_,"Cost of Sales",IF(_xll.EVDES(H40,$B$1)="#NODATA","",_xll.EVDES(H40,$B$1)))</f>
        <v>Cost of Sales</v>
      </c>
      <c r="O40" s="203"/>
      <c r="P40" s="204"/>
      <c r="Q40" s="204"/>
      <c r="R40" s="204"/>
      <c r="S40" s="204"/>
      <c r="T40" s="204"/>
      <c r="U40" s="204"/>
      <c r="V40" s="204"/>
      <c r="W40" s="204"/>
      <c r="X40" s="204"/>
      <c r="Y40" s="204"/>
      <c r="Z40" s="204"/>
      <c r="AA40" s="204"/>
      <c r="AB40" s="118"/>
      <c r="AC40" s="11"/>
      <c r="AD40" s="203"/>
      <c r="AE40" s="204"/>
      <c r="AF40" s="118"/>
      <c r="AG40" s="203"/>
      <c r="AH40" s="204"/>
      <c r="AI40" s="118"/>
      <c r="AJ40" s="11"/>
      <c r="AK40" s="11"/>
      <c r="AL40" s="11"/>
      <c r="AM40" s="11"/>
      <c r="AN40" s="11"/>
      <c r="AO40" s="11"/>
    </row>
    <row r="41" spans="1:41" x14ac:dyDescent="0.35">
      <c r="A41" s="11"/>
      <c r="B41" s="11"/>
      <c r="C41" s="11"/>
      <c r="D41" s="11"/>
      <c r="E41" s="11"/>
      <c r="F41" s="11"/>
      <c r="G41" s="11"/>
      <c r="H41" s="88" t="s">
        <v>385</v>
      </c>
      <c r="I41" s="122" t="str">
        <f>IF(_epmOfflineCondition_,"N",_xll.EVPRO($B$1,$H41,"STYLE"))</f>
        <v>N</v>
      </c>
      <c r="J41" s="122" t="str">
        <f>IF(_epmOfflineCondition_,"N",_xll.EVPRO($B$1,$H41,"CALC"))</f>
        <v>N</v>
      </c>
      <c r="K41" s="179" t="str">
        <f>IF(AND(I41&gt;="T5"),"&gt;","")</f>
        <v/>
      </c>
      <c r="L41" s="90" t="str">
        <f>IF(_epmOfflineCondition_,"530100",_xll.EVPRO($B$1,H41,"JDEID"))</f>
        <v>530100</v>
      </c>
      <c r="M41" s="90" t="str">
        <f>IF(_epmOfflineCondition_,"306010",IF(AND(I41="N",J41="N"),_xll.EVPRO($B$1,H41,"PSFTID"),""))</f>
        <v>306010</v>
      </c>
      <c r="N41" s="90" t="str">
        <f>IF(_epmOfflineCondition_,"Parking Cost of Sales",IF(_xll.EVDES(H41,$B$1)="#NODATA","",_xll.EVDES(H41,$B$1)))</f>
        <v>Parking Cost of Sales</v>
      </c>
      <c r="O41" s="217"/>
      <c r="P41" s="217"/>
      <c r="Q41" s="217"/>
      <c r="R41" s="217"/>
      <c r="S41" s="217"/>
      <c r="T41" s="217"/>
      <c r="U41" s="217"/>
      <c r="V41" s="217"/>
      <c r="W41" s="217"/>
      <c r="X41" s="217"/>
      <c r="Y41" s="217"/>
      <c r="Z41" s="217"/>
      <c r="AA41" s="217">
        <f>IF($I41="B1","",SUM(O41:Z41))</f>
        <v>0</v>
      </c>
      <c r="AB41" s="219" t="str">
        <f>IF(_epmOfflineCondition_,"",IF(AA41=0,"",IFERROR(AA41/_xll.EVGTS($B$1,1,_xll.EVPRO($B$1,$H41,"COSBASIS"),$B$3,$B$5,$B$6,$B$7,$B$9,AA$16,AA$17,AA$11),"")))</f>
        <v/>
      </c>
      <c r="AC41" s="140"/>
      <c r="AD41" s="217"/>
      <c r="AE41" s="219" t="str">
        <f>IF(_epmOfflineCondition_,"",IF(AD41=0,"",IFERROR(AD41/_xll.EVGTS($B$1,1,_xll.EVPRO($B$1,$H41,"COSBASIS"),$B$3,$B$5,$B$6,$B$7,$B$9,AD$16,AD$17,AD$18),"")))</f>
        <v/>
      </c>
      <c r="AF41" s="220">
        <f>IF(AND($AA41="",AD41=""),"",$AA41-AD41)</f>
        <v>0</v>
      </c>
      <c r="AG41" s="217"/>
      <c r="AH41" s="219" t="str">
        <f>IF(_epmOfflineCondition_,"",IF(AG41=0,"",IFERROR(AG41/_xll.EVGTS($B$1,1,_xll.EVPRO($B$1,$H41,"COSBASIS"),$B$3,$B$5,$B$6,$B$7,$B$9,AG$16,AG$17,AG$18),"")))</f>
        <v/>
      </c>
      <c r="AI41" s="220">
        <f>IF(AND($AA41="",AG41=""),"",$AA41-AG41)</f>
        <v>0</v>
      </c>
      <c r="AJ41" s="449">
        <f>IFERROR(AA41/AA$20,0)</f>
        <v>0</v>
      </c>
      <c r="AK41" s="450">
        <f>IFERROR(AD41/AD$20,0)</f>
        <v>0</v>
      </c>
      <c r="AL41" s="451">
        <f>IFERROR(AG41/AG$20,0)</f>
        <v>0</v>
      </c>
      <c r="AM41" s="452">
        <f>+IFERROR(ROUND(($AB41-AE41)*100,2)&amp;" pts.",0)</f>
        <v>0</v>
      </c>
      <c r="AN41" s="453">
        <f>+IFERROR(ROUND(($AB41-AH41)*100,2)&amp;" pts.",0)</f>
        <v>0</v>
      </c>
      <c r="AO41" s="11"/>
    </row>
    <row r="42" spans="1:41" x14ac:dyDescent="0.35">
      <c r="A42" s="11"/>
      <c r="B42" s="11"/>
      <c r="C42" s="11"/>
      <c r="D42" s="11"/>
      <c r="E42" s="11"/>
      <c r="F42" s="11"/>
      <c r="G42" s="11"/>
      <c r="H42" s="88" t="s">
        <v>289</v>
      </c>
      <c r="I42" s="188" t="str">
        <f>IF(_epmOfflineCondition_,"T3",_xll.EVPRO($B$1,$H42,"STYLE"))</f>
        <v>T3</v>
      </c>
      <c r="J42" s="188" t="str">
        <f>IF(_epmOfflineCondition_,"Y",_xll.EVPRO($B$1,$H42,"CALC"))</f>
        <v>Y</v>
      </c>
      <c r="K42" s="189" t="str">
        <f>IF(AND(I42&gt;="T5"),"&gt;","")</f>
        <v/>
      </c>
      <c r="L42" s="190" t="str">
        <f>IF(_epmOfflineCondition_,"500001",_xll.EVPRO($B$1,H42,"JDEID"))</f>
        <v>500001</v>
      </c>
      <c r="M42" s="190" t="str">
        <f>IF(_epmOfflineCondition_,"",IF(AND(I42="N",J42="N"),_xll.EVPRO($B$1,H42,"PSFTID"),""))</f>
        <v/>
      </c>
      <c r="N42" s="190" t="str">
        <f>IF(_epmOfflineCondition_,"Total Cost of Sales",IF(_xll.EVDES(H42,$B$1)="#NODATA","",_xll.EVDES(H42,$B$1)))</f>
        <v>Total Cost of Sales</v>
      </c>
      <c r="O42" s="225"/>
      <c r="P42" s="225"/>
      <c r="Q42" s="225"/>
      <c r="R42" s="225"/>
      <c r="S42" s="225"/>
      <c r="T42" s="225"/>
      <c r="U42" s="225"/>
      <c r="V42" s="225"/>
      <c r="W42" s="225"/>
      <c r="X42" s="225"/>
      <c r="Y42" s="225"/>
      <c r="Z42" s="225"/>
      <c r="AA42" s="225">
        <f>IF($I42="B1","",SUM(O42:Z42))</f>
        <v>0</v>
      </c>
      <c r="AB42" s="226" t="str">
        <f>IF(_epmOfflineCondition_,"",IF(AA42=0,"",IFERROR(AA42/_xll.EVGTS($B$1,1,_xll.EVPRO($B$1,$H42,"COSBASIS"),$B$3,$B$5,$B$6,$B$7,$B$9,AA$16,AA$17,AA$11),"")))</f>
        <v/>
      </c>
      <c r="AC42" s="227"/>
      <c r="AD42" s="225"/>
      <c r="AE42" s="226" t="str">
        <f>IF(_epmOfflineCondition_,"",IF(AD42=0,"",IFERROR(AD42/_xll.EVGTS($B$1,1,_xll.EVPRO($B$1,$H42,"COSBASIS"),$B$3,$B$5,$B$6,$B$7,$B$9,AD$16,AD$17,AD$18),"")))</f>
        <v/>
      </c>
      <c r="AF42" s="228">
        <f>IF(AND($AA42="",AD42=""),"",$AA42-AD42)</f>
        <v>0</v>
      </c>
      <c r="AG42" s="225"/>
      <c r="AH42" s="226" t="str">
        <f>IF(_epmOfflineCondition_,"",IF(AG42=0,"",IFERROR(AG42/_xll.EVGTS($B$1,1,_xll.EVPRO($B$1,$H42,"COSBASIS"),$B$3,$B$5,$B$6,$B$7,$B$9,AG$16,AG$17,AG$18),"")))</f>
        <v/>
      </c>
      <c r="AI42" s="228">
        <f>IF(AND($AA42="",AG42=""),"",$AA42-AG42)</f>
        <v>0</v>
      </c>
      <c r="AJ42" s="229">
        <f>IFERROR(AA42/AA$20,0)</f>
        <v>0</v>
      </c>
      <c r="AK42" s="230">
        <f>IFERROR(AD42/AD$20,0)</f>
        <v>0</v>
      </c>
      <c r="AL42" s="232">
        <f>IFERROR(AG42/AG$20,0)</f>
        <v>0</v>
      </c>
      <c r="AM42" s="427">
        <f>+IFERROR(ROUND(($AB42-AE42)*100,2)&amp;" pts.",0)</f>
        <v>0</v>
      </c>
      <c r="AN42" s="456">
        <f>+IFERROR(ROUND(($AB42-AH42)*100,2)&amp;" pts.",0)</f>
        <v>0</v>
      </c>
      <c r="AO42" s="11"/>
    </row>
    <row r="43" spans="1:41" x14ac:dyDescent="0.35">
      <c r="A43" s="61" t="str">
        <f>IF(_epmOfflineCondition_,"Evdre:Ok",_xll.EVDRE($B$1,A46:B53,A56:B62))</f>
        <v>Evdre:Ok</v>
      </c>
      <c r="B43" s="11"/>
      <c r="C43" s="11"/>
      <c r="D43" s="11"/>
      <c r="E43" s="11"/>
      <c r="F43" s="11"/>
      <c r="G43" s="11"/>
      <c r="H43" s="185" t="s">
        <v>175</v>
      </c>
      <c r="I43" s="89" t="str">
        <f>IF(_epmOfflineCondition_,"B1",_xll.EVPRO($B$1,$H43,"STYLE"))</f>
        <v>B1</v>
      </c>
      <c r="J43" s="89" t="str">
        <f>IF(_epmOfflineCondition_,"Y",_xll.EVPRO($B$1,$H43,"CALC"))</f>
        <v>Y</v>
      </c>
      <c r="K43" s="265" t="str">
        <f>IF(AND(I43&gt;="T5"),"&gt;","")</f>
        <v/>
      </c>
      <c r="L43" s="265"/>
      <c r="M43" s="265"/>
      <c r="N43" s="106" t="str">
        <f>IF(_epmOfflineCondition_,"BLANKROW",IF(_xll.EVDES(H43,$B$1)="#NODATA","",_xll.EVDES(H43,$B$1)))</f>
        <v>BLANKROW</v>
      </c>
      <c r="O43" s="205"/>
      <c r="P43" s="205"/>
      <c r="Q43" s="205"/>
      <c r="R43" s="205"/>
      <c r="S43" s="205"/>
      <c r="T43" s="205"/>
      <c r="U43" s="205"/>
      <c r="V43" s="205"/>
      <c r="W43" s="205"/>
      <c r="X43" s="205"/>
      <c r="Y43" s="205"/>
      <c r="Z43" s="205"/>
      <c r="AA43" s="205"/>
      <c r="AB43" s="206"/>
      <c r="AC43" s="11"/>
      <c r="AD43" s="205"/>
      <c r="AE43" s="206" t="str">
        <f>IF(_epmOfflineCondition_,"",IF(AD43=0,"",IFERROR(AD43/_xll.EVGTS($B$1,1,INDEX($C$143:$C$166,MATCH($H43,$A$143:$A$166,0)),$B$3,$B$5,$B$6,$B$7,$B$9,AD$16,AD$17,AD$18),"")))</f>
        <v/>
      </c>
      <c r="AF43" s="207" t="str">
        <f>IF(AND($AA43="",AD43=""),"",$AA43-AD43)</f>
        <v/>
      </c>
      <c r="AG43" s="205"/>
      <c r="AH43" s="206" t="str">
        <f>IF(_epmOfflineCondition_,"",IF(AG43=0,"",IFERROR(AG43/_xll.EVGTS($B$1,1,INDEX($C$143:$C$166,MATCH($H43,$A$143:$A$166,0)),$B$3,$B$5,$B$6,$B$7,$B$9,AG$16,AG$17,AG$18),"")))</f>
        <v/>
      </c>
      <c r="AI43" s="207" t="str">
        <f>IF(AND($AA43="",AG43=""),"",$AA43-AG43)</f>
        <v/>
      </c>
      <c r="AJ43" s="523">
        <f>IFERROR(AA43/AA$20,0)</f>
        <v>0</v>
      </c>
      <c r="AK43" s="524">
        <f>IFERROR(AD43/AD$20,0)</f>
        <v>0</v>
      </c>
      <c r="AL43" s="525">
        <f>IFERROR(AG43/AG$20,0)</f>
        <v>0</v>
      </c>
      <c r="AM43" s="526">
        <f>+IFERROR(ROUND(($AB43-AE43)*100,2)&amp;" pts.",0)</f>
        <v>0</v>
      </c>
      <c r="AN43" s="527">
        <f>+IFERROR(ROUND(($AB43-AH43)*100,2)&amp;" pts.",0)</f>
        <v>0</v>
      </c>
      <c r="AO43" s="11"/>
    </row>
    <row r="44" spans="1:41" x14ac:dyDescent="0.35">
      <c r="A44" s="11"/>
      <c r="B44" s="11"/>
      <c r="C44" s="11"/>
      <c r="D44" s="11"/>
      <c r="E44" s="11"/>
      <c r="F44" s="11"/>
      <c r="G44" s="11"/>
      <c r="H44" s="185" t="s">
        <v>292</v>
      </c>
      <c r="I44" s="89" t="str">
        <f>IF(_epmOfflineCondition_,"T3",_xll.EVPRO($B$1,$H44,"STYLE"))</f>
        <v>T3</v>
      </c>
      <c r="J44" s="89" t="str">
        <f>IF(_epmOfflineCondition_,"Y",_xll.EVPRO($B$1,$H44,"CALC"))</f>
        <v>Y</v>
      </c>
      <c r="K44" s="265" t="str">
        <f>IF(AND(I44&gt;="T5"),"&gt;","")</f>
        <v/>
      </c>
      <c r="L44" s="265"/>
      <c r="M44" s="265"/>
      <c r="N44" s="106" t="str">
        <f>IF(_epmOfflineCondition_,"Gross Profit",IF(_xll.EVDES(H44,$B$1)="#NODATA","",_xll.EVDES(H44,$B$1)))</f>
        <v>Gross Profit</v>
      </c>
      <c r="O44" s="123">
        <f t="shared" ref="O44:Z44" si="0">SUMIF($H$34:$H$42,"400000",O34:O42)-SUMIF($H$34:$H$42,"500001",O34:O42)</f>
        <v>0</v>
      </c>
      <c r="P44" s="123">
        <f t="shared" si="0"/>
        <v>0</v>
      </c>
      <c r="Q44" s="123">
        <f t="shared" si="0"/>
        <v>0</v>
      </c>
      <c r="R44" s="123">
        <f t="shared" si="0"/>
        <v>0</v>
      </c>
      <c r="S44" s="123">
        <f t="shared" si="0"/>
        <v>0</v>
      </c>
      <c r="T44" s="123">
        <f t="shared" si="0"/>
        <v>0</v>
      </c>
      <c r="U44" s="123">
        <f t="shared" si="0"/>
        <v>0</v>
      </c>
      <c r="V44" s="123">
        <f t="shared" si="0"/>
        <v>0</v>
      </c>
      <c r="W44" s="123">
        <f t="shared" si="0"/>
        <v>0</v>
      </c>
      <c r="X44" s="123">
        <f t="shared" si="0"/>
        <v>0</v>
      </c>
      <c r="Y44" s="123">
        <f t="shared" si="0"/>
        <v>0</v>
      </c>
      <c r="Z44" s="123">
        <f t="shared" si="0"/>
        <v>0</v>
      </c>
      <c r="AA44" s="191">
        <f>IF($I44="B1","",SUM(O44:Z44))</f>
        <v>0</v>
      </c>
      <c r="AB44" s="192" t="str">
        <f>IF(AA44=0,"",IFERROR(AA44/AA$19,""))</f>
        <v/>
      </c>
      <c r="AC44" s="11"/>
      <c r="AD44" s="123">
        <f>SUMIF($H$34:$H$42,"400000",AD34:AD42)-SUMIF($H$34:$H$42,"500001",AD34:AD42)</f>
        <v>0</v>
      </c>
      <c r="AE44" s="192" t="str">
        <f>IF(AD44=0,"",IFERROR(AD44/AD$19,""))</f>
        <v/>
      </c>
      <c r="AF44" s="125">
        <f>IF(AND($AA44="",AD44=""),"",$AA44-AD44)</f>
        <v>0</v>
      </c>
      <c r="AG44" s="123">
        <f>SUMIF($H$34:$H$42,"400000",AG34:AG42)-SUMIF($H$34:$H$42,"500001",AG34:AG42)</f>
        <v>61112.56</v>
      </c>
      <c r="AH44" s="192">
        <f>IF(AG44=0,"",IFERROR(AG44/AG$19,""))</f>
        <v>1</v>
      </c>
      <c r="AI44" s="125">
        <f>IF(AND($AA44="",AG44=""),"",$AA44-AG44)</f>
        <v>-61112.56</v>
      </c>
      <c r="AJ44" s="388">
        <f>IFERROR(AA44/AA$20,0)</f>
        <v>0</v>
      </c>
      <c r="AK44" s="389">
        <f>IFERROR(AD44/AD$20,0)</f>
        <v>0</v>
      </c>
      <c r="AL44" s="390">
        <f>IFERROR(AG44/AG$20,0)</f>
        <v>3.0480079800498752</v>
      </c>
      <c r="AM44" s="391">
        <f>+IFERROR(ROUND(($AB44-AE44)*100,2)&amp;" pts.",0)</f>
        <v>0</v>
      </c>
      <c r="AN44" s="544">
        <f>+IFERROR(ROUND(($AB44-AH44)*100,2)&amp;" pts.",0)</f>
        <v>0</v>
      </c>
      <c r="AO44" s="11"/>
    </row>
    <row r="45" spans="1:41" x14ac:dyDescent="0.35">
      <c r="A45" s="62" t="s">
        <v>0</v>
      </c>
      <c r="B45" s="63" t="s">
        <v>1</v>
      </c>
      <c r="C45" s="11"/>
      <c r="D45" s="11"/>
      <c r="E45" s="11"/>
      <c r="F45" s="11"/>
      <c r="G45" s="11"/>
      <c r="H45" s="11"/>
      <c r="I45" s="59"/>
      <c r="J45" s="59"/>
      <c r="K45" s="11"/>
      <c r="L45" s="11"/>
      <c r="M45" s="11"/>
      <c r="N45" s="11"/>
      <c r="O45" s="393"/>
      <c r="P45" s="394"/>
      <c r="Q45" s="394"/>
      <c r="R45" s="394"/>
      <c r="S45" s="394"/>
      <c r="T45" s="394"/>
      <c r="U45" s="394"/>
      <c r="V45" s="394"/>
      <c r="W45" s="394"/>
      <c r="X45" s="394"/>
      <c r="Y45" s="394"/>
      <c r="Z45" s="394"/>
      <c r="AA45" s="394"/>
      <c r="AB45" s="118"/>
      <c r="AC45" s="11"/>
      <c r="AD45" s="203"/>
      <c r="AE45" s="204"/>
      <c r="AF45" s="118"/>
      <c r="AG45" s="204"/>
      <c r="AH45" s="204"/>
      <c r="AI45" s="118"/>
      <c r="AJ45" s="11"/>
      <c r="AK45" s="11"/>
      <c r="AL45" s="11"/>
      <c r="AM45" s="11"/>
      <c r="AN45" s="11"/>
      <c r="AO45" s="11"/>
    </row>
    <row r="46" spans="1:41" x14ac:dyDescent="0.35">
      <c r="A46" s="65" t="s">
        <v>2</v>
      </c>
      <c r="B46" s="66" t="str">
        <f>IF(_epmOfflineCondition_,"'Parking'!$B$2:$B$10",_xll.EVRNG($B$2:$B$10))</f>
        <v>'Parking'!$B$2:$B$10</v>
      </c>
      <c r="C46" s="11"/>
      <c r="D46" s="11"/>
      <c r="E46" s="11"/>
      <c r="F46" s="11"/>
      <c r="G46" s="11"/>
      <c r="H46" s="11" t="s">
        <v>73</v>
      </c>
      <c r="I46" s="59" t="str">
        <f>IF(_epmOfflineCondition_,"B1",_xll.EVPRO($B$1,$H46,"STYLE"))</f>
        <v>B1</v>
      </c>
      <c r="J46" s="59" t="str">
        <f>IF(_epmOfflineCondition_,"Y",_xll.EVPRO($B$1,$H46,"CALC"))</f>
        <v>Y</v>
      </c>
      <c r="K46" s="11"/>
      <c r="L46" s="11"/>
      <c r="M46" s="11"/>
      <c r="N46" s="105" t="str">
        <f>IF(_epmOfflineCondition_,"Labor &amp; Related Expenses",IF(_xll.EVDES(H46,$B$1)="#NODATA","",_xll.EVDES(H46,$B$1)))</f>
        <v>Labor &amp; Related Expenses</v>
      </c>
      <c r="O46" s="203"/>
      <c r="P46" s="204"/>
      <c r="Q46" s="204"/>
      <c r="R46" s="204"/>
      <c r="S46" s="204"/>
      <c r="T46" s="204"/>
      <c r="U46" s="204"/>
      <c r="V46" s="204"/>
      <c r="W46" s="204"/>
      <c r="X46" s="204"/>
      <c r="Y46" s="204"/>
      <c r="Z46" s="204"/>
      <c r="AA46" s="204"/>
      <c r="AB46" s="410"/>
      <c r="AC46" s="11"/>
      <c r="AD46" s="411"/>
      <c r="AE46" s="412"/>
      <c r="AF46" s="118"/>
      <c r="AG46" s="204"/>
      <c r="AH46" s="412"/>
      <c r="AI46" s="118"/>
      <c r="AJ46" s="11"/>
      <c r="AK46" s="11"/>
      <c r="AL46" s="11"/>
      <c r="AM46" s="11"/>
      <c r="AN46" s="11"/>
      <c r="AO46" s="11"/>
    </row>
    <row r="47" spans="1:41" x14ac:dyDescent="0.35">
      <c r="A47" s="65" t="s">
        <v>3</v>
      </c>
      <c r="B47" s="66" t="str">
        <f>IF(_epmOfflineCondition_,"'Parking'!$O$16:$AN$18",_xll.EVRNG($O$16:$AN$18))</f>
        <v>'Parking'!$O$16:$AN$18</v>
      </c>
      <c r="C47" s="11"/>
      <c r="D47" s="11"/>
      <c r="E47" s="11"/>
      <c r="F47" s="11"/>
      <c r="G47" s="11"/>
      <c r="H47" s="11" t="s">
        <v>74</v>
      </c>
      <c r="I47" s="59" t="str">
        <f>IF(_epmOfflineCondition_,"B1",_xll.EVPRO($B$1,$H47,"STYLE"))</f>
        <v>B1</v>
      </c>
      <c r="J47" s="59" t="str">
        <f>IF(_epmOfflineCondition_,"Y",_xll.EVPRO($B$1,$H47,"CALC"))</f>
        <v>Y</v>
      </c>
      <c r="K47" s="11"/>
      <c r="L47" s="11"/>
      <c r="M47" s="11"/>
      <c r="N47" s="53" t="str">
        <f>IF(_epmOfflineCondition_,"Salaries &amp; Wages",IF(_xll.EVDES(H47,$B$1)="#NODATA","",_xll.EVDES(H47,$B$1)))</f>
        <v>Salaries &amp; Wages</v>
      </c>
      <c r="O47" s="119"/>
      <c r="P47" s="120"/>
      <c r="Q47" s="120"/>
      <c r="R47" s="120"/>
      <c r="S47" s="120"/>
      <c r="T47" s="120"/>
      <c r="U47" s="120"/>
      <c r="V47" s="120"/>
      <c r="W47" s="120"/>
      <c r="X47" s="120"/>
      <c r="Y47" s="120"/>
      <c r="Z47" s="120"/>
      <c r="AA47" s="120"/>
      <c r="AB47" s="121"/>
      <c r="AC47" s="11"/>
      <c r="AD47" s="119"/>
      <c r="AE47" s="120"/>
      <c r="AF47" s="121"/>
      <c r="AG47" s="120"/>
      <c r="AH47" s="120"/>
      <c r="AI47" s="121"/>
      <c r="AJ47" s="11"/>
      <c r="AK47" s="11"/>
      <c r="AL47" s="11"/>
      <c r="AM47" s="11"/>
      <c r="AN47" s="11"/>
      <c r="AO47" s="11"/>
    </row>
    <row r="48" spans="1:41" hidden="1" x14ac:dyDescent="0.35">
      <c r="A48" s="65" t="s">
        <v>4</v>
      </c>
      <c r="B48" s="66" t="str">
        <f>IF(_epmOfflineCondition_,"'Parking'!$H$41:$H$42",_xll.EVRNG(H41:H42))</f>
        <v>'Parking'!$H$41:$H$42</v>
      </c>
      <c r="C48" s="11"/>
      <c r="D48" s="11"/>
      <c r="E48" s="11"/>
      <c r="F48" s="11"/>
      <c r="G48" s="11"/>
      <c r="H48" s="88" t="s">
        <v>667</v>
      </c>
      <c r="I48" s="122" t="str">
        <f>IF(_epmOfflineCondition_,"",_xll.EVPRO($B$1,$H48,"STYLE"))</f>
        <v/>
      </c>
      <c r="J48" s="122" t="str">
        <f>IF(_epmOfflineCondition_,"",_xll.EVPRO($B$1,$H48,"CALC"))</f>
        <v/>
      </c>
      <c r="K48" s="179" t="str">
        <f t="shared" ref="K48:K57" si="1">IF(AND(I48&gt;="T3"),"&gt;","")</f>
        <v/>
      </c>
      <c r="L48" s="90" t="str">
        <f>IF(_epmOfflineCondition_,"",_xll.EVPRO($B$1,H48,"JDEID"))</f>
        <v/>
      </c>
      <c r="M48" s="90" t="str">
        <f>IF(_epmOfflineCondition_,"",IF(AND(I48="N",J48="N"),_xll.EVPRO($B$1,H48,"PSFTID"),""))</f>
        <v/>
      </c>
      <c r="N48" s="90" t="str">
        <f>IF(_epmOfflineCondition_,"",IF(_xll.EVDES(H48,$B$1)="#NODATA","",_xll.EVDES(H48,$B$1)))</f>
        <v/>
      </c>
      <c r="O48" s="216"/>
      <c r="P48" s="216"/>
      <c r="Q48" s="216"/>
      <c r="R48" s="216"/>
      <c r="S48" s="216"/>
      <c r="T48" s="216"/>
      <c r="U48" s="216"/>
      <c r="V48" s="216"/>
      <c r="W48" s="216"/>
      <c r="X48" s="216"/>
      <c r="Y48" s="216"/>
      <c r="Z48" s="216"/>
      <c r="AA48" s="251">
        <f t="shared" ref="AA48:AA57" si="2">IF($I48="B1","",SUM(O48:Z48))</f>
        <v>0</v>
      </c>
      <c r="AB48" s="218" t="str">
        <f t="shared" ref="AB48:AB57" si="3">IF(AA48=0,"",IFERROR(AA48/AA$19,""))</f>
        <v/>
      </c>
      <c r="AC48" s="140"/>
      <c r="AD48" s="216"/>
      <c r="AE48" s="218" t="str">
        <f t="shared" ref="AE48:AE57" si="4">IF(AD48=0,"",IFERROR(AD48/AD$19,""))</f>
        <v/>
      </c>
      <c r="AF48" s="233">
        <f t="shared" ref="AF48:AF57" si="5">IF(AND($AA48="",AD48=""),"",$AA48-AD48)</f>
        <v>0</v>
      </c>
      <c r="AG48" s="216"/>
      <c r="AH48" s="218" t="str">
        <f t="shared" ref="AH48:AH57" si="6">IF(AG48=0,"",IFERROR(AG48/AG$19,""))</f>
        <v/>
      </c>
      <c r="AI48" s="233">
        <f t="shared" ref="AI48:AI57" si="7">IF(AND($AA48="",AG48=""),"",$AA48-AG48)</f>
        <v>0</v>
      </c>
      <c r="AJ48" s="440">
        <f t="shared" ref="AJ48:AJ57" si="8">IFERROR(AA48/AA$20,0)</f>
        <v>0</v>
      </c>
      <c r="AK48" s="441">
        <f t="shared" ref="AK48:AK57" si="9">IFERROR(AD48/AD$20,0)</f>
        <v>0</v>
      </c>
      <c r="AL48" s="442">
        <f t="shared" ref="AL48:AL57" si="10">IFERROR(AG48/AG$20,0)</f>
        <v>0</v>
      </c>
      <c r="AM48" s="443">
        <f t="shared" ref="AM48:AM57" si="11">+IFERROR(ROUND(($AB48-AE48)*100,2)&amp;" pts.",0)</f>
        <v>0</v>
      </c>
      <c r="AN48" s="444">
        <f t="shared" ref="AN48:AN57" si="12">+IFERROR(ROUND(($AB48-AH48)*100,2)&amp;" pts.",0)</f>
        <v>0</v>
      </c>
      <c r="AO48" s="11"/>
    </row>
    <row r="49" spans="1:41" hidden="1" x14ac:dyDescent="0.35">
      <c r="A49" s="65" t="s">
        <v>5</v>
      </c>
      <c r="B49" s="66"/>
      <c r="C49" s="11"/>
      <c r="D49" s="11"/>
      <c r="E49" s="11"/>
      <c r="F49" s="384"/>
      <c r="G49" s="11"/>
      <c r="H49" s="88"/>
      <c r="I49" s="122" t="str">
        <f>IF(_epmOfflineCondition_,"",_xll.EVPRO($B$1,$H49,"STYLE"))</f>
        <v/>
      </c>
      <c r="J49" s="122" t="str">
        <f>IF(_epmOfflineCondition_,"",_xll.EVPRO($B$1,$H49,"CALC"))</f>
        <v/>
      </c>
      <c r="K49" s="179" t="str">
        <f t="shared" si="1"/>
        <v/>
      </c>
      <c r="L49" s="90" t="str">
        <f>IF(_epmOfflineCondition_,"",_xll.EVPRO($B$1,H49,"JDEID"))</f>
        <v/>
      </c>
      <c r="M49" s="90" t="str">
        <f>IF(_epmOfflineCondition_,"",IF(AND(I49="N",J49="N"),_xll.EVPRO($B$1,H49,"PSFTID"),""))</f>
        <v/>
      </c>
      <c r="N49" s="90" t="str">
        <f>IF(_epmOfflineCondition_,"",IF(_xll.EVDES(H49,$B$1)="#NODATA","",_xll.EVDES(H49,$B$1)))</f>
        <v/>
      </c>
      <c r="O49" s="216"/>
      <c r="P49" s="216"/>
      <c r="Q49" s="216"/>
      <c r="R49" s="216"/>
      <c r="S49" s="216"/>
      <c r="T49" s="216"/>
      <c r="U49" s="216"/>
      <c r="V49" s="216"/>
      <c r="W49" s="216"/>
      <c r="X49" s="216"/>
      <c r="Y49" s="216"/>
      <c r="Z49" s="216"/>
      <c r="AA49" s="251">
        <f t="shared" si="2"/>
        <v>0</v>
      </c>
      <c r="AB49" s="218" t="str">
        <f t="shared" si="3"/>
        <v/>
      </c>
      <c r="AC49" s="140"/>
      <c r="AD49" s="216"/>
      <c r="AE49" s="218" t="str">
        <f t="shared" si="4"/>
        <v/>
      </c>
      <c r="AF49" s="233">
        <f t="shared" si="5"/>
        <v>0</v>
      </c>
      <c r="AG49" s="216"/>
      <c r="AH49" s="218" t="str">
        <f t="shared" si="6"/>
        <v/>
      </c>
      <c r="AI49" s="233">
        <f t="shared" si="7"/>
        <v>0</v>
      </c>
      <c r="AJ49" s="440">
        <f t="shared" si="8"/>
        <v>0</v>
      </c>
      <c r="AK49" s="441">
        <f t="shared" si="9"/>
        <v>0</v>
      </c>
      <c r="AL49" s="442">
        <f t="shared" si="10"/>
        <v>0</v>
      </c>
      <c r="AM49" s="443">
        <f t="shared" si="11"/>
        <v>0</v>
      </c>
      <c r="AN49" s="444">
        <f t="shared" si="12"/>
        <v>0</v>
      </c>
      <c r="AO49" s="11"/>
    </row>
    <row r="50" spans="1:41" x14ac:dyDescent="0.35">
      <c r="A50" s="65" t="s">
        <v>6</v>
      </c>
      <c r="B50" s="66"/>
      <c r="C50" s="11"/>
      <c r="D50" s="11"/>
      <c r="E50" s="11"/>
      <c r="F50" s="384"/>
      <c r="G50" s="11"/>
      <c r="H50" s="88" t="s">
        <v>75</v>
      </c>
      <c r="I50" s="89" t="str">
        <f>IF(_epmOfflineCondition_,"B1",_xll.EVPRO($B$1,$H50,"STYLE"))</f>
        <v>B1</v>
      </c>
      <c r="J50" s="89" t="str">
        <f>IF(_epmOfflineCondition_,"Y",_xll.EVPRO($B$1,$H50,"CALC"))</f>
        <v>Y</v>
      </c>
      <c r="K50" s="265" t="str">
        <f t="shared" si="1"/>
        <v/>
      </c>
      <c r="L50" s="106" t="str">
        <f>IF(_epmOfflineCondition_,"",_xll.EVPRO($B$1,H50,"JDEID"))</f>
        <v/>
      </c>
      <c r="M50" s="90" t="str">
        <f>IF(_epmOfflineCondition_,"",IF(AND(I50="N",J50="N"),_xll.EVPRO($B$1,H50,"PSFTID"),""))</f>
        <v/>
      </c>
      <c r="N50" s="106" t="str">
        <f>IF(_epmOfflineCondition_,"Non-Management",IF(_xll.EVDES(H50,$B$1)="#NODATA","",_xll.EVDES(H50,$B$1)))</f>
        <v>Non-Management</v>
      </c>
      <c r="O50" s="197"/>
      <c r="P50" s="197"/>
      <c r="Q50" s="197"/>
      <c r="R50" s="197"/>
      <c r="S50" s="197"/>
      <c r="T50" s="197"/>
      <c r="U50" s="197"/>
      <c r="V50" s="197"/>
      <c r="W50" s="197"/>
      <c r="X50" s="197"/>
      <c r="Y50" s="197"/>
      <c r="Z50" s="197"/>
      <c r="AA50" s="180" t="str">
        <f t="shared" si="2"/>
        <v/>
      </c>
      <c r="AB50" s="198" t="str">
        <f t="shared" si="3"/>
        <v/>
      </c>
      <c r="AC50" s="11"/>
      <c r="AD50" s="197"/>
      <c r="AE50" s="198" t="str">
        <f t="shared" si="4"/>
        <v/>
      </c>
      <c r="AF50" s="199" t="str">
        <f t="shared" si="5"/>
        <v/>
      </c>
      <c r="AG50" s="197"/>
      <c r="AH50" s="198" t="str">
        <f t="shared" si="6"/>
        <v/>
      </c>
      <c r="AI50" s="199" t="str">
        <f t="shared" si="7"/>
        <v/>
      </c>
      <c r="AJ50" s="397">
        <f t="shared" si="8"/>
        <v>0</v>
      </c>
      <c r="AK50" s="398">
        <f t="shared" si="9"/>
        <v>0</v>
      </c>
      <c r="AL50" s="399">
        <f t="shared" si="10"/>
        <v>0</v>
      </c>
      <c r="AM50" s="400">
        <f t="shared" si="11"/>
        <v>0</v>
      </c>
      <c r="AN50" s="401">
        <f t="shared" si="12"/>
        <v>0</v>
      </c>
      <c r="AO50" s="11"/>
    </row>
    <row r="51" spans="1:41" x14ac:dyDescent="0.35">
      <c r="A51" s="65" t="s">
        <v>7</v>
      </c>
      <c r="B51" s="66" t="str">
        <f>IF(_epmOfflineCondition_,"'Parking'!$A$65:$F$68",_xll.EVRNG(A65:F68))</f>
        <v>'Parking'!$A$65:$F$68</v>
      </c>
      <c r="C51" s="11"/>
      <c r="D51" s="11"/>
      <c r="E51" s="11"/>
      <c r="F51" s="384"/>
      <c r="G51" s="11"/>
      <c r="H51" s="88" t="s">
        <v>897</v>
      </c>
      <c r="I51" s="122" t="str">
        <f>IF(_epmOfflineCondition_,"T3",_xll.EVPRO($B$1,$H51,"STYLE"))</f>
        <v>T3</v>
      </c>
      <c r="J51" s="122" t="str">
        <f>IF(_epmOfflineCondition_,"Y",_xll.EVPRO($B$1,$H51,"CALC"))</f>
        <v>Y</v>
      </c>
      <c r="K51" s="179" t="str">
        <f t="shared" si="1"/>
        <v>&gt;</v>
      </c>
      <c r="L51" s="90" t="str">
        <f>IF(_epmOfflineCondition_,"",_xll.EVPRO($B$1,H51,"JDEID"))</f>
        <v/>
      </c>
      <c r="M51" s="90" t="str">
        <f>IF(_epmOfflineCondition_,"",IF(AND(I51="N",J51="N"),_xll.EVPRO($B$1,H51,"PSFTID"),""))</f>
        <v/>
      </c>
      <c r="N51" s="90" t="str">
        <f>IF(_epmOfflineCondition_,"Non-Mgmt. (Parking)",IF(_xll.EVDES(H51,$B$1)="#NODATA","",_xll.EVDES(H51,$B$1)))</f>
        <v>Non-Mgmt. (Parking)</v>
      </c>
      <c r="O51" s="216"/>
      <c r="P51" s="216"/>
      <c r="Q51" s="216"/>
      <c r="R51" s="216"/>
      <c r="S51" s="216"/>
      <c r="T51" s="216"/>
      <c r="U51" s="216"/>
      <c r="V51" s="216"/>
      <c r="W51" s="216"/>
      <c r="X51" s="216"/>
      <c r="Y51" s="216"/>
      <c r="Z51" s="216"/>
      <c r="AA51" s="251">
        <f t="shared" si="2"/>
        <v>0</v>
      </c>
      <c r="AB51" s="218" t="str">
        <f t="shared" si="3"/>
        <v/>
      </c>
      <c r="AC51" s="140"/>
      <c r="AD51" s="216"/>
      <c r="AE51" s="218" t="str">
        <f t="shared" si="4"/>
        <v/>
      </c>
      <c r="AF51" s="233">
        <f t="shared" si="5"/>
        <v>0</v>
      </c>
      <c r="AG51" s="216">
        <v>37833.32</v>
      </c>
      <c r="AH51" s="218">
        <f t="shared" si="6"/>
        <v>0.6190760131796148</v>
      </c>
      <c r="AI51" s="233">
        <f t="shared" si="7"/>
        <v>-37833.32</v>
      </c>
      <c r="AJ51" s="449">
        <f t="shared" si="8"/>
        <v>0</v>
      </c>
      <c r="AK51" s="450">
        <f t="shared" si="9"/>
        <v>0</v>
      </c>
      <c r="AL51" s="451">
        <f t="shared" si="10"/>
        <v>1.8869486284289276</v>
      </c>
      <c r="AM51" s="452">
        <f t="shared" si="11"/>
        <v>0</v>
      </c>
      <c r="AN51" s="453">
        <f t="shared" si="12"/>
        <v>0</v>
      </c>
      <c r="AO51" s="11"/>
    </row>
    <row r="52" spans="1:41" x14ac:dyDescent="0.35">
      <c r="A52" s="65" t="s">
        <v>47</v>
      </c>
      <c r="B52" s="66" t="str">
        <f>IF(_epmOfflineCondition_,"'Parking'!$A$116:$B$137",_xll.EVRNG($A$116:$B$137))</f>
        <v>'Parking'!$A$116:$B$137</v>
      </c>
      <c r="C52" s="11"/>
      <c r="D52" s="11"/>
      <c r="E52" s="11"/>
      <c r="F52" s="11"/>
      <c r="G52" s="11"/>
      <c r="H52" s="88" t="s">
        <v>848</v>
      </c>
      <c r="I52" s="188" t="str">
        <f>IF(_epmOfflineCondition_,"T2",_xll.EVPRO($B$1,$H52,"STYLE"))</f>
        <v>T2</v>
      </c>
      <c r="J52" s="188" t="str">
        <f>IF(_epmOfflineCondition_,"Y",_xll.EVPRO($B$1,$H52,"CALC"))</f>
        <v>Y</v>
      </c>
      <c r="K52" s="189" t="str">
        <f t="shared" si="1"/>
        <v/>
      </c>
      <c r="L52" s="190" t="str">
        <f>IF(_epmOfflineCondition_,"",_xll.EVPRO($B$1,H52,"JDEID"))</f>
        <v/>
      </c>
      <c r="M52" s="190" t="str">
        <f>IF(_epmOfflineCondition_,"",IF(AND(I52="N",J52="N"),_xll.EVPRO($B$1,H52,"PSFTID"),""))</f>
        <v/>
      </c>
      <c r="N52" s="190" t="str">
        <f>IF(_epmOfflineCondition_,"Total Salaries and Wages",IF(_xll.EVDES(H52,$B$1)="#NODATA","",_xll.EVDES(H52,$B$1)))</f>
        <v>Total Salaries and Wages</v>
      </c>
      <c r="O52" s="238"/>
      <c r="P52" s="238"/>
      <c r="Q52" s="238"/>
      <c r="R52" s="238"/>
      <c r="S52" s="238"/>
      <c r="T52" s="238"/>
      <c r="U52" s="238"/>
      <c r="V52" s="238"/>
      <c r="W52" s="238"/>
      <c r="X52" s="238"/>
      <c r="Y52" s="238"/>
      <c r="Z52" s="238"/>
      <c r="AA52" s="238">
        <f t="shared" si="2"/>
        <v>0</v>
      </c>
      <c r="AB52" s="239" t="str">
        <f t="shared" si="3"/>
        <v/>
      </c>
      <c r="AC52" s="240"/>
      <c r="AD52" s="238"/>
      <c r="AE52" s="239" t="str">
        <f t="shared" si="4"/>
        <v/>
      </c>
      <c r="AF52" s="241">
        <f t="shared" si="5"/>
        <v>0</v>
      </c>
      <c r="AG52" s="238">
        <v>37833.32</v>
      </c>
      <c r="AH52" s="239">
        <f t="shared" si="6"/>
        <v>0.6190760131796148</v>
      </c>
      <c r="AI52" s="241">
        <f t="shared" si="7"/>
        <v>-37833.32</v>
      </c>
      <c r="AJ52" s="242">
        <f t="shared" si="8"/>
        <v>0</v>
      </c>
      <c r="AK52" s="243">
        <f t="shared" si="9"/>
        <v>0</v>
      </c>
      <c r="AL52" s="245">
        <f t="shared" si="10"/>
        <v>1.8869486284289276</v>
      </c>
      <c r="AM52" s="431">
        <f t="shared" si="11"/>
        <v>0</v>
      </c>
      <c r="AN52" s="465">
        <f t="shared" si="12"/>
        <v>0</v>
      </c>
      <c r="AO52" s="11"/>
    </row>
    <row r="53" spans="1:41" x14ac:dyDescent="0.35">
      <c r="A53" s="65" t="s">
        <v>8</v>
      </c>
      <c r="B53" s="66"/>
      <c r="C53" s="11"/>
      <c r="D53" s="11"/>
      <c r="E53" s="11"/>
      <c r="F53" s="11"/>
      <c r="G53" s="11"/>
      <c r="H53" s="88" t="s">
        <v>850</v>
      </c>
      <c r="I53" s="188" t="str">
        <f>IF(_epmOfflineCondition_,"T2",_xll.EVPRO($B$1,$H53,"STYLE"))</f>
        <v>T2</v>
      </c>
      <c r="J53" s="188" t="str">
        <f>IF(_epmOfflineCondition_,"Y",_xll.EVPRO($B$1,$H53,"CALC"))</f>
        <v>Y</v>
      </c>
      <c r="K53" s="189" t="str">
        <f t="shared" si="1"/>
        <v/>
      </c>
      <c r="L53" s="190" t="str">
        <f>IF(_epmOfflineCondition_,"",_xll.EVPRO($B$1,H53,"JDEID"))</f>
        <v/>
      </c>
      <c r="M53" s="190" t="str">
        <f>IF(_epmOfflineCondition_,"",IF(AND(I53="N",J53="N"),_xll.EVPRO($B$1,H53,"PSFTID"),""))</f>
        <v/>
      </c>
      <c r="N53" s="190" t="str">
        <f>IF(_epmOfflineCondition_,"Total Labor Expense",IF(_xll.EVDES(H53,$B$1)="#NODATA","",_xll.EVDES(H53,$B$1)))</f>
        <v>Total Labor Expense</v>
      </c>
      <c r="O53" s="605"/>
      <c r="P53" s="605"/>
      <c r="Q53" s="605"/>
      <c r="R53" s="605"/>
      <c r="S53" s="605"/>
      <c r="T53" s="605"/>
      <c r="U53" s="605"/>
      <c r="V53" s="605"/>
      <c r="W53" s="605"/>
      <c r="X53" s="605"/>
      <c r="Y53" s="605"/>
      <c r="Z53" s="605"/>
      <c r="AA53" s="591">
        <f t="shared" si="2"/>
        <v>0</v>
      </c>
      <c r="AB53" s="606" t="str">
        <f t="shared" si="3"/>
        <v/>
      </c>
      <c r="AC53" s="593"/>
      <c r="AD53" s="605"/>
      <c r="AE53" s="606" t="str">
        <f t="shared" si="4"/>
        <v/>
      </c>
      <c r="AF53" s="607">
        <f t="shared" si="5"/>
        <v>0</v>
      </c>
      <c r="AG53" s="605">
        <v>37833.32</v>
      </c>
      <c r="AH53" s="606">
        <f t="shared" si="6"/>
        <v>0.6190760131796148</v>
      </c>
      <c r="AI53" s="607">
        <f t="shared" si="7"/>
        <v>-37833.32</v>
      </c>
      <c r="AJ53" s="595">
        <f t="shared" si="8"/>
        <v>0</v>
      </c>
      <c r="AK53" s="596">
        <f t="shared" si="9"/>
        <v>0</v>
      </c>
      <c r="AL53" s="597">
        <f t="shared" si="10"/>
        <v>1.8869486284289276</v>
      </c>
      <c r="AM53" s="598">
        <f t="shared" si="11"/>
        <v>0</v>
      </c>
      <c r="AN53" s="599">
        <f t="shared" si="12"/>
        <v>0</v>
      </c>
      <c r="AO53" s="11"/>
    </row>
    <row r="54" spans="1:41" x14ac:dyDescent="0.35">
      <c r="A54" s="11"/>
      <c r="B54" s="11"/>
      <c r="C54" s="11"/>
      <c r="D54" s="11"/>
      <c r="E54" s="11"/>
      <c r="F54" s="11"/>
      <c r="G54" s="11"/>
      <c r="H54" s="88" t="s">
        <v>851</v>
      </c>
      <c r="I54" s="122" t="str">
        <f>IF(_epmOfflineCondition_,"T3",_xll.EVPRO($B$1,$H54,"STYLE"))</f>
        <v>T3</v>
      </c>
      <c r="J54" s="122" t="str">
        <f>IF(_epmOfflineCondition_,"Y",_xll.EVPRO($B$1,$H54,"CALC"))</f>
        <v>Y</v>
      </c>
      <c r="K54" s="179" t="str">
        <f t="shared" si="1"/>
        <v>&gt;</v>
      </c>
      <c r="L54" s="90" t="str">
        <f>IF(_epmOfflineCondition_,"",_xll.EVPRO($B$1,H54,"JDEID"))</f>
        <v/>
      </c>
      <c r="M54" s="90" t="str">
        <f>IF(_epmOfflineCondition_,"",IF(AND(I54="N",J54="N"),_xll.EVPRO($B$1,H54,"PSFTID"),""))</f>
        <v/>
      </c>
      <c r="N54" s="90" t="str">
        <f>IF(_epmOfflineCondition_,"Payroll Taxes",IF(_xll.EVDES(H54,$B$1)="#NODATA","",_xll.EVDES(H54,$B$1)))</f>
        <v>Payroll Taxes</v>
      </c>
      <c r="O54" s="216"/>
      <c r="P54" s="216"/>
      <c r="Q54" s="216"/>
      <c r="R54" s="216"/>
      <c r="S54" s="216"/>
      <c r="T54" s="216"/>
      <c r="U54" s="216"/>
      <c r="V54" s="216"/>
      <c r="W54" s="216"/>
      <c r="X54" s="216"/>
      <c r="Y54" s="216"/>
      <c r="Z54" s="216"/>
      <c r="AA54" s="216">
        <f t="shared" si="2"/>
        <v>0</v>
      </c>
      <c r="AB54" s="218" t="str">
        <f t="shared" si="3"/>
        <v/>
      </c>
      <c r="AC54" s="140"/>
      <c r="AD54" s="216"/>
      <c r="AE54" s="218" t="str">
        <f t="shared" si="4"/>
        <v/>
      </c>
      <c r="AF54" s="233">
        <f t="shared" si="5"/>
        <v>0</v>
      </c>
      <c r="AG54" s="216">
        <v>-889.94</v>
      </c>
      <c r="AH54" s="218">
        <f t="shared" si="6"/>
        <v>-1.4562309286339831E-2</v>
      </c>
      <c r="AI54" s="233">
        <f t="shared" si="7"/>
        <v>889.94</v>
      </c>
      <c r="AJ54" s="532">
        <f t="shared" si="8"/>
        <v>0</v>
      </c>
      <c r="AK54" s="533">
        <f t="shared" si="9"/>
        <v>0</v>
      </c>
      <c r="AL54" s="534">
        <f t="shared" si="10"/>
        <v>-4.4386034912718204E-2</v>
      </c>
      <c r="AM54" s="535">
        <f t="shared" si="11"/>
        <v>0</v>
      </c>
      <c r="AN54" s="536">
        <f t="shared" si="12"/>
        <v>0</v>
      </c>
      <c r="AO54" s="11"/>
    </row>
    <row r="55" spans="1:41" x14ac:dyDescent="0.35">
      <c r="A55" s="62" t="s">
        <v>9</v>
      </c>
      <c r="B55" s="63" t="s">
        <v>10</v>
      </c>
      <c r="C55" s="11"/>
      <c r="D55" s="11"/>
      <c r="E55" s="11"/>
      <c r="F55" s="11"/>
      <c r="G55" s="11"/>
      <c r="H55" s="88" t="s">
        <v>853</v>
      </c>
      <c r="I55" s="122" t="str">
        <f>IF(_epmOfflineCondition_,"T3",_xll.EVPRO($B$1,$H55,"STYLE"))</f>
        <v>T3</v>
      </c>
      <c r="J55" s="122" t="str">
        <f>IF(_epmOfflineCondition_,"Y",_xll.EVPRO($B$1,$H55,"CALC"))</f>
        <v>Y</v>
      </c>
      <c r="K55" s="179" t="str">
        <f t="shared" si="1"/>
        <v>&gt;</v>
      </c>
      <c r="L55" s="90" t="str">
        <f>IF(_epmOfflineCondition_,"",_xll.EVPRO($B$1,H55,"JDEID"))</f>
        <v/>
      </c>
      <c r="M55" s="90" t="str">
        <f>IF(_epmOfflineCondition_,"",IF(AND(I55="N",J55="N"),_xll.EVPRO($B$1,H55,"PSFTID"),""))</f>
        <v/>
      </c>
      <c r="N55" s="90" t="str">
        <f>IF(_epmOfflineCondition_,"Employee Benefits",IF(_xll.EVDES(H55,$B$1)="#NODATA","",_xll.EVDES(H55,$B$1)))</f>
        <v>Employee Benefits</v>
      </c>
      <c r="O55" s="216"/>
      <c r="P55" s="216"/>
      <c r="Q55" s="216"/>
      <c r="R55" s="216"/>
      <c r="S55" s="216"/>
      <c r="T55" s="216"/>
      <c r="U55" s="216"/>
      <c r="V55" s="216"/>
      <c r="W55" s="216"/>
      <c r="X55" s="216"/>
      <c r="Y55" s="216"/>
      <c r="Z55" s="216"/>
      <c r="AA55" s="251">
        <f t="shared" si="2"/>
        <v>0</v>
      </c>
      <c r="AB55" s="218" t="str">
        <f t="shared" si="3"/>
        <v/>
      </c>
      <c r="AC55" s="140"/>
      <c r="AD55" s="216"/>
      <c r="AE55" s="218" t="str">
        <f t="shared" si="4"/>
        <v/>
      </c>
      <c r="AF55" s="233">
        <f t="shared" si="5"/>
        <v>0</v>
      </c>
      <c r="AG55" s="216">
        <v>9765.4599999999991</v>
      </c>
      <c r="AH55" s="218">
        <f t="shared" si="6"/>
        <v>0.15979464777780542</v>
      </c>
      <c r="AI55" s="233">
        <f t="shared" si="7"/>
        <v>-9765.4599999999991</v>
      </c>
      <c r="AJ55" s="449">
        <f t="shared" si="8"/>
        <v>0</v>
      </c>
      <c r="AK55" s="450">
        <f t="shared" si="9"/>
        <v>0</v>
      </c>
      <c r="AL55" s="451">
        <f t="shared" si="10"/>
        <v>0.48705536159600993</v>
      </c>
      <c r="AM55" s="452">
        <f t="shared" si="11"/>
        <v>0</v>
      </c>
      <c r="AN55" s="453">
        <f t="shared" si="12"/>
        <v>0</v>
      </c>
      <c r="AO55" s="11"/>
    </row>
    <row r="56" spans="1:41" x14ac:dyDescent="0.35">
      <c r="A56" s="65" t="s">
        <v>11</v>
      </c>
      <c r="B56" s="66" t="s">
        <v>21</v>
      </c>
      <c r="C56" s="11"/>
      <c r="D56" s="11"/>
      <c r="E56" s="11"/>
      <c r="F56" s="11"/>
      <c r="G56" s="76"/>
      <c r="H56" s="88" t="s">
        <v>854</v>
      </c>
      <c r="I56" s="188" t="str">
        <f>IF(_epmOfflineCondition_,"T2",_xll.EVPRO($B$1,$H56,"STYLE"))</f>
        <v>T2</v>
      </c>
      <c r="J56" s="188" t="str">
        <f>IF(_epmOfflineCondition_,"Y",_xll.EVPRO($B$1,$H56,"CALC"))</f>
        <v>Y</v>
      </c>
      <c r="K56" s="189" t="str">
        <f t="shared" si="1"/>
        <v/>
      </c>
      <c r="L56" s="190" t="str">
        <f>IF(_epmOfflineCondition_,"",_xll.EVPRO($B$1,H56,"JDEID"))</f>
        <v/>
      </c>
      <c r="M56" s="190" t="str">
        <f>IF(_epmOfflineCondition_,"",IF(AND(I56="N",J56="N"),_xll.EVPRO($B$1,H56,"PSFTID"),""))</f>
        <v/>
      </c>
      <c r="N56" s="190" t="str">
        <f>IF(_epmOfflineCondition_,"Total Payroll Related",IF(_xll.EVDES(H56,$B$1)="#NODATA","",_xll.EVDES(H56,$B$1)))</f>
        <v>Total Payroll Related</v>
      </c>
      <c r="O56" s="238"/>
      <c r="P56" s="238"/>
      <c r="Q56" s="238"/>
      <c r="R56" s="238"/>
      <c r="S56" s="238"/>
      <c r="T56" s="238"/>
      <c r="U56" s="238"/>
      <c r="V56" s="238"/>
      <c r="W56" s="238"/>
      <c r="X56" s="238"/>
      <c r="Y56" s="238"/>
      <c r="Z56" s="238"/>
      <c r="AA56" s="238">
        <f t="shared" si="2"/>
        <v>0</v>
      </c>
      <c r="AB56" s="239" t="str">
        <f t="shared" si="3"/>
        <v/>
      </c>
      <c r="AC56" s="240"/>
      <c r="AD56" s="238"/>
      <c r="AE56" s="239" t="str">
        <f t="shared" si="4"/>
        <v/>
      </c>
      <c r="AF56" s="241">
        <f t="shared" si="5"/>
        <v>0</v>
      </c>
      <c r="AG56" s="238">
        <v>8875.52</v>
      </c>
      <c r="AH56" s="239">
        <f t="shared" si="6"/>
        <v>0.14523233849146561</v>
      </c>
      <c r="AI56" s="241">
        <f t="shared" si="7"/>
        <v>-8875.52</v>
      </c>
      <c r="AJ56" s="242">
        <f t="shared" si="8"/>
        <v>0</v>
      </c>
      <c r="AK56" s="243">
        <f t="shared" si="9"/>
        <v>0</v>
      </c>
      <c r="AL56" s="245">
        <f t="shared" si="10"/>
        <v>0.44266932668329179</v>
      </c>
      <c r="AM56" s="431">
        <f t="shared" si="11"/>
        <v>0</v>
      </c>
      <c r="AN56" s="465">
        <f t="shared" si="12"/>
        <v>0</v>
      </c>
      <c r="AO56" s="11"/>
    </row>
    <row r="57" spans="1:41" x14ac:dyDescent="0.35">
      <c r="A57" s="65" t="s">
        <v>12</v>
      </c>
      <c r="B57" s="66" t="s">
        <v>22</v>
      </c>
      <c r="C57" s="11"/>
      <c r="D57" s="11"/>
      <c r="E57" s="11"/>
      <c r="F57" s="11"/>
      <c r="G57" s="11"/>
      <c r="H57" s="88" t="s">
        <v>76</v>
      </c>
      <c r="I57" s="188" t="str">
        <f>IF(_epmOfflineCondition_,"T1",_xll.EVPRO($B$1,$H57,"STYLE"))</f>
        <v>T1</v>
      </c>
      <c r="J57" s="188" t="str">
        <f>IF(_epmOfflineCondition_,"Y",_xll.EVPRO($B$1,$H57,"CALC"))</f>
        <v>Y</v>
      </c>
      <c r="K57" s="189" t="str">
        <f t="shared" si="1"/>
        <v/>
      </c>
      <c r="L57" s="190" t="str">
        <f>IF(_epmOfflineCondition_,"600000",_xll.EVPRO($B$1,H57,"JDEID"))</f>
        <v>600000</v>
      </c>
      <c r="M57" s="190" t="str">
        <f>IF(_epmOfflineCondition_,"",IF(AND(I57="N",J57="N"),_xll.EVPRO($B$1,H57,"PSFTID"),""))</f>
        <v/>
      </c>
      <c r="N57" s="190" t="str">
        <f>IF(_epmOfflineCondition_,"Total Labor &amp; Related Exp",IF(_xll.EVDES(H57,$B$1)="#NODATA","",_xll.EVDES(H57,$B$1)))</f>
        <v>Total Labor &amp; Related Exp</v>
      </c>
      <c r="O57" s="238"/>
      <c r="P57" s="238"/>
      <c r="Q57" s="238"/>
      <c r="R57" s="238"/>
      <c r="S57" s="238"/>
      <c r="T57" s="238"/>
      <c r="U57" s="238"/>
      <c r="V57" s="238"/>
      <c r="W57" s="238"/>
      <c r="X57" s="238"/>
      <c r="Y57" s="238"/>
      <c r="Z57" s="238"/>
      <c r="AA57" s="238">
        <f t="shared" si="2"/>
        <v>0</v>
      </c>
      <c r="AB57" s="239" t="str">
        <f t="shared" si="3"/>
        <v/>
      </c>
      <c r="AC57" s="240"/>
      <c r="AD57" s="238"/>
      <c r="AE57" s="239" t="str">
        <f t="shared" si="4"/>
        <v/>
      </c>
      <c r="AF57" s="241">
        <f t="shared" si="5"/>
        <v>0</v>
      </c>
      <c r="AG57" s="238">
        <v>46708.84</v>
      </c>
      <c r="AH57" s="239">
        <f t="shared" si="6"/>
        <v>0.76430835167108035</v>
      </c>
      <c r="AI57" s="241">
        <f t="shared" si="7"/>
        <v>-46708.84</v>
      </c>
      <c r="AJ57" s="242">
        <f t="shared" si="8"/>
        <v>0</v>
      </c>
      <c r="AK57" s="243">
        <f t="shared" si="9"/>
        <v>0</v>
      </c>
      <c r="AL57" s="245">
        <f t="shared" si="10"/>
        <v>2.3296179551122194</v>
      </c>
      <c r="AM57" s="431">
        <f t="shared" si="11"/>
        <v>0</v>
      </c>
      <c r="AN57" s="465">
        <f t="shared" si="12"/>
        <v>0</v>
      </c>
      <c r="AO57" s="11"/>
    </row>
    <row r="58" spans="1:41" x14ac:dyDescent="0.35">
      <c r="A58" s="65" t="s">
        <v>13</v>
      </c>
      <c r="B58" s="66" t="str">
        <f>"DEP(500001) AND "&amp;$E$6&amp;"=Y,500001"</f>
        <v>DEP(500001) AND D1133=Y,500001</v>
      </c>
      <c r="C58" s="11"/>
      <c r="D58" s="11"/>
      <c r="E58" s="11"/>
      <c r="F58" s="11"/>
      <c r="G58" s="11"/>
      <c r="H58" s="11"/>
      <c r="I58" s="59"/>
      <c r="J58" s="59"/>
      <c r="K58" s="11"/>
      <c r="L58" s="11"/>
      <c r="M58" s="11"/>
      <c r="N58" s="11"/>
      <c r="O58" s="129"/>
      <c r="P58" s="130"/>
      <c r="Q58" s="130"/>
      <c r="R58" s="130"/>
      <c r="S58" s="130"/>
      <c r="T58" s="130"/>
      <c r="U58" s="130"/>
      <c r="V58" s="130"/>
      <c r="W58" s="130"/>
      <c r="X58" s="130"/>
      <c r="Y58" s="130"/>
      <c r="Z58" s="130"/>
      <c r="AA58" s="130"/>
      <c r="AB58" s="131"/>
      <c r="AC58" s="11"/>
      <c r="AD58" s="129"/>
      <c r="AE58" s="130"/>
      <c r="AF58" s="131"/>
      <c r="AG58" s="129"/>
      <c r="AH58" s="130"/>
      <c r="AI58" s="131"/>
      <c r="AJ58" s="11"/>
      <c r="AK58" s="11"/>
      <c r="AL58" s="11"/>
      <c r="AM58" s="11"/>
      <c r="AN58" s="11"/>
      <c r="AO58" s="11"/>
    </row>
    <row r="59" spans="1:41" x14ac:dyDescent="0.35">
      <c r="A59" s="65" t="s">
        <v>14</v>
      </c>
      <c r="B59" s="66"/>
      <c r="C59" s="11"/>
      <c r="D59" s="11"/>
      <c r="E59" s="11"/>
      <c r="F59" s="11"/>
      <c r="G59" s="11"/>
      <c r="H59" s="11" t="s">
        <v>82</v>
      </c>
      <c r="I59" s="59" t="str">
        <f>IF(_epmOfflineCondition_,"B1",_xll.EVPRO($B$1,$H59,"STYLE"))</f>
        <v>B1</v>
      </c>
      <c r="J59" s="59" t="str">
        <f>IF(_epmOfflineCondition_,"Y",_xll.EVPRO($B$1,$H59,"CALC"))</f>
        <v>Y</v>
      </c>
      <c r="K59" s="11"/>
      <c r="L59" s="11"/>
      <c r="M59" s="11"/>
      <c r="N59" s="105" t="str">
        <f>IF(_epmOfflineCondition_,"Other Expenses",IF(_xll.EVDES(H59,$B$1)="#NODATA","",_xll.EVDES(H59,$B$1)))</f>
        <v>Other Expenses</v>
      </c>
      <c r="O59" s="119"/>
      <c r="P59" s="120"/>
      <c r="Q59" s="120"/>
      <c r="R59" s="120"/>
      <c r="S59" s="120"/>
      <c r="T59" s="120"/>
      <c r="U59" s="120"/>
      <c r="V59" s="120"/>
      <c r="W59" s="120"/>
      <c r="X59" s="120"/>
      <c r="Y59" s="120"/>
      <c r="Z59" s="120"/>
      <c r="AA59" s="120"/>
      <c r="AB59" s="121"/>
      <c r="AC59" s="11"/>
      <c r="AD59" s="119"/>
      <c r="AE59" s="120"/>
      <c r="AF59" s="121"/>
      <c r="AG59" s="119"/>
      <c r="AH59" s="120"/>
      <c r="AI59" s="121"/>
      <c r="AJ59" s="11"/>
      <c r="AK59" s="11"/>
      <c r="AL59" s="11"/>
      <c r="AM59" s="11"/>
      <c r="AN59" s="11"/>
      <c r="AO59" s="11"/>
    </row>
    <row r="60" spans="1:41" x14ac:dyDescent="0.35">
      <c r="A60" s="65" t="s">
        <v>15</v>
      </c>
      <c r="B60" s="66"/>
      <c r="C60" s="11"/>
      <c r="D60" s="11"/>
      <c r="E60" s="11"/>
      <c r="F60" s="11"/>
      <c r="G60" s="11"/>
      <c r="H60" s="88" t="s">
        <v>831</v>
      </c>
      <c r="I60" s="122" t="str">
        <f>IF(_epmOfflineCondition_,"T4",_xll.EVPRO($B$1,$H60,"STYLE"))</f>
        <v>T4</v>
      </c>
      <c r="J60" s="122" t="str">
        <f>IF(_epmOfflineCondition_,"Y",_xll.EVPRO($B$1,$H60,"CALC"))</f>
        <v>Y</v>
      </c>
      <c r="K60" s="179" t="str">
        <f>IF(AND(I60&lt;&gt;"B1",J60="Y"),"&gt;","")</f>
        <v>&gt;</v>
      </c>
      <c r="L60" s="90" t="str">
        <f>IF(_epmOfflineCondition_,"701500",_xll.EVPRO($B$1,H60,"JDEID"))</f>
        <v>701500</v>
      </c>
      <c r="M60" s="90" t="str">
        <f>IF(_epmOfflineCondition_,"",IF(AND(I60="N",J60="N"),_xll.EVPRO($B$1,H60,"PSFTID"),""))</f>
        <v/>
      </c>
      <c r="N60" s="90" t="str">
        <f>IF(_epmOfflineCondition_,"Operating Supplies",IF(_xll.EVDES(H60,$B$1)="#NODATA","",_xll.EVDES(H60,$B$1)))</f>
        <v>Operating Supplies</v>
      </c>
      <c r="O60" s="217"/>
      <c r="P60" s="217"/>
      <c r="Q60" s="217"/>
      <c r="R60" s="217"/>
      <c r="S60" s="217"/>
      <c r="T60" s="217"/>
      <c r="U60" s="217"/>
      <c r="V60" s="217"/>
      <c r="W60" s="217"/>
      <c r="X60" s="217"/>
      <c r="Y60" s="217"/>
      <c r="Z60" s="217"/>
      <c r="AA60" s="251">
        <f>IF($I60="B1","",SUM(O60:Z60))</f>
        <v>0</v>
      </c>
      <c r="AB60" s="219" t="str">
        <f>IF(AA60=0,"",IFERROR(AA60/AA$19,""))</f>
        <v/>
      </c>
      <c r="AC60" s="140"/>
      <c r="AD60" s="217"/>
      <c r="AE60" s="219" t="str">
        <f>IF(AD60=0,"",IFERROR(AD60/AD$19,""))</f>
        <v/>
      </c>
      <c r="AF60" s="220">
        <f>IF(AND($AA60="",AD60=""),"",$AA60-AD60)</f>
        <v>0</v>
      </c>
      <c r="AG60" s="217">
        <v>7115.09</v>
      </c>
      <c r="AH60" s="219">
        <f>IF(AG60=0,"",IFERROR(AG60/AG$19,""))</f>
        <v>0.11642598510028054</v>
      </c>
      <c r="AI60" s="220">
        <f>IF(AND($AA60="",AG60=""),"",$AA60-AG60)</f>
        <v>-7115.09</v>
      </c>
      <c r="AJ60" s="440">
        <f>IFERROR(AA60/AA$20,0)</f>
        <v>0</v>
      </c>
      <c r="AK60" s="441">
        <f>IFERROR(AD60/AD$20,0)</f>
        <v>0</v>
      </c>
      <c r="AL60" s="442">
        <f>IFERROR(AG60/AG$20,0)</f>
        <v>0.35486733167082296</v>
      </c>
      <c r="AM60" s="443">
        <f>+IFERROR(ROUND(($AB60-AE60)*100,2)&amp;" pts.",0)</f>
        <v>0</v>
      </c>
      <c r="AN60" s="444">
        <f>+IFERROR(ROUND(($AB60-AH60)*100,2)&amp;" pts.",0)</f>
        <v>0</v>
      </c>
      <c r="AO60" s="11"/>
    </row>
    <row r="61" spans="1:41" x14ac:dyDescent="0.35">
      <c r="A61" s="65" t="s">
        <v>16</v>
      </c>
      <c r="B61" s="66"/>
      <c r="C61" s="11"/>
      <c r="D61" s="11"/>
      <c r="E61" s="11"/>
      <c r="F61" s="11"/>
      <c r="G61" s="11"/>
      <c r="H61" s="88" t="s">
        <v>875</v>
      </c>
      <c r="I61" s="122" t="str">
        <f>IF(_epmOfflineCondition_,"N",_xll.EVPRO($B$1,$H61,"STYLE"))</f>
        <v>N</v>
      </c>
      <c r="J61" s="122" t="str">
        <f>IF(_epmOfflineCondition_,"N",_xll.EVPRO($B$1,$H61,"CALC"))</f>
        <v>N</v>
      </c>
      <c r="K61" s="179" t="str">
        <f>IF(AND(I61&lt;&gt;"B1",J61="Y"),"&gt;","")</f>
        <v/>
      </c>
      <c r="L61" s="90" t="str">
        <f>IF(_epmOfflineCondition_,"703200",_xll.EVPRO($B$1,H61,"JDEID"))</f>
        <v>703200</v>
      </c>
      <c r="M61" s="90" t="str">
        <f>IF(_epmOfflineCondition_,"590035",IF(AND(I61="N",J61="N"),_xll.EVPRO($B$1,H61,"PSFTID"),""))</f>
        <v>590035</v>
      </c>
      <c r="N61" s="90" t="str">
        <f>IF(_epmOfflineCondition_,"Uniform Costs",IF(_xll.EVDES(H61,$B$1)="#NODATA","",_xll.EVDES(H61,$B$1)))</f>
        <v>Uniform Costs</v>
      </c>
      <c r="O61" s="217"/>
      <c r="P61" s="217"/>
      <c r="Q61" s="217"/>
      <c r="R61" s="217"/>
      <c r="S61" s="217"/>
      <c r="T61" s="217"/>
      <c r="U61" s="217"/>
      <c r="V61" s="217"/>
      <c r="W61" s="217"/>
      <c r="X61" s="217"/>
      <c r="Y61" s="217"/>
      <c r="Z61" s="217"/>
      <c r="AA61" s="251">
        <f>IF($I61="B1","",SUM(O61:Z61))</f>
        <v>0</v>
      </c>
      <c r="AB61" s="219" t="str">
        <f>IF(AA61=0,"",IFERROR(AA61/AA$19,""))</f>
        <v/>
      </c>
      <c r="AC61" s="140"/>
      <c r="AD61" s="217"/>
      <c r="AE61" s="219" t="str">
        <f>IF(AD61=0,"",IFERROR(AD61/AD$19,""))</f>
        <v/>
      </c>
      <c r="AF61" s="220">
        <f>IF(AND($AA61="",AD61=""),"",$AA61-AD61)</f>
        <v>0</v>
      </c>
      <c r="AG61" s="217">
        <v>420.13</v>
      </c>
      <c r="AH61" s="219">
        <f>IF(AG61=0,"",IFERROR(AG61/AG$19,""))</f>
        <v>6.8746915527675492E-3</v>
      </c>
      <c r="AI61" s="220">
        <f>IF(AND($AA61="",AG61=""),"",$AA61-AG61)</f>
        <v>-420.13</v>
      </c>
      <c r="AJ61" s="440">
        <f>IFERROR(AA61/AA$20,0)</f>
        <v>0</v>
      </c>
      <c r="AK61" s="441">
        <f>IFERROR(AD61/AD$20,0)</f>
        <v>0</v>
      </c>
      <c r="AL61" s="442">
        <f>IFERROR(AG61/AG$20,0)</f>
        <v>2.0954114713216957E-2</v>
      </c>
      <c r="AM61" s="443">
        <f>+IFERROR(ROUND(($AB61-AE61)*100,2)&amp;" pts.",0)</f>
        <v>0</v>
      </c>
      <c r="AN61" s="444">
        <f>+IFERROR(ROUND(($AB61-AH61)*100,2)&amp;" pts.",0)</f>
        <v>0</v>
      </c>
      <c r="AO61" s="11"/>
    </row>
    <row r="62" spans="1:41" x14ac:dyDescent="0.35">
      <c r="A62" s="65" t="s">
        <v>17</v>
      </c>
      <c r="B62" s="66"/>
      <c r="C62" s="11"/>
      <c r="D62" s="11"/>
      <c r="E62" s="11"/>
      <c r="F62" s="11"/>
      <c r="G62" s="11"/>
      <c r="H62" s="88" t="s">
        <v>841</v>
      </c>
      <c r="I62" s="122" t="str">
        <f>IF(_epmOfflineCondition_,"N",_xll.EVPRO($B$1,$H62,"STYLE"))</f>
        <v>N</v>
      </c>
      <c r="J62" s="122" t="str">
        <f>IF(_epmOfflineCondition_,"N",_xll.EVPRO($B$1,$H62,"CALC"))</f>
        <v>N</v>
      </c>
      <c r="K62" s="179" t="str">
        <f>IF(AND(I62&lt;&gt;"B1",J62="Y"),"&gt;","")</f>
        <v/>
      </c>
      <c r="L62" s="90" t="str">
        <f>IF(_epmOfflineCondition_,"705500",_xll.EVPRO($B$1,H62,"JDEID"))</f>
        <v>705500</v>
      </c>
      <c r="M62" s="90" t="str">
        <f>IF(_epmOfflineCondition_,"690105",IF(AND(I62="N",J62="N"),_xll.EVPRO($B$1,H62,"PSFTID"),""))</f>
        <v>690105</v>
      </c>
      <c r="N62" s="90" t="str">
        <f>IF(_epmOfflineCondition_,"Licenses &amp; Permits",IF(_xll.EVDES(H62,$B$1)="#NODATA","",_xll.EVDES(H62,$B$1)))</f>
        <v>Licenses &amp; Permits</v>
      </c>
      <c r="O62" s="217"/>
      <c r="P62" s="217"/>
      <c r="Q62" s="217"/>
      <c r="R62" s="217"/>
      <c r="S62" s="217"/>
      <c r="T62" s="217"/>
      <c r="U62" s="217"/>
      <c r="V62" s="217"/>
      <c r="W62" s="217"/>
      <c r="X62" s="217"/>
      <c r="Y62" s="217"/>
      <c r="Z62" s="217"/>
      <c r="AA62" s="251">
        <f>IF($I62="B1","",SUM(O62:Z62))</f>
        <v>0</v>
      </c>
      <c r="AB62" s="219" t="str">
        <f>IF(AA62=0,"",IFERROR(AA62/AA$19,""))</f>
        <v/>
      </c>
      <c r="AC62" s="140"/>
      <c r="AD62" s="217"/>
      <c r="AE62" s="219" t="str">
        <f>IF(AD62=0,"",IFERROR(AD62/AD$19,""))</f>
        <v/>
      </c>
      <c r="AF62" s="220">
        <f>IF(AND($AA62="",AD62=""),"",$AA62-AD62)</f>
        <v>0</v>
      </c>
      <c r="AG62" s="217">
        <v>3733.16</v>
      </c>
      <c r="AH62" s="219">
        <f>IF(AG62=0,"",IFERROR(AG62/AG$19,""))</f>
        <v>6.1086624418941048E-2</v>
      </c>
      <c r="AI62" s="220">
        <f>IF(AND($AA62="",AG62=""),"",$AA62-AG62)</f>
        <v>-3733.16</v>
      </c>
      <c r="AJ62" s="440">
        <f>IFERROR(AA62/AA$20,0)</f>
        <v>0</v>
      </c>
      <c r="AK62" s="441">
        <f>IFERROR(AD62/AD$20,0)</f>
        <v>0</v>
      </c>
      <c r="AL62" s="442">
        <f>IFERROR(AG62/AG$20,0)</f>
        <v>0.18619251870324188</v>
      </c>
      <c r="AM62" s="443">
        <f>+IFERROR(ROUND(($AB62-AE62)*100,2)&amp;" pts.",0)</f>
        <v>0</v>
      </c>
      <c r="AN62" s="444">
        <f>+IFERROR(ROUND(($AB62-AH62)*100,2)&amp;" pts.",0)</f>
        <v>0</v>
      </c>
      <c r="AO62" s="11"/>
    </row>
    <row r="63" spans="1:41" x14ac:dyDescent="0.35">
      <c r="A63" s="11"/>
      <c r="B63" s="11"/>
      <c r="C63" s="11"/>
      <c r="D63" s="11"/>
      <c r="E63" s="11"/>
      <c r="F63" s="11"/>
      <c r="G63" s="11"/>
      <c r="H63" s="88" t="s">
        <v>896</v>
      </c>
      <c r="I63" s="122" t="str">
        <f>IF(_epmOfflineCondition_,"T4",_xll.EVPRO($B$1,$H63,"STYLE"))</f>
        <v>T4</v>
      </c>
      <c r="J63" s="122" t="str">
        <f>IF(_epmOfflineCondition_,"Y",_xll.EVPRO($B$1,$H63,"CALC"))</f>
        <v>Y</v>
      </c>
      <c r="K63" s="179" t="str">
        <f>IF(AND(I63&lt;&gt;"B1",J63="Y"),"&gt;","")</f>
        <v>&gt;</v>
      </c>
      <c r="L63" s="90" t="str">
        <f>IF(_epmOfflineCondition_,"706300",_xll.EVPRO($B$1,H63,"JDEID"))</f>
        <v>706300</v>
      </c>
      <c r="M63" s="90" t="str">
        <f>IF(_epmOfflineCondition_,"",IF(AND(I63="N",J63="N"),_xll.EVPRO($B$1,H63,"PSFTID"),""))</f>
        <v/>
      </c>
      <c r="N63" s="90" t="str">
        <f>IF(_epmOfflineCondition_,"Management Fees",IF(_xll.EVDES(H63,$B$1)="#NODATA","",_xll.EVDES(H63,$B$1)))</f>
        <v>Management Fees</v>
      </c>
      <c r="O63" s="217"/>
      <c r="P63" s="217"/>
      <c r="Q63" s="217"/>
      <c r="R63" s="217"/>
      <c r="S63" s="217"/>
      <c r="T63" s="217"/>
      <c r="U63" s="217"/>
      <c r="V63" s="217"/>
      <c r="W63" s="217"/>
      <c r="X63" s="217"/>
      <c r="Y63" s="217"/>
      <c r="Z63" s="217"/>
      <c r="AA63" s="251">
        <f>IF($I63="B1","",SUM(O63:Z63))</f>
        <v>0</v>
      </c>
      <c r="AB63" s="219" t="str">
        <f>IF(AA63=0,"",IFERROR(AA63/AA$19,""))</f>
        <v/>
      </c>
      <c r="AC63" s="140"/>
      <c r="AD63" s="217"/>
      <c r="AE63" s="219" t="str">
        <f>IF(AD63=0,"",IFERROR(AD63/AD$19,""))</f>
        <v/>
      </c>
      <c r="AF63" s="220">
        <f>IF(AND($AA63="",AD63=""),"",$AA63-AD63)</f>
        <v>0</v>
      </c>
      <c r="AG63" s="217">
        <v>1266.6600000000001</v>
      </c>
      <c r="AH63" s="219">
        <f>IF(AG63=0,"",IFERROR(AG63/AG$19,""))</f>
        <v>2.0726672225807593E-2</v>
      </c>
      <c r="AI63" s="220">
        <f>IF(AND($AA63="",AG63=""),"",$AA63-AG63)</f>
        <v>-1266.6600000000001</v>
      </c>
      <c r="AJ63" s="440">
        <f>IFERROR(AA63/AA$20,0)</f>
        <v>0</v>
      </c>
      <c r="AK63" s="441">
        <f>IFERROR(AD63/AD$20,0)</f>
        <v>0</v>
      </c>
      <c r="AL63" s="442">
        <f>IFERROR(AG63/AG$20,0)</f>
        <v>6.3175062344139651E-2</v>
      </c>
      <c r="AM63" s="443">
        <f>+IFERROR(ROUND(($AB63-AE63)*100,2)&amp;" pts.",0)</f>
        <v>0</v>
      </c>
      <c r="AN63" s="444">
        <f>+IFERROR(ROUND(($AB63-AH63)*100,2)&amp;" pts.",0)</f>
        <v>0</v>
      </c>
      <c r="AO63" s="11"/>
    </row>
    <row r="64" spans="1:41" x14ac:dyDescent="0.35">
      <c r="A64" s="97" t="s">
        <v>92</v>
      </c>
      <c r="B64" s="98" t="s">
        <v>93</v>
      </c>
      <c r="C64" s="98" t="s">
        <v>94</v>
      </c>
      <c r="D64" s="98" t="s">
        <v>95</v>
      </c>
      <c r="E64" s="98" t="s">
        <v>96</v>
      </c>
      <c r="F64" s="99" t="s">
        <v>97</v>
      </c>
      <c r="G64" s="11"/>
      <c r="H64" s="88" t="s">
        <v>79</v>
      </c>
      <c r="I64" s="136" t="str">
        <f>IF(_epmOfflineCondition_,"T3",_xll.EVPRO($B$1,$H64,"STYLE"))</f>
        <v>T3</v>
      </c>
      <c r="J64" s="136" t="str">
        <f>IF(_epmOfflineCondition_,"Y",_xll.EVPRO($B$1,$H64,"CALC"))</f>
        <v>Y</v>
      </c>
      <c r="K64" s="104"/>
      <c r="L64" s="104"/>
      <c r="M64" s="104"/>
      <c r="N64" s="106" t="str">
        <f>IF(_epmOfflineCondition_,"Total Operations Expense",IF(_xll.EVDES(H64,$B$1)="#NODATA","",_xll.EVDES(H64,$B$1)))</f>
        <v>Total Operations Expense</v>
      </c>
      <c r="O64" s="154"/>
      <c r="P64" s="154"/>
      <c r="Q64" s="154"/>
      <c r="R64" s="154"/>
      <c r="S64" s="154"/>
      <c r="T64" s="154"/>
      <c r="U64" s="154"/>
      <c r="V64" s="154"/>
      <c r="W64" s="154"/>
      <c r="X64" s="154"/>
      <c r="Y64" s="154"/>
      <c r="Z64" s="154"/>
      <c r="AA64" s="154">
        <f>IF($I64="B1","",SUM(O64:Z64))</f>
        <v>0</v>
      </c>
      <c r="AB64" s="155" t="str">
        <f>IF(AA64=0,"",IFERROR(AA64/AA$19,""))</f>
        <v/>
      </c>
      <c r="AC64" s="140"/>
      <c r="AD64" s="154"/>
      <c r="AE64" s="155" t="str">
        <f>IF(AD64=0,"",IFERROR(AD64/AD$19,""))</f>
        <v/>
      </c>
      <c r="AF64" s="156">
        <f>IF(AND($AA64="",AD64=""),"",$AA64-AD64)</f>
        <v>0</v>
      </c>
      <c r="AG64" s="154">
        <v>12535.04</v>
      </c>
      <c r="AH64" s="155">
        <f>IF(AG64=0,"",IFERROR(AG64/AG$19,""))</f>
        <v>0.20511397329779674</v>
      </c>
      <c r="AI64" s="156">
        <f>IF(AND($AA64="",AG64=""),"",$AA64-AG64)</f>
        <v>-12535.04</v>
      </c>
      <c r="AJ64" s="477">
        <f>IFERROR(AA64/AA$20,0)</f>
        <v>0</v>
      </c>
      <c r="AK64" s="478">
        <f>IFERROR(AD64/AD$20,0)</f>
        <v>0</v>
      </c>
      <c r="AL64" s="479">
        <f>IFERROR(AG64/AG$20,0)</f>
        <v>0.62518902743142146</v>
      </c>
      <c r="AM64" s="480">
        <f>+IFERROR(ROUND(($AB64-AE64)*100,2)&amp;" pts.",0)</f>
        <v>0</v>
      </c>
      <c r="AN64" s="555">
        <f>+IFERROR(ROUND(($AB64-AH64)*100,2)&amp;" pts.",0)</f>
        <v>0</v>
      </c>
      <c r="AO64" s="11"/>
    </row>
    <row r="65" spans="1:41" x14ac:dyDescent="0.35">
      <c r="A65" s="11"/>
      <c r="B65" s="11"/>
      <c r="C65" s="11"/>
      <c r="D65" s="11"/>
      <c r="E65" s="11"/>
      <c r="F65" s="11"/>
      <c r="G65" s="11"/>
      <c r="H65" s="11"/>
      <c r="I65" s="59"/>
      <c r="J65" s="59"/>
      <c r="K65" s="11"/>
      <c r="L65" s="11"/>
      <c r="M65" s="11"/>
      <c r="N65" s="11"/>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1"/>
    </row>
    <row r="66" spans="1:41" x14ac:dyDescent="0.35">
      <c r="A66" s="11" t="s">
        <v>105</v>
      </c>
      <c r="B66" s="11"/>
      <c r="C66" s="104" t="s">
        <v>101</v>
      </c>
      <c r="D66" s="11" t="s">
        <v>106</v>
      </c>
      <c r="E66" s="11"/>
      <c r="F66" s="11" t="s">
        <v>98</v>
      </c>
      <c r="G66" s="11"/>
      <c r="H66" s="88" t="s">
        <v>80</v>
      </c>
      <c r="I66" s="136" t="str">
        <f>IF(_epmOfflineCondition_,"T3",_xll.EVPRO($B$1,$H66,"STYLE"))</f>
        <v>T3</v>
      </c>
      <c r="J66" s="136" t="str">
        <f>IF(_epmOfflineCondition_,"Y",_xll.EVPRO($B$1,$H66,"CALC"))</f>
        <v>Y</v>
      </c>
      <c r="K66" s="106"/>
      <c r="L66" s="106"/>
      <c r="M66" s="106"/>
      <c r="N66" s="106" t="str">
        <f>IF(_epmOfflineCondition_,"Total Expenses",IF(_xll.EVDES(H66,$B$1)="#NODATA","",_xll.EVDES(H66,$B$1)))</f>
        <v>Total Expenses</v>
      </c>
      <c r="O66" s="238"/>
      <c r="P66" s="238"/>
      <c r="Q66" s="238"/>
      <c r="R66" s="238"/>
      <c r="S66" s="238"/>
      <c r="T66" s="238"/>
      <c r="U66" s="238"/>
      <c r="V66" s="238"/>
      <c r="W66" s="238"/>
      <c r="X66" s="238"/>
      <c r="Y66" s="238"/>
      <c r="Z66" s="238"/>
      <c r="AA66" s="238">
        <f>IF($I66="B1","",SUM(O66:Z66))</f>
        <v>0</v>
      </c>
      <c r="AB66" s="239" t="str">
        <f>IF(AA66=0,"",IFERROR(AA66/AA$19,""))</f>
        <v/>
      </c>
      <c r="AC66" s="140"/>
      <c r="AD66" s="238"/>
      <c r="AE66" s="239" t="str">
        <f>IF(AD66=0,"",IFERROR(AD66/AD$19,""))</f>
        <v/>
      </c>
      <c r="AF66" s="254">
        <f>IF(AND($AA66="",AD66=""),"",$AA66-AD66)</f>
        <v>0</v>
      </c>
      <c r="AG66" s="255">
        <v>59243.88</v>
      </c>
      <c r="AH66" s="256">
        <f>IF(AG66=0,"",IFERROR(AG66/AG$19,""))</f>
        <v>0.96942232496887715</v>
      </c>
      <c r="AI66" s="254">
        <f>IF(AND($AA66="",AG66=""),"",$AA66-AG66)</f>
        <v>-59243.88</v>
      </c>
      <c r="AJ66" s="466">
        <f>IFERROR(AA66/AA$20,0)</f>
        <v>0</v>
      </c>
      <c r="AK66" s="467">
        <f>IFERROR(AD66/AD$20,0)</f>
        <v>0</v>
      </c>
      <c r="AL66" s="468">
        <f>IFERROR(AG66/AG$20,0)</f>
        <v>2.9548069825436407</v>
      </c>
      <c r="AM66" s="469">
        <f>+IFERROR(ROUND(($AB66-AE66)*100,2)&amp;" pts.",0)</f>
        <v>0</v>
      </c>
      <c r="AN66" s="556">
        <f>+IFERROR(ROUND(($AB66-AH66)*100,2)&amp;" pts.",0)</f>
        <v>0</v>
      </c>
      <c r="AO66" s="11"/>
    </row>
    <row r="67" spans="1:41" ht="15" thickBot="1" x14ac:dyDescent="0.4">
      <c r="A67" s="11" t="s">
        <v>108</v>
      </c>
      <c r="B67" s="11"/>
      <c r="C67" s="106" t="s">
        <v>101</v>
      </c>
      <c r="D67" s="11" t="s">
        <v>106</v>
      </c>
      <c r="E67" s="11"/>
      <c r="F67" s="11" t="s">
        <v>98</v>
      </c>
      <c r="G67" s="11"/>
      <c r="H67" s="88" t="s">
        <v>81</v>
      </c>
      <c r="I67" s="136" t="str">
        <f>IF(_epmOfflineCondition_,"T3",_xll.EVPRO($B$1,$H67,"STYLE"))</f>
        <v>T3</v>
      </c>
      <c r="J67" s="136" t="str">
        <f>IF(_epmOfflineCondition_,"Y",_xll.EVPRO($B$1,$H67,"CALC"))</f>
        <v>Y</v>
      </c>
      <c r="K67" s="106"/>
      <c r="L67" s="106"/>
      <c r="M67" s="106"/>
      <c r="N67" s="106" t="str">
        <f>IF(_epmOfflineCondition_,"Department Profit (Loss)",IF(_xll.EVDES(H67,$B$1)="#NODATA","",_xll.EVDES(H67,$B$1)))</f>
        <v>Department Profit (Loss)</v>
      </c>
      <c r="O67" s="169"/>
      <c r="P67" s="169"/>
      <c r="Q67" s="169"/>
      <c r="R67" s="169"/>
      <c r="S67" s="169"/>
      <c r="T67" s="169"/>
      <c r="U67" s="169"/>
      <c r="V67" s="169"/>
      <c r="W67" s="169"/>
      <c r="X67" s="169"/>
      <c r="Y67" s="169"/>
      <c r="Z67" s="169"/>
      <c r="AA67" s="169">
        <f>IF($I67="B1","",SUM(O67:Z67))</f>
        <v>0</v>
      </c>
      <c r="AB67" s="170" t="str">
        <f>IF(AA67=0,"",IFERROR(AA67/AA$19,""))</f>
        <v/>
      </c>
      <c r="AC67" s="140"/>
      <c r="AD67" s="169"/>
      <c r="AE67" s="170" t="str">
        <f>IF(AD67=0,"",IFERROR(AD67/AD$19,""))</f>
        <v/>
      </c>
      <c r="AF67" s="171">
        <f>IF(AND($AA67="",AD67=""),"",$AA67-AD67)</f>
        <v>0</v>
      </c>
      <c r="AG67" s="169">
        <v>1868.68</v>
      </c>
      <c r="AH67" s="170">
        <f>IF(AG67=0,"",IFERROR(AG67/AG$19,""))</f>
        <v>3.0577675031122901E-2</v>
      </c>
      <c r="AI67" s="171">
        <f>IF(AND($AA67="",AG67=""),"",$AA67-AG67)</f>
        <v>-1868.68</v>
      </c>
      <c r="AJ67" s="483">
        <f>IFERROR(AA67/AA$20,0)</f>
        <v>0</v>
      </c>
      <c r="AK67" s="484">
        <f>IFERROR(AD67/AD$20,0)</f>
        <v>0</v>
      </c>
      <c r="AL67" s="485">
        <f>IFERROR(AG67/AG$20,0)</f>
        <v>9.3200997506234423E-2</v>
      </c>
      <c r="AM67" s="486">
        <f>+IFERROR(ROUND(($AB67-AE67)*100,2)&amp;" pts.",0)</f>
        <v>0</v>
      </c>
      <c r="AN67" s="557">
        <f>+IFERROR(ROUND(($AB67-AH67)*100,2)&amp;" pts.",0)</f>
        <v>0</v>
      </c>
      <c r="AO67" s="11"/>
    </row>
    <row r="68" spans="1:41" ht="15" thickTop="1" x14ac:dyDescent="0.35">
      <c r="A68" s="11" t="s">
        <v>108</v>
      </c>
      <c r="B68" s="11"/>
      <c r="C68" s="196" t="s">
        <v>101</v>
      </c>
      <c r="D68" s="11" t="s">
        <v>107</v>
      </c>
      <c r="E68" s="11"/>
      <c r="F68" s="11" t="s">
        <v>99</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11"/>
      <c r="M69" s="11"/>
      <c r="N69" s="104" t="str">
        <f>N66&amp;" - Check"</f>
        <v>Total Expenses - Check</v>
      </c>
      <c r="O69" s="209">
        <f t="shared" ref="O69:AA69" si="13">SUMIF($H$34:$H$67,"600000",O$34:O$67)+SUMIF($H$34:$H$67,"700000",O$34:O$67)-SUMIF($H$34:$H$67,"TOTDEPTEXP",O$34:O$67)</f>
        <v>0</v>
      </c>
      <c r="P69" s="209">
        <f t="shared" si="13"/>
        <v>0</v>
      </c>
      <c r="Q69" s="209">
        <f t="shared" si="13"/>
        <v>0</v>
      </c>
      <c r="R69" s="209">
        <f t="shared" si="13"/>
        <v>0</v>
      </c>
      <c r="S69" s="209">
        <f t="shared" si="13"/>
        <v>0</v>
      </c>
      <c r="T69" s="209">
        <f t="shared" si="13"/>
        <v>0</v>
      </c>
      <c r="U69" s="209">
        <f t="shared" si="13"/>
        <v>0</v>
      </c>
      <c r="V69" s="209">
        <f t="shared" si="13"/>
        <v>0</v>
      </c>
      <c r="W69" s="209">
        <f t="shared" si="13"/>
        <v>0</v>
      </c>
      <c r="X69" s="209">
        <f t="shared" si="13"/>
        <v>0</v>
      </c>
      <c r="Y69" s="209">
        <f t="shared" si="13"/>
        <v>0</v>
      </c>
      <c r="Z69" s="209">
        <f t="shared" si="13"/>
        <v>0</v>
      </c>
      <c r="AA69" s="209">
        <f t="shared" si="13"/>
        <v>0</v>
      </c>
      <c r="AB69" s="100"/>
      <c r="AC69" s="11"/>
      <c r="AD69" s="209">
        <f>SUMIF($H$34:$H$67,"600000",AD$34:AD$67)+SUMIF($H$34:$H$67,"700000",AD$34:AD$67)-SUMIF($H$34:$H$67,"TOTDEPTEXP",AD$34:AD$67)</f>
        <v>0</v>
      </c>
      <c r="AE69" s="100"/>
      <c r="AF69" s="91"/>
      <c r="AG69" s="209">
        <f>SUMIF($H$34:$H$67,"600000",AG$34:AG$67)+SUMIF($H$34:$H$67,"700000",AG$34:AG$67)-SUMIF($H$34:$H$67,"TOTDEPTEXP",AG$34:AG$67)</f>
        <v>0</v>
      </c>
      <c r="AH69" s="100"/>
      <c r="AI69" s="91"/>
      <c r="AJ69" s="11"/>
      <c r="AK69" s="11"/>
      <c r="AL69" s="11"/>
      <c r="AM69" s="11"/>
      <c r="AN69" s="11"/>
      <c r="AO69" s="11"/>
    </row>
    <row r="70" spans="1:41" x14ac:dyDescent="0.35">
      <c r="A70" s="11"/>
      <c r="B70" s="11"/>
      <c r="C70" s="208"/>
      <c r="D70" s="11"/>
      <c r="E70" s="11"/>
      <c r="F70" s="11"/>
      <c r="G70" s="11"/>
      <c r="H70" s="11"/>
      <c r="I70" s="59"/>
      <c r="J70" s="59"/>
      <c r="K70" s="11"/>
      <c r="L70" s="11"/>
      <c r="M70" s="11"/>
      <c r="N70" s="104" t="str">
        <f>N67&amp;" - Check"</f>
        <v>Department Profit (Loss) - Check</v>
      </c>
      <c r="O70" s="209">
        <f t="shared" ref="O70:AA70" si="14">SUMIF($H$34:$H$67,"KPI_GP",O$34:O$67)-SUMIF($H$34:$H$67,"TOTDEPTEXP",O$34:O$67)-SUMIF($H$34:$H$67,"TOTDEPTPL",O$34:O$67)</f>
        <v>0</v>
      </c>
      <c r="P70" s="209">
        <f t="shared" si="14"/>
        <v>0</v>
      </c>
      <c r="Q70" s="209">
        <f t="shared" si="14"/>
        <v>0</v>
      </c>
      <c r="R70" s="209">
        <f t="shared" si="14"/>
        <v>0</v>
      </c>
      <c r="S70" s="209">
        <f t="shared" si="14"/>
        <v>0</v>
      </c>
      <c r="T70" s="209">
        <f t="shared" si="14"/>
        <v>0</v>
      </c>
      <c r="U70" s="209">
        <f t="shared" si="14"/>
        <v>0</v>
      </c>
      <c r="V70" s="209">
        <f t="shared" si="14"/>
        <v>0</v>
      </c>
      <c r="W70" s="209">
        <f t="shared" si="14"/>
        <v>0</v>
      </c>
      <c r="X70" s="209">
        <f t="shared" si="14"/>
        <v>0</v>
      </c>
      <c r="Y70" s="209">
        <f t="shared" si="14"/>
        <v>0</v>
      </c>
      <c r="Z70" s="209">
        <f t="shared" si="14"/>
        <v>0</v>
      </c>
      <c r="AA70" s="209">
        <f t="shared" si="14"/>
        <v>0</v>
      </c>
      <c r="AB70" s="100"/>
      <c r="AC70" s="11"/>
      <c r="AD70" s="209">
        <f>SUMIF($H$34:$H$67,"KPI_GP",AD$34:AD$67)-SUMIF($H$34:$H$67,"TOTDEPTEXP",AD$34:AD$67)-SUMIF($H$34:$H$67,"TOTDEPTPL",AD$34:AD$67)</f>
        <v>0</v>
      </c>
      <c r="AE70" s="100"/>
      <c r="AF70" s="91"/>
      <c r="AG70" s="209">
        <f>SUMIF($H$34:$H$67,"KPI_GP",AG$34:AG$67)-SUMIF($H$34:$H$67,"TOTDEPTEXP",AG$34:AG$67)-SUMIF($H$34:$H$67,"TOTDEPTPL",AG$34:AG$67)</f>
        <v>0</v>
      </c>
      <c r="AH70" s="100"/>
      <c r="AI70" s="91"/>
      <c r="AJ70" s="11"/>
      <c r="AK70" s="11"/>
      <c r="AL70" s="11"/>
      <c r="AM70" s="11"/>
      <c r="AN70" s="11"/>
      <c r="AO70" s="11"/>
    </row>
    <row r="71" spans="1:41" x14ac:dyDescent="0.35">
      <c r="A71" s="61" t="str">
        <f>IF(_epmOfflineCondition_,"Evdre:Ok",_xll.EVDRE($B$1,A74:B81,A84:B90))</f>
        <v>Evdre:Ok</v>
      </c>
      <c r="B71" s="11"/>
      <c r="C71" s="11"/>
      <c r="D71" s="11"/>
      <c r="E71" s="11"/>
      <c r="F71" s="11"/>
      <c r="G71" s="11"/>
      <c r="H71" s="11"/>
      <c r="I71" s="59"/>
      <c r="J71" s="59"/>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11"/>
      <c r="I72" s="59"/>
      <c r="J72" s="59"/>
      <c r="K72" s="11"/>
      <c r="L72" s="11"/>
      <c r="M72" s="11"/>
      <c r="N72" s="11"/>
      <c r="O72" s="137"/>
      <c r="P72" s="137"/>
      <c r="Q72" s="137"/>
      <c r="R72" s="137"/>
      <c r="S72" s="137"/>
      <c r="T72" s="137"/>
      <c r="U72" s="137"/>
      <c r="V72" s="137"/>
      <c r="W72" s="137"/>
      <c r="X72" s="137"/>
      <c r="Y72" s="137"/>
      <c r="Z72" s="137"/>
      <c r="AA72" s="137"/>
      <c r="AB72" s="11"/>
      <c r="AC72" s="11"/>
      <c r="AD72" s="137"/>
      <c r="AE72" s="11"/>
      <c r="AF72" s="11"/>
      <c r="AG72" s="137"/>
      <c r="AH72" s="11"/>
      <c r="AI72" s="11"/>
      <c r="AJ72" s="11"/>
      <c r="AK72" s="11"/>
      <c r="AL72" s="11"/>
      <c r="AM72" s="11"/>
      <c r="AN72" s="11"/>
      <c r="AO72" s="11"/>
    </row>
    <row r="73" spans="1:41" x14ac:dyDescent="0.35">
      <c r="A73" s="62" t="s">
        <v>0</v>
      </c>
      <c r="B73" s="63" t="s">
        <v>1</v>
      </c>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2</v>
      </c>
      <c r="B74" s="66" t="str">
        <f>IF(_epmOfflineCondition_,"'Parking'!$B$2:$B$10",_xll.EVRNG($B$2:$B$10))</f>
        <v>'Parking'!$B$2:$B$10</v>
      </c>
      <c r="C74" s="11"/>
      <c r="D74" s="11"/>
      <c r="E74" s="11"/>
      <c r="F74" s="11"/>
      <c r="G74" s="11"/>
      <c r="H74" s="11"/>
      <c r="I74" s="59"/>
      <c r="J74" s="59"/>
      <c r="K74" s="11"/>
      <c r="L74" s="11"/>
      <c r="M74" s="11"/>
      <c r="N74" s="11"/>
      <c r="O74" s="137"/>
      <c r="P74" s="137"/>
      <c r="Q74" s="137"/>
      <c r="R74" s="137"/>
      <c r="S74" s="137"/>
      <c r="T74" s="137"/>
      <c r="U74" s="137"/>
      <c r="V74" s="137"/>
      <c r="W74" s="137"/>
      <c r="X74" s="137"/>
      <c r="Y74" s="137"/>
      <c r="Z74" s="137"/>
      <c r="AA74" s="137"/>
      <c r="AB74" s="11"/>
      <c r="AC74" s="11"/>
      <c r="AD74" s="137"/>
      <c r="AE74" s="11"/>
      <c r="AF74" s="11"/>
      <c r="AG74" s="137"/>
      <c r="AH74" s="11"/>
      <c r="AI74" s="11"/>
      <c r="AJ74" s="11"/>
      <c r="AK74" s="11"/>
      <c r="AL74" s="11"/>
      <c r="AM74" s="11"/>
      <c r="AN74" s="11"/>
      <c r="AO74" s="11"/>
    </row>
    <row r="75" spans="1:41" x14ac:dyDescent="0.35">
      <c r="A75" s="65" t="s">
        <v>3</v>
      </c>
      <c r="B75" s="66" t="str">
        <f>IF(_epmOfflineCondition_,"'Parking'!$O$16:$AN$18",_xll.EVRNG($O$16:$AN$18))</f>
        <v>'Parking'!$O$16:$AN$18</v>
      </c>
      <c r="C75" s="11"/>
      <c r="D75" s="11"/>
      <c r="E75" s="11"/>
      <c r="F75" s="11"/>
      <c r="G75" s="11"/>
      <c r="H75" s="11"/>
      <c r="I75" s="59"/>
      <c r="J75" s="5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4</v>
      </c>
      <c r="B76" s="66" t="str">
        <f>IF(_epmOfflineCondition_,"'Parking'!$H$48:$H$49,'Parking'!$H$51:$H$57,'Parking'!$H$60:$H$63",_xll.EVRNG(H48:H49,H51:H57,H60:H63))</f>
        <v>'Parking'!$H$48:$H$49,'Parking'!$H$51:$H$57,'Parking'!$H$60:$H$63</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5</v>
      </c>
      <c r="B77" s="66"/>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6</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7</v>
      </c>
      <c r="B79" s="66" t="str">
        <f>IF(_epmOfflineCondition_,"'Parking'!$A$93:$F$99",_xll.EVRNG(A93:F99))</f>
        <v>'Parking'!$A$93:$F$99</v>
      </c>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47</v>
      </c>
      <c r="B80" s="66" t="str">
        <f>IF(_epmOfflineCondition_,"'Parking'!$A$116:$B$137",_xll.EVRNG($A$116:$B$137))</f>
        <v>'Parking'!$A$116:$B$137</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8</v>
      </c>
      <c r="B81" s="66"/>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208"/>
      <c r="D100" s="11"/>
      <c r="E100" s="11"/>
      <c r="F100" s="11"/>
      <c r="G100" s="11"/>
      <c r="H100" s="59"/>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1" t="str">
        <f>IF(_epmOfflineCondition_,"Evdre:Ok",_xll.EVDRE($B$1,A105:B112))</f>
        <v>Evdre:Ok</v>
      </c>
      <c r="B102" s="11" t="s">
        <v>736</v>
      </c>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0</v>
      </c>
      <c r="B104" s="63" t="s">
        <v>1</v>
      </c>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v>
      </c>
      <c r="B105" s="66" t="str">
        <f>IF(_epmOfflineCondition_,"'Parking'!$B$2:$B$10",_xll.EVRNG($B$2:$B$10))</f>
        <v>'Parking'!$B$2:$B$10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3</v>
      </c>
      <c r="B106" s="66" t="str">
        <f>IF(_epmOfflineCondition_,"'Parking'!$O$16:$AN$18",_xll.EVRNG($O$16:$AN$18))</f>
        <v>'Parking'!$O$16:$AN$18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v>
      </c>
      <c r="B107" s="66" t="str">
        <f>IF(_epmOfflineCondition_,"'Parking'!$H$64:$H$67",_xll.EVRNG(H64:H67))</f>
        <v>'Parking'!$H$64:$H$67</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6</v>
      </c>
      <c r="B109" s="66"/>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47</v>
      </c>
      <c r="B111" s="66" t="str">
        <f>IF(_epmOfflineCondition_,"'Parking'!$A$116:$B$137",_xll.EVRNG($A$116:$B$137))</f>
        <v>'Parking'!$A$116:$B$137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267"/>
      <c r="J140" s="11"/>
      <c r="K140" s="267"/>
      <c r="L140" s="267"/>
      <c r="M140" s="267"/>
      <c r="N140" s="11"/>
      <c r="O140" s="267"/>
      <c r="P140" s="267"/>
      <c r="Q140" s="267"/>
      <c r="R140" s="267"/>
      <c r="S140" s="267"/>
      <c r="T140" s="267"/>
      <c r="U140" s="267"/>
      <c r="V140" s="267"/>
      <c r="W140" s="267"/>
      <c r="X140" s="267"/>
      <c r="Y140" s="267"/>
      <c r="Z140" s="267"/>
      <c r="AA140" s="267"/>
      <c r="AB140" s="11"/>
      <c r="AC140" s="11"/>
      <c r="AD140" s="267"/>
      <c r="AE140" s="11"/>
      <c r="AF140" s="267"/>
      <c r="AG140" s="11"/>
      <c r="AH140" s="267"/>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267"/>
      <c r="J144" s="11"/>
      <c r="K144" s="267"/>
      <c r="L144" s="267"/>
      <c r="M144" s="267"/>
      <c r="N144" s="11"/>
      <c r="O144" s="267"/>
      <c r="P144" s="267"/>
      <c r="Q144" s="267"/>
      <c r="R144" s="267"/>
      <c r="S144" s="267"/>
      <c r="T144" s="267"/>
      <c r="U144" s="267"/>
      <c r="V144" s="267"/>
      <c r="W144" s="267"/>
      <c r="X144" s="267"/>
      <c r="Y144" s="267"/>
      <c r="Z144" s="267"/>
      <c r="AA144" s="267"/>
      <c r="AB144" s="11"/>
      <c r="AC144" s="11"/>
      <c r="AD144" s="267"/>
      <c r="AE144" s="11"/>
      <c r="AF144" s="267"/>
      <c r="AG144" s="11"/>
      <c r="AH144" s="267"/>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267"/>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267"/>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sheetData>
  <sheetProtection algorithmName="SHA-512" hashValue="RrMfnsBMVakDiaKsyKP9i0ar9mhp/MzoRKSOFSFw+SiXqTsol4yhr5enS4kFI51A6wyxVLHzDgE0p5R1YDDrfQ==" saltValue="5F/BWKDEKMRLzPjNm9tq5Q==" spinCount="100000" sheet="1" scenarios="1"/>
  <mergeCells count="2">
    <mergeCell ref="AD31:AE31"/>
    <mergeCell ref="AG31:AH31"/>
  </mergeCells>
  <dataValidations disablePrompts="1" count="2">
    <dataValidation type="list" allowBlank="1" sqref="B57 B85 B28" xr:uid="{00000000-0002-0000-2100-000000000000}">
      <formula1>"ACCOUNT,BUSINESSUNIT,CATEGORY,DATASRC,DEPARTMENT,INTCO,MEASURES,RPTCURRENCY,TIME"</formula1>
    </dataValidation>
    <dataValidation type="list" allowBlank="1" sqref="B58 B29 B86" xr:uid="{00000000-0002-0000-2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6872"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6872" r:id="rId7" name="FPMExcelClientSheetOptionstb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386</v>
      </c>
      <c r="C6" s="11" t="str">
        <f>IF(_epmOfflineCondition_,"Retail Shop",_xll.EVDES(B6,$B$1))</f>
        <v>Retail Shop</v>
      </c>
      <c r="D6" s="11"/>
      <c r="E6" s="58" t="str">
        <f>IF(_epmOfflineCondition_,"D1136",_xll.EVPRO($B$1,$B$6,$F$6))</f>
        <v>D1136</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IF(_epmOfflineCondition_,"'Retail'!$B$2:$B$10",_xll.EVRNG($B$2:$B$10))</f>
        <v>'Retail'!$B$2:$B$10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IF(_epmOfflineCondition_,"'Retail'!$O$16:$AN$18",_xll.EVRNG($O$16:$AN$18))</f>
        <v>'Retail'!$O$16:$AN$18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IF(_epmOfflineCondition_,"'Retail'!$H$34:$H$44",_xll.EVRNG(H34:H44))</f>
        <v>'Retail'!$H$34:$H$44</v>
      </c>
      <c r="C19" s="11"/>
      <c r="D19" s="11"/>
      <c r="E19" s="11"/>
      <c r="F19" s="11"/>
      <c r="G19" s="67" t="str">
        <f>$B$6</f>
        <v>D1136</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IF(_epmOfflineCondition_,"'Retail'!$A$36:$F$39",_xll.EVRNG(A36:F39))</f>
        <v>'Retail'!$A$36:$F$39</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IF(_epmOfflineCondition_,"'Retail'!$A$115:$B$136",_xll.EVRNG($A$115:$B$136))</f>
        <v>'Retail'!$A$115:$B$136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IF(_epmOfflineCondition_,"Retail Shop Department",IF(_xll.EVDES(B6,$B$1)="#NODATA","",_xll.EVDES(B6,$B$1)&amp;" Department"))</f>
        <v>Retail Shop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"DEP(440000) AND "&amp;$E$6&amp;"=Y,400000"</f>
        <v>DEP(440000) AND D1136=Y,400000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387</v>
      </c>
      <c r="I34" s="122" t="str">
        <f>IF(_epmOfflineCondition_,"N",_xll.EVPRO($B$1,$H34,"STYLE"))</f>
        <v>N</v>
      </c>
      <c r="J34" s="122" t="str">
        <f>IF(_epmOfflineCondition_,"N",_xll.EVPRO($B$1,$H34,"CALC"))</f>
        <v>N</v>
      </c>
      <c r="K34" s="179" t="str">
        <f t="shared" ref="K34:K44" si="0">IF(AND(I34&gt;="T5"),"&gt;","")</f>
        <v/>
      </c>
      <c r="L34" s="90" t="str">
        <f>IF(_epmOfflineCondition_,"440100",_xll.EVPRO($B$1,H34,"JDEID"))</f>
        <v>440100</v>
      </c>
      <c r="M34" s="90" t="str">
        <f>IF(_epmOfflineCondition_,"206036",IF(AND(I34="N",J34="N"),_xll.EVPRO($B$1,H34,"PSFTID"),""))</f>
        <v>206036</v>
      </c>
      <c r="N34" s="90" t="str">
        <f>IF(_epmOfflineCondition_,"Accessories",IF(_xll.EVDES(H34,$B$1)="#NODATA","",_xll.EVDES(H34,$B$1)))</f>
        <v>Accessories</v>
      </c>
      <c r="O34" s="143"/>
      <c r="P34" s="143"/>
      <c r="Q34" s="143"/>
      <c r="R34" s="143"/>
      <c r="S34" s="143"/>
      <c r="T34" s="143"/>
      <c r="U34" s="143"/>
      <c r="V34" s="143"/>
      <c r="W34" s="143"/>
      <c r="X34" s="143"/>
      <c r="Y34" s="143"/>
      <c r="Z34" s="143"/>
      <c r="AA34" s="250">
        <f t="shared" ref="AA34:AA44" si="1">IF($I34="B1","",SUM(O34:Z34))</f>
        <v>0</v>
      </c>
      <c r="AB34" s="144" t="str">
        <f t="shared" ref="AB34:AB44" si="2">IF(AA34=0,"",IFERROR(AA34/AA$19,""))</f>
        <v/>
      </c>
      <c r="AC34" s="140"/>
      <c r="AD34" s="143"/>
      <c r="AE34" s="144" t="str">
        <f t="shared" ref="AE34:AE44" si="3">IF(AD34=0,"",IFERROR(AD34/AD$19,""))</f>
        <v/>
      </c>
      <c r="AF34" s="145">
        <f t="shared" ref="AF34:AF44" si="4">IF(AND($AA34="",AD34=""),"",$AA34-AD34)</f>
        <v>0</v>
      </c>
      <c r="AG34" s="143"/>
      <c r="AH34" s="144" t="str">
        <f t="shared" ref="AH34:AH44" si="5">IF(AG34=0,"",IFERROR(AG34/AG$19,""))</f>
        <v/>
      </c>
      <c r="AI34" s="145">
        <f t="shared" ref="AI34:AI44" si="6">IF(AND($AA34="",AG34=""),"",$AA34-AG34)</f>
        <v>0</v>
      </c>
      <c r="AJ34" s="440">
        <f t="shared" ref="AJ34:AJ44" si="7">IFERROR(AA34/AA$20,0)</f>
        <v>0</v>
      </c>
      <c r="AK34" s="441">
        <f t="shared" ref="AK34:AK44" si="8">IFERROR(AD34/AD$20,0)</f>
        <v>0</v>
      </c>
      <c r="AL34" s="442">
        <f t="shared" ref="AL34:AL44" si="9">IFERROR(AG34/AG$20,0)</f>
        <v>0</v>
      </c>
      <c r="AM34" s="443">
        <f t="shared" ref="AM34:AM44" si="10">+IFERROR(ROUND(($AB34-AE34)*100,2)&amp;" pts.",0)</f>
        <v>0</v>
      </c>
      <c r="AN34" s="444">
        <f t="shared" ref="AN34:AN44" si="11">+IFERROR(ROUND(($AB34-AH34)*100,2)&amp;" pts.",0)</f>
        <v>0</v>
      </c>
      <c r="AO34" s="11"/>
    </row>
    <row r="35" spans="1:41" x14ac:dyDescent="0.35">
      <c r="A35" s="97" t="s">
        <v>92</v>
      </c>
      <c r="B35" s="98" t="s">
        <v>93</v>
      </c>
      <c r="C35" s="98" t="s">
        <v>94</v>
      </c>
      <c r="D35" s="98" t="s">
        <v>95</v>
      </c>
      <c r="E35" s="98" t="s">
        <v>96</v>
      </c>
      <c r="F35" s="99" t="s">
        <v>97</v>
      </c>
      <c r="G35" s="11"/>
      <c r="H35" s="88" t="s">
        <v>388</v>
      </c>
      <c r="I35" s="122" t="str">
        <f>IF(_epmOfflineCondition_,"N",_xll.EVPRO($B$1,$H35,"STYLE"))</f>
        <v>N</v>
      </c>
      <c r="J35" s="122" t="str">
        <f>IF(_epmOfflineCondition_,"N",_xll.EVPRO($B$1,$H35,"CALC"))</f>
        <v>N</v>
      </c>
      <c r="K35" s="179" t="str">
        <f t="shared" si="0"/>
        <v/>
      </c>
      <c r="L35" s="90" t="str">
        <f>IF(_epmOfflineCondition_,"440200",_xll.EVPRO($B$1,H35,"JDEID"))</f>
        <v>440200</v>
      </c>
      <c r="M35" s="90" t="str">
        <f>IF(_epmOfflineCondition_,"206037",IF(AND(I35="N",J35="N"),_xll.EVPRO($B$1,H35,"PSFTID"),""))</f>
        <v>206037</v>
      </c>
      <c r="N35" s="90" t="str">
        <f>IF(_epmOfflineCondition_,"Apparel",IF(_xll.EVDES(H35,$B$1)="#NODATA","",_xll.EVDES(H35,$B$1)))</f>
        <v>Apparel</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389</v>
      </c>
      <c r="I36" s="122" t="str">
        <f>IF(_epmOfflineCondition_,"N",_xll.EVPRO($B$1,$H36,"STYLE"))</f>
        <v>N</v>
      </c>
      <c r="J36" s="122" t="str">
        <f>IF(_epmOfflineCondition_,"N",_xll.EVPRO($B$1,$H36,"CALC"))</f>
        <v>N</v>
      </c>
      <c r="K36" s="179" t="str">
        <f t="shared" si="0"/>
        <v/>
      </c>
      <c r="L36" s="90" t="str">
        <f>IF(_epmOfflineCondition_,"440300",_xll.EVPRO($B$1,H36,"JDEID"))</f>
        <v>440300</v>
      </c>
      <c r="M36" s="90" t="str">
        <f>IF(_epmOfflineCondition_,"206038",IF(AND(I36="N",J36="N"),_xll.EVPRO($B$1,H36,"PSFTID"),""))</f>
        <v>206038</v>
      </c>
      <c r="N36" s="90" t="str">
        <f>IF(_epmOfflineCondition_,"Sundries",IF(_xll.EVDES(H36,$B$1)="#NODATA","",_xll.EVDES(H36,$B$1)))</f>
        <v>Sundries</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105</v>
      </c>
      <c r="B37" s="11"/>
      <c r="C37" s="104" t="s">
        <v>101</v>
      </c>
      <c r="D37" s="11" t="s">
        <v>106</v>
      </c>
      <c r="E37" s="11"/>
      <c r="F37" s="11" t="s">
        <v>98</v>
      </c>
      <c r="G37" s="11"/>
      <c r="H37" s="88" t="s">
        <v>390</v>
      </c>
      <c r="I37" s="122" t="str">
        <f>IF(_epmOfflineCondition_,"N",_xll.EVPRO($B$1,$H37,"STYLE"))</f>
        <v>N</v>
      </c>
      <c r="J37" s="122" t="str">
        <f>IF(_epmOfflineCondition_,"N",_xll.EVPRO($B$1,$H37,"CALC"))</f>
        <v>N</v>
      </c>
      <c r="K37" s="179" t="str">
        <f t="shared" si="0"/>
        <v/>
      </c>
      <c r="L37" s="90" t="str">
        <f>IF(_epmOfflineCondition_,"440400",_xll.EVPRO($B$1,H37,"JDEID"))</f>
        <v>440400</v>
      </c>
      <c r="M37" s="90" t="str">
        <f>IF(_epmOfflineCondition_,"206039",IF(AND(I37="N",J37="N"),_xll.EVPRO($B$1,H37,"PSFTID"),""))</f>
        <v>206039</v>
      </c>
      <c r="N37" s="90" t="str">
        <f>IF(_epmOfflineCondition_,"Souvenir &amp; Gifts",IF(_xll.EVDES(H37,$B$1)="#NODATA","",_xll.EVDES(H37,$B$1)))</f>
        <v>Souvenir &amp; Gifts</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11" t="s">
        <v>108</v>
      </c>
      <c r="B38" s="11"/>
      <c r="C38" s="106" t="s">
        <v>101</v>
      </c>
      <c r="D38" s="11" t="s">
        <v>106</v>
      </c>
      <c r="E38" s="11"/>
      <c r="F38" s="11" t="s">
        <v>98</v>
      </c>
      <c r="G38" s="11"/>
      <c r="H38" s="88" t="s">
        <v>391</v>
      </c>
      <c r="I38" s="122" t="str">
        <f>IF(_epmOfflineCondition_,"N",_xll.EVPRO($B$1,$H38,"STYLE"))</f>
        <v>N</v>
      </c>
      <c r="J38" s="122" t="str">
        <f>IF(_epmOfflineCondition_,"N",_xll.EVPRO($B$1,$H38,"CALC"))</f>
        <v>N</v>
      </c>
      <c r="K38" s="179" t="str">
        <f t="shared" si="0"/>
        <v/>
      </c>
      <c r="L38" s="90" t="str">
        <f>IF(_epmOfflineCondition_,"440500",_xll.EVPRO($B$1,H38,"JDEID"))</f>
        <v>440500</v>
      </c>
      <c r="M38" s="90" t="str">
        <f>IF(_epmOfflineCondition_,"206041",IF(AND(I38="N",J38="N"),_xll.EVPRO($B$1,H38,"PSFTID"),""))</f>
        <v>206041</v>
      </c>
      <c r="N38" s="90" t="str">
        <f>IF(_epmOfflineCondition_,"Stationary &amp; Books",IF(_xll.EVDES(H38,$B$1)="#NODATA","",_xll.EVDES(H38,$B$1)))</f>
        <v>Stationary &amp; Books</v>
      </c>
      <c r="O38" s="143"/>
      <c r="P38" s="143"/>
      <c r="Q38" s="143"/>
      <c r="R38" s="143"/>
      <c r="S38" s="143"/>
      <c r="T38" s="143"/>
      <c r="U38" s="143"/>
      <c r="V38" s="143"/>
      <c r="W38" s="143"/>
      <c r="X38" s="143"/>
      <c r="Y38" s="143"/>
      <c r="Z38" s="143"/>
      <c r="AA38" s="250">
        <f t="shared" si="1"/>
        <v>0</v>
      </c>
      <c r="AB38" s="144" t="str">
        <f t="shared" si="2"/>
        <v/>
      </c>
      <c r="AC38" s="140"/>
      <c r="AD38" s="143"/>
      <c r="AE38" s="144" t="str">
        <f t="shared" si="3"/>
        <v/>
      </c>
      <c r="AF38" s="145">
        <f t="shared" si="4"/>
        <v>0</v>
      </c>
      <c r="AG38" s="143"/>
      <c r="AH38" s="144" t="str">
        <f t="shared" si="5"/>
        <v/>
      </c>
      <c r="AI38" s="145">
        <f t="shared" si="6"/>
        <v>0</v>
      </c>
      <c r="AJ38" s="440">
        <f t="shared" si="7"/>
        <v>0</v>
      </c>
      <c r="AK38" s="441">
        <f t="shared" si="8"/>
        <v>0</v>
      </c>
      <c r="AL38" s="442">
        <f t="shared" si="9"/>
        <v>0</v>
      </c>
      <c r="AM38" s="443">
        <f t="shared" si="10"/>
        <v>0</v>
      </c>
      <c r="AN38" s="444">
        <f t="shared" si="11"/>
        <v>0</v>
      </c>
      <c r="AO38" s="11"/>
    </row>
    <row r="39" spans="1:41" x14ac:dyDescent="0.35">
      <c r="A39" s="11" t="s">
        <v>108</v>
      </c>
      <c r="B39" s="11"/>
      <c r="C39" s="196" t="s">
        <v>101</v>
      </c>
      <c r="D39" s="11" t="s">
        <v>107</v>
      </c>
      <c r="E39" s="11"/>
      <c r="F39" s="11" t="s">
        <v>99</v>
      </c>
      <c r="G39" s="11"/>
      <c r="H39" s="88" t="s">
        <v>392</v>
      </c>
      <c r="I39" s="122" t="str">
        <f>IF(_epmOfflineCondition_,"N",_xll.EVPRO($B$1,$H39,"STYLE"))</f>
        <v>N</v>
      </c>
      <c r="J39" s="122" t="str">
        <f>IF(_epmOfflineCondition_,"N",_xll.EVPRO($B$1,$H39,"CALC"))</f>
        <v>N</v>
      </c>
      <c r="K39" s="179" t="str">
        <f t="shared" si="0"/>
        <v/>
      </c>
      <c r="L39" s="90" t="str">
        <f>IF(_epmOfflineCondition_,"440600",_xll.EVPRO($B$1,H39,"JDEID"))</f>
        <v>440600</v>
      </c>
      <c r="M39" s="90" t="str">
        <f>IF(_epmOfflineCondition_,"206042",IF(AND(I39="N",J39="N"),_xll.EVPRO($B$1,H39,"PSFTID"),""))</f>
        <v>206042</v>
      </c>
      <c r="N39" s="90" t="str">
        <f>IF(_epmOfflineCondition_,"Newspaper &amp; Magazines",IF(_xll.EVDES(H39,$B$1)="#NODATA","",_xll.EVDES(H39,$B$1)))</f>
        <v>Newspaper &amp; Magazines</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c r="B40" s="11"/>
      <c r="C40" s="11"/>
      <c r="D40" s="11"/>
      <c r="E40" s="11"/>
      <c r="F40" s="11"/>
      <c r="G40" s="11"/>
      <c r="H40" s="88" t="s">
        <v>393</v>
      </c>
      <c r="I40" s="122" t="str">
        <f>IF(_epmOfflineCondition_,"N",_xll.EVPRO($B$1,$H40,"STYLE"))</f>
        <v>N</v>
      </c>
      <c r="J40" s="122" t="str">
        <f>IF(_epmOfflineCondition_,"N",_xll.EVPRO($B$1,$H40,"CALC"))</f>
        <v>N</v>
      </c>
      <c r="K40" s="179" t="str">
        <f t="shared" si="0"/>
        <v/>
      </c>
      <c r="L40" s="90" t="str">
        <f>IF(_epmOfflineCondition_,"440700",_xll.EVPRO($B$1,H40,"JDEID"))</f>
        <v>440700</v>
      </c>
      <c r="M40" s="90" t="str">
        <f>IF(_epmOfflineCondition_,"206043",IF(AND(I40="N",J40="N"),_xll.EVPRO($B$1,H40,"PSFTID"),""))</f>
        <v>206043</v>
      </c>
      <c r="N40" s="90" t="str">
        <f>IF(_epmOfflineCondition_,"Youth Revenue",IF(_xll.EVDES(H40,$B$1)="#NODATA","",_xll.EVDES(H40,$B$1)))</f>
        <v>Youth Revenue</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11"/>
      <c r="B41" s="11"/>
      <c r="C41" s="11"/>
      <c r="D41" s="11"/>
      <c r="E41" s="11"/>
      <c r="F41" s="11"/>
      <c r="G41" s="11"/>
      <c r="H41" s="88" t="s">
        <v>394</v>
      </c>
      <c r="I41" s="122" t="str">
        <f>IF(_epmOfflineCondition_,"N",_xll.EVPRO($B$1,$H41,"STYLE"))</f>
        <v>N</v>
      </c>
      <c r="J41" s="122" t="str">
        <f>IF(_epmOfflineCondition_,"N",_xll.EVPRO($B$1,$H41,"CALC"))</f>
        <v>N</v>
      </c>
      <c r="K41" s="179" t="str">
        <f t="shared" si="0"/>
        <v/>
      </c>
      <c r="L41" s="90" t="str">
        <f>IF(_epmOfflineCondition_,"440800",_xll.EVPRO($B$1,H41,"JDEID"))</f>
        <v>440800</v>
      </c>
      <c r="M41" s="90" t="str">
        <f>IF(_epmOfflineCondition_,"206044",IF(AND(I41="N",J41="N"),_xll.EVPRO($B$1,H41,"PSFTID"),""))</f>
        <v>206044</v>
      </c>
      <c r="N41" s="90" t="str">
        <f>IF(_epmOfflineCondition_,"Food/Candy",IF(_xll.EVDES(H41,$B$1)="#NODATA","",_xll.EVDES(H41,$B$1)))</f>
        <v>Food/Candy</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61" t="str">
        <f>IF(_epmOfflineCondition_,"Evdre:Ok",_xll.EVDRE($B$1,A45:B52,A55:B61))</f>
        <v>Evdre:Ok</v>
      </c>
      <c r="B42" s="11"/>
      <c r="C42" s="11"/>
      <c r="D42" s="11"/>
      <c r="E42" s="11"/>
      <c r="F42" s="11"/>
      <c r="G42" s="11"/>
      <c r="H42" s="88" t="s">
        <v>395</v>
      </c>
      <c r="I42" s="122" t="str">
        <f>IF(_epmOfflineCondition_,"N",_xll.EVPRO($B$1,$H42,"STYLE"))</f>
        <v>N</v>
      </c>
      <c r="J42" s="122" t="str">
        <f>IF(_epmOfflineCondition_,"N",_xll.EVPRO($B$1,$H42,"CALC"))</f>
        <v>N</v>
      </c>
      <c r="K42" s="179" t="str">
        <f t="shared" si="0"/>
        <v/>
      </c>
      <c r="L42" s="90" t="str">
        <f>IF(_epmOfflineCondition_,"440900",_xll.EVPRO($B$1,H42,"JDEID"))</f>
        <v>440900</v>
      </c>
      <c r="M42" s="90" t="str">
        <f>IF(_epmOfflineCondition_,"206021",IF(AND(I42="N",J42="N"),_xll.EVPRO($B$1,H42,"PSFTID"),""))</f>
        <v>206021</v>
      </c>
      <c r="N42" s="90" t="str">
        <f>IF(_epmOfflineCondition_,"Tobacco",IF(_xll.EVDES(H42,$B$1)="#NODATA","",_xll.EVDES(H42,$B$1)))</f>
        <v>Tobacco</v>
      </c>
      <c r="O42" s="143"/>
      <c r="P42" s="143"/>
      <c r="Q42" s="143"/>
      <c r="R42" s="143"/>
      <c r="S42" s="143"/>
      <c r="T42" s="143"/>
      <c r="U42" s="143"/>
      <c r="V42" s="143"/>
      <c r="W42" s="143"/>
      <c r="X42" s="143"/>
      <c r="Y42" s="143"/>
      <c r="Z42" s="143"/>
      <c r="AA42" s="250">
        <f t="shared" si="1"/>
        <v>0</v>
      </c>
      <c r="AB42" s="144" t="str">
        <f t="shared" si="2"/>
        <v/>
      </c>
      <c r="AC42" s="140"/>
      <c r="AD42" s="143"/>
      <c r="AE42" s="144" t="str">
        <f t="shared" si="3"/>
        <v/>
      </c>
      <c r="AF42" s="145">
        <f t="shared" si="4"/>
        <v>0</v>
      </c>
      <c r="AG42" s="143"/>
      <c r="AH42" s="144" t="str">
        <f t="shared" si="5"/>
        <v/>
      </c>
      <c r="AI42" s="145">
        <f t="shared" si="6"/>
        <v>0</v>
      </c>
      <c r="AJ42" s="440">
        <f t="shared" si="7"/>
        <v>0</v>
      </c>
      <c r="AK42" s="441">
        <f t="shared" si="8"/>
        <v>0</v>
      </c>
      <c r="AL42" s="442">
        <f t="shared" si="9"/>
        <v>0</v>
      </c>
      <c r="AM42" s="443">
        <f t="shared" si="10"/>
        <v>0</v>
      </c>
      <c r="AN42" s="444">
        <f t="shared" si="11"/>
        <v>0</v>
      </c>
      <c r="AO42" s="11"/>
    </row>
    <row r="43" spans="1:41" x14ac:dyDescent="0.35">
      <c r="A43" s="11"/>
      <c r="B43" s="11"/>
      <c r="C43" s="11"/>
      <c r="D43" s="11"/>
      <c r="E43" s="11"/>
      <c r="F43" s="11"/>
      <c r="G43" s="11"/>
      <c r="H43" s="88" t="s">
        <v>396</v>
      </c>
      <c r="I43" s="122" t="str">
        <f>IF(_epmOfflineCondition_,"N",_xll.EVPRO($B$1,$H43,"STYLE"))</f>
        <v>N</v>
      </c>
      <c r="J43" s="122" t="str">
        <f>IF(_epmOfflineCondition_,"N",_xll.EVPRO($B$1,$H43,"CALC"))</f>
        <v>N</v>
      </c>
      <c r="K43" s="179" t="str">
        <f t="shared" si="0"/>
        <v/>
      </c>
      <c r="L43" s="90" t="str">
        <f>IF(_epmOfflineCondition_,"440990",_xll.EVPRO($B$1,H43,"JDEID"))</f>
        <v>440990</v>
      </c>
      <c r="M43" s="90" t="str">
        <f>IF(_epmOfflineCondition_,"NA",IF(AND(I43="N",J43="N"),_xll.EVPRO($B$1,H43,"PSFTID"),""))</f>
        <v>NA</v>
      </c>
      <c r="N43" s="90" t="str">
        <f>IF(_epmOfflineCondition_,"Gift Shop: Allowances",IF(_xll.EVDES(H43,$B$1)="#NODATA","",_xll.EVDES(H43,$B$1)))</f>
        <v>Gift Shop: Allowances</v>
      </c>
      <c r="O43" s="217"/>
      <c r="P43" s="217"/>
      <c r="Q43" s="217"/>
      <c r="R43" s="217"/>
      <c r="S43" s="217"/>
      <c r="T43" s="217"/>
      <c r="U43" s="217"/>
      <c r="V43" s="217"/>
      <c r="W43" s="217"/>
      <c r="X43" s="217"/>
      <c r="Y43" s="217"/>
      <c r="Z43" s="217"/>
      <c r="AA43" s="251">
        <f t="shared" si="1"/>
        <v>0</v>
      </c>
      <c r="AB43" s="219" t="str">
        <f t="shared" si="2"/>
        <v/>
      </c>
      <c r="AC43" s="140"/>
      <c r="AD43" s="217"/>
      <c r="AE43" s="219" t="str">
        <f t="shared" si="3"/>
        <v/>
      </c>
      <c r="AF43" s="220">
        <f t="shared" si="4"/>
        <v>0</v>
      </c>
      <c r="AG43" s="217"/>
      <c r="AH43" s="219" t="str">
        <f t="shared" si="5"/>
        <v/>
      </c>
      <c r="AI43" s="220">
        <f t="shared" si="6"/>
        <v>0</v>
      </c>
      <c r="AJ43" s="449">
        <f t="shared" si="7"/>
        <v>0</v>
      </c>
      <c r="AK43" s="450">
        <f t="shared" si="8"/>
        <v>0</v>
      </c>
      <c r="AL43" s="451">
        <f t="shared" si="9"/>
        <v>0</v>
      </c>
      <c r="AM43" s="452">
        <f t="shared" si="10"/>
        <v>0</v>
      </c>
      <c r="AN43" s="453">
        <f t="shared" si="11"/>
        <v>0</v>
      </c>
      <c r="AO43" s="11"/>
    </row>
    <row r="44" spans="1:41" x14ac:dyDescent="0.35">
      <c r="A44" s="62" t="s">
        <v>0</v>
      </c>
      <c r="B44" s="63" t="s">
        <v>1</v>
      </c>
      <c r="C44" s="11"/>
      <c r="D44" s="11"/>
      <c r="E44" s="11"/>
      <c r="F44" s="11"/>
      <c r="G44" s="11"/>
      <c r="H44" s="88" t="s">
        <v>280</v>
      </c>
      <c r="I44" s="188" t="str">
        <f>IF(_epmOfflineCondition_,"T3",_xll.EVPRO($B$1,$H44,"STYLE"))</f>
        <v>T3</v>
      </c>
      <c r="J44" s="188" t="str">
        <f>IF(_epmOfflineCondition_,"Y",_xll.EVPRO($B$1,$H44,"CALC"))</f>
        <v>Y</v>
      </c>
      <c r="K44" s="189" t="str">
        <f t="shared" si="0"/>
        <v/>
      </c>
      <c r="L44" s="190" t="str">
        <f>IF(_epmOfflineCondition_,"400000",_xll.EVPRO($B$1,H44,"JDEID"))</f>
        <v>400000</v>
      </c>
      <c r="M44" s="190" t="str">
        <f>IF(_epmOfflineCondition_,"",IF(AND(I44="N",J44="N"),_xll.EVPRO($B$1,H44,"PSFTID"),""))</f>
        <v/>
      </c>
      <c r="N44" s="190" t="str">
        <f>IF(_epmOfflineCondition_,"Total Revenue",IF(_xll.EVDES(H44,$B$1)="#NODATA","",_xll.EVDES(H44,$B$1)))</f>
        <v>Total Revenue</v>
      </c>
      <c r="O44" s="225"/>
      <c r="P44" s="225"/>
      <c r="Q44" s="225"/>
      <c r="R44" s="225"/>
      <c r="S44" s="225"/>
      <c r="T44" s="225"/>
      <c r="U44" s="225"/>
      <c r="V44" s="225"/>
      <c r="W44" s="225"/>
      <c r="X44" s="225"/>
      <c r="Y44" s="225"/>
      <c r="Z44" s="225"/>
      <c r="AA44" s="225">
        <f t="shared" si="1"/>
        <v>0</v>
      </c>
      <c r="AB44" s="226" t="str">
        <f t="shared" si="2"/>
        <v/>
      </c>
      <c r="AC44" s="227"/>
      <c r="AD44" s="225"/>
      <c r="AE44" s="226" t="str">
        <f t="shared" si="3"/>
        <v/>
      </c>
      <c r="AF44" s="228">
        <f t="shared" si="4"/>
        <v>0</v>
      </c>
      <c r="AG44" s="225"/>
      <c r="AH44" s="226" t="str">
        <f t="shared" si="5"/>
        <v/>
      </c>
      <c r="AI44" s="228">
        <f t="shared" si="6"/>
        <v>0</v>
      </c>
      <c r="AJ44" s="229">
        <f t="shared" si="7"/>
        <v>0</v>
      </c>
      <c r="AK44" s="230">
        <f t="shared" si="8"/>
        <v>0</v>
      </c>
      <c r="AL44" s="232">
        <f t="shared" si="9"/>
        <v>0</v>
      </c>
      <c r="AM44" s="427">
        <f t="shared" si="10"/>
        <v>0</v>
      </c>
      <c r="AN44" s="456">
        <f t="shared" si="11"/>
        <v>0</v>
      </c>
      <c r="AO44" s="11"/>
    </row>
    <row r="45" spans="1:41" x14ac:dyDescent="0.35">
      <c r="A45" s="65" t="s">
        <v>2</v>
      </c>
      <c r="B45" s="66" t="str">
        <f>IF(_epmOfflineCondition_,"'Retail'!$B$2:$B$10",_xll.EVRNG($B$2:$B$10))</f>
        <v>'Retail'!$B$2:$B$10</v>
      </c>
      <c r="C45" s="11"/>
      <c r="D45" s="11"/>
      <c r="E45" s="11"/>
      <c r="F45" s="11"/>
      <c r="G45" s="11"/>
      <c r="H45" s="11"/>
      <c r="I45" s="59"/>
      <c r="J45" s="59"/>
      <c r="K45" s="11"/>
      <c r="L45" s="11"/>
      <c r="M45" s="11"/>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65" t="s">
        <v>3</v>
      </c>
      <c r="B46" s="66" t="str">
        <f>IF(_epmOfflineCondition_,"'Retail'!$O$16:$AN$18",_xll.EVRNG($O$16:$AN$18))</f>
        <v>'Retail'!$O$16:$AN$18</v>
      </c>
      <c r="C46" s="11"/>
      <c r="D46" s="11"/>
      <c r="E46" s="11"/>
      <c r="F46" s="11"/>
      <c r="G46" s="11"/>
      <c r="H46" s="11" t="s">
        <v>281</v>
      </c>
      <c r="I46" s="59" t="str">
        <f>IF(_epmOfflineCondition_,"B1",_xll.EVPRO($B$1,$H46,"STYLE"))</f>
        <v>B1</v>
      </c>
      <c r="J46" s="59" t="str">
        <f>IF(_epmOfflineCondition_,"Y",_xll.EVPRO($B$1,$H46,"CALC"))</f>
        <v>Y</v>
      </c>
      <c r="K46" s="11"/>
      <c r="L46" s="11"/>
      <c r="M46" s="11"/>
      <c r="N46" s="105" t="str">
        <f>IF(_epmOfflineCondition_,"Cost of Sales",IF(_xll.EVDES(H46,$B$1)="#NODATA","",_xll.EVDES(H46,$B$1)))</f>
        <v>Cost of Sales</v>
      </c>
      <c r="O46" s="203"/>
      <c r="P46" s="204"/>
      <c r="Q46" s="204"/>
      <c r="R46" s="204"/>
      <c r="S46" s="204"/>
      <c r="T46" s="204"/>
      <c r="U46" s="204"/>
      <c r="V46" s="204"/>
      <c r="W46" s="204"/>
      <c r="X46" s="204"/>
      <c r="Y46" s="204"/>
      <c r="Z46" s="204"/>
      <c r="AA46" s="204"/>
      <c r="AB46" s="118"/>
      <c r="AC46" s="11"/>
      <c r="AD46" s="203"/>
      <c r="AE46" s="204"/>
      <c r="AF46" s="118"/>
      <c r="AG46" s="203"/>
      <c r="AH46" s="204"/>
      <c r="AI46" s="118"/>
      <c r="AJ46" s="11"/>
      <c r="AK46" s="11"/>
      <c r="AL46" s="11"/>
      <c r="AM46" s="11"/>
      <c r="AN46" s="11"/>
      <c r="AO46" s="11"/>
    </row>
    <row r="47" spans="1:41" x14ac:dyDescent="0.35">
      <c r="A47" s="65" t="s">
        <v>4</v>
      </c>
      <c r="B47" s="66" t="str">
        <f>IF(_epmOfflineCondition_,"'Retail'!$H$47:$H$56",_xll.EVRNG(H47:H56))</f>
        <v>'Retail'!$H$47:$H$56</v>
      </c>
      <c r="C47" s="11"/>
      <c r="D47" s="11"/>
      <c r="E47" s="11"/>
      <c r="F47" s="11"/>
      <c r="G47" s="11"/>
      <c r="H47" s="88" t="s">
        <v>397</v>
      </c>
      <c r="I47" s="122" t="str">
        <f>IF(_epmOfflineCondition_,"N",_xll.EVPRO($B$1,$H47,"STYLE"))</f>
        <v>N</v>
      </c>
      <c r="J47" s="122" t="str">
        <f>IF(_epmOfflineCondition_,"N",_xll.EVPRO($B$1,$H47,"CALC"))</f>
        <v>N</v>
      </c>
      <c r="K47" s="179" t="str">
        <f t="shared" ref="K47:K58" si="12">IF(AND(I47&gt;="T5"),"&gt;","")</f>
        <v/>
      </c>
      <c r="L47" s="90" t="str">
        <f>IF(_epmOfflineCondition_,"540100",_xll.EVPRO($B$1,H47,"JDEID"))</f>
        <v>540100</v>
      </c>
      <c r="M47" s="90" t="str">
        <f>IF(_epmOfflineCondition_,"306036",IF(AND(I47="N",J47="N"),_xll.EVPRO($B$1,H47,"PSFTID"),""))</f>
        <v>306036</v>
      </c>
      <c r="N47" s="90" t="str">
        <f>IF(_epmOfflineCondition_,"Accessories COS",IF(_xll.EVDES(H47,$B$1)="#NODATA","",_xll.EVDES(H47,$B$1)))</f>
        <v>Accessories COS</v>
      </c>
      <c r="O47" s="217"/>
      <c r="P47" s="217"/>
      <c r="Q47" s="217"/>
      <c r="R47" s="217"/>
      <c r="S47" s="217"/>
      <c r="T47" s="217"/>
      <c r="U47" s="217"/>
      <c r="V47" s="217"/>
      <c r="W47" s="217"/>
      <c r="X47" s="217"/>
      <c r="Y47" s="217"/>
      <c r="Z47" s="217"/>
      <c r="AA47" s="217">
        <f t="shared" ref="AA47:AA56" si="13">IF($I47="B1","",SUM(O47:Z47))</f>
        <v>0</v>
      </c>
      <c r="AB47" s="219" t="str">
        <f>IF(_epmOfflineCondition_,"",IF(AA47=0,"",IFERROR(AA47/_xll.EVGTS($B$1,1,_xll.EVPRO($B$1,$H47,"COSBASIS"),$B$3,$B$5,$B$6,$B$7,$B$9,AA$16,AA$17,AA$11),"")))</f>
        <v/>
      </c>
      <c r="AC47" s="140"/>
      <c r="AD47" s="217"/>
      <c r="AE47" s="219" t="str">
        <f>IF(_epmOfflineCondition_,"",IF(AD47=0,"",IFERROR(AD47/_xll.EVGTS($B$1,1,_xll.EVPRO($B$1,$H47,"COSBASIS"),$B$3,$B$5,$B$6,$B$7,$B$9,AD$16,AD$17,AD$18),"")))</f>
        <v/>
      </c>
      <c r="AF47" s="220">
        <f t="shared" ref="AF47:AF58" si="14">IF(AND($AA47="",AD47=""),"",$AA47-AD47)</f>
        <v>0</v>
      </c>
      <c r="AG47" s="217"/>
      <c r="AH47" s="219" t="str">
        <f>IF(_epmOfflineCondition_,"",IF(AG47=0,"",IFERROR(AG47/_xll.EVGTS($B$1,1,_xll.EVPRO($B$1,$H47,"COSBASIS"),$B$3,$B$5,$B$6,$B$7,$B$9,AG$16,AG$17,AG$18),"")))</f>
        <v/>
      </c>
      <c r="AI47" s="220">
        <f t="shared" ref="AI47:AI58" si="15">IF(AND($AA47="",AG47=""),"",$AA47-AG47)</f>
        <v>0</v>
      </c>
      <c r="AJ47" s="440">
        <f t="shared" ref="AJ47:AJ56" si="16">IFERROR(AA47/AA$20,0)</f>
        <v>0</v>
      </c>
      <c r="AK47" s="441">
        <f t="shared" ref="AK47:AK56" si="17">IFERROR(AD47/AD$20,0)</f>
        <v>0</v>
      </c>
      <c r="AL47" s="442">
        <f t="shared" ref="AL47:AL56" si="18">IFERROR(AG47/AG$20,0)</f>
        <v>0</v>
      </c>
      <c r="AM47" s="443">
        <f t="shared" ref="AM47:AM56" si="19">+IFERROR(ROUND(($AB47-AE47)*100,2)&amp;" pts.",0)</f>
        <v>0</v>
      </c>
      <c r="AN47" s="444">
        <f t="shared" ref="AN47:AN56" si="20">+IFERROR(ROUND(($AB47-AH47)*100,2)&amp;" pts.",0)</f>
        <v>0</v>
      </c>
      <c r="AO47" s="11"/>
    </row>
    <row r="48" spans="1:41" x14ac:dyDescent="0.35">
      <c r="A48" s="65" t="s">
        <v>5</v>
      </c>
      <c r="B48" s="66"/>
      <c r="C48" s="11"/>
      <c r="D48" s="11"/>
      <c r="E48" s="11"/>
      <c r="F48" s="384"/>
      <c r="G48" s="11"/>
      <c r="H48" s="88" t="s">
        <v>398</v>
      </c>
      <c r="I48" s="122" t="str">
        <f>IF(_epmOfflineCondition_,"N",_xll.EVPRO($B$1,$H48,"STYLE"))</f>
        <v>N</v>
      </c>
      <c r="J48" s="122" t="str">
        <f>IF(_epmOfflineCondition_,"N",_xll.EVPRO($B$1,$H48,"CALC"))</f>
        <v>N</v>
      </c>
      <c r="K48" s="179" t="str">
        <f t="shared" si="12"/>
        <v/>
      </c>
      <c r="L48" s="90" t="str">
        <f>IF(_epmOfflineCondition_,"540200",_xll.EVPRO($B$1,H48,"JDEID"))</f>
        <v>540200</v>
      </c>
      <c r="M48" s="90" t="str">
        <f>IF(_epmOfflineCondition_,"306037",IF(AND(I48="N",J48="N"),_xll.EVPRO($B$1,H48,"PSFTID"),""))</f>
        <v>306037</v>
      </c>
      <c r="N48" s="90" t="str">
        <f>IF(_epmOfflineCondition_,"Apparel COS",IF(_xll.EVDES(H48,$B$1)="#NODATA","",_xll.EVDES(H48,$B$1)))</f>
        <v>Apparel COS</v>
      </c>
      <c r="O48" s="217"/>
      <c r="P48" s="217"/>
      <c r="Q48" s="217"/>
      <c r="R48" s="217"/>
      <c r="S48" s="217"/>
      <c r="T48" s="217"/>
      <c r="U48" s="217"/>
      <c r="V48" s="217"/>
      <c r="W48" s="217"/>
      <c r="X48" s="217"/>
      <c r="Y48" s="217"/>
      <c r="Z48" s="217"/>
      <c r="AA48" s="217">
        <f t="shared" si="13"/>
        <v>0</v>
      </c>
      <c r="AB48" s="219" t="str">
        <f>IF(_epmOfflineCondition_,"",IF(AA48=0,"",IFERROR(AA48/_xll.EVGTS($B$1,1,_xll.EVPRO($B$1,$H48,"COSBASIS"),$B$3,$B$5,$B$6,$B$7,$B$9,AA$16,AA$17,AA$11),"")))</f>
        <v/>
      </c>
      <c r="AC48" s="140"/>
      <c r="AD48" s="217"/>
      <c r="AE48" s="219" t="str">
        <f>IF(_epmOfflineCondition_,"",IF(AD48=0,"",IFERROR(AD48/_xll.EVGTS($B$1,1,_xll.EVPRO($B$1,$H48,"COSBASIS"),$B$3,$B$5,$B$6,$B$7,$B$9,AD$16,AD$17,AD$18),"")))</f>
        <v/>
      </c>
      <c r="AF48" s="220">
        <f t="shared" si="14"/>
        <v>0</v>
      </c>
      <c r="AG48" s="217"/>
      <c r="AH48" s="219" t="str">
        <f>IF(_epmOfflineCondition_,"",IF(AG48=0,"",IFERROR(AG48/_xll.EVGTS($B$1,1,_xll.EVPRO($B$1,$H48,"COSBASIS"),$B$3,$B$5,$B$6,$B$7,$B$9,AG$16,AG$17,AG$18),"")))</f>
        <v/>
      </c>
      <c r="AI48" s="220">
        <f t="shared" si="15"/>
        <v>0</v>
      </c>
      <c r="AJ48" s="440">
        <f t="shared" si="16"/>
        <v>0</v>
      </c>
      <c r="AK48" s="441">
        <f t="shared" si="17"/>
        <v>0</v>
      </c>
      <c r="AL48" s="442">
        <f t="shared" si="18"/>
        <v>0</v>
      </c>
      <c r="AM48" s="443">
        <f t="shared" si="19"/>
        <v>0</v>
      </c>
      <c r="AN48" s="444">
        <f t="shared" si="20"/>
        <v>0</v>
      </c>
      <c r="AO48" s="11"/>
    </row>
    <row r="49" spans="1:41" x14ac:dyDescent="0.35">
      <c r="A49" s="65" t="s">
        <v>6</v>
      </c>
      <c r="B49" s="66"/>
      <c r="C49" s="11"/>
      <c r="D49" s="11"/>
      <c r="E49" s="11"/>
      <c r="F49" s="384"/>
      <c r="G49" s="11"/>
      <c r="H49" s="88" t="s">
        <v>399</v>
      </c>
      <c r="I49" s="122" t="str">
        <f>IF(_epmOfflineCondition_,"N",_xll.EVPRO($B$1,$H49,"STYLE"))</f>
        <v>N</v>
      </c>
      <c r="J49" s="122" t="str">
        <f>IF(_epmOfflineCondition_,"N",_xll.EVPRO($B$1,$H49,"CALC"))</f>
        <v>N</v>
      </c>
      <c r="K49" s="179" t="str">
        <f t="shared" si="12"/>
        <v/>
      </c>
      <c r="L49" s="90" t="str">
        <f>IF(_epmOfflineCondition_,"540300",_xll.EVPRO($B$1,H49,"JDEID"))</f>
        <v>540300</v>
      </c>
      <c r="M49" s="90" t="str">
        <f>IF(_epmOfflineCondition_,"306038",IF(AND(I49="N",J49="N"),_xll.EVPRO($B$1,H49,"PSFTID"),""))</f>
        <v>306038</v>
      </c>
      <c r="N49" s="90" t="str">
        <f>IF(_epmOfflineCondition_,"Sundries COS",IF(_xll.EVDES(H49,$B$1)="#NODATA","",_xll.EVDES(H49,$B$1)))</f>
        <v>Sundries COS</v>
      </c>
      <c r="O49" s="217"/>
      <c r="P49" s="217"/>
      <c r="Q49" s="217"/>
      <c r="R49" s="217"/>
      <c r="S49" s="217"/>
      <c r="T49" s="217"/>
      <c r="U49" s="217"/>
      <c r="V49" s="217"/>
      <c r="W49" s="217"/>
      <c r="X49" s="217"/>
      <c r="Y49" s="217"/>
      <c r="Z49" s="217"/>
      <c r="AA49" s="217">
        <f t="shared" si="13"/>
        <v>0</v>
      </c>
      <c r="AB49" s="219" t="str">
        <f>IF(_epmOfflineCondition_,"",IF(AA49=0,"",IFERROR(AA49/_xll.EVGTS($B$1,1,_xll.EVPRO($B$1,$H49,"COSBASIS"),$B$3,$B$5,$B$6,$B$7,$B$9,AA$16,AA$17,AA$11),"")))</f>
        <v/>
      </c>
      <c r="AC49" s="140"/>
      <c r="AD49" s="217"/>
      <c r="AE49" s="219" t="str">
        <f>IF(_epmOfflineCondition_,"",IF(AD49=0,"",IFERROR(AD49/_xll.EVGTS($B$1,1,_xll.EVPRO($B$1,$H49,"COSBASIS"),$B$3,$B$5,$B$6,$B$7,$B$9,AD$16,AD$17,AD$18),"")))</f>
        <v/>
      </c>
      <c r="AF49" s="220">
        <f t="shared" si="14"/>
        <v>0</v>
      </c>
      <c r="AG49" s="217"/>
      <c r="AH49" s="219" t="str">
        <f>IF(_epmOfflineCondition_,"",IF(AG49=0,"",IFERROR(AG49/_xll.EVGTS($B$1,1,_xll.EVPRO($B$1,$H49,"COSBASIS"),$B$3,$B$5,$B$6,$B$7,$B$9,AG$16,AG$17,AG$18),"")))</f>
        <v/>
      </c>
      <c r="AI49" s="220">
        <f t="shared" si="15"/>
        <v>0</v>
      </c>
      <c r="AJ49" s="440">
        <f t="shared" si="16"/>
        <v>0</v>
      </c>
      <c r="AK49" s="441">
        <f t="shared" si="17"/>
        <v>0</v>
      </c>
      <c r="AL49" s="442">
        <f t="shared" si="18"/>
        <v>0</v>
      </c>
      <c r="AM49" s="443">
        <f t="shared" si="19"/>
        <v>0</v>
      </c>
      <c r="AN49" s="444">
        <f t="shared" si="20"/>
        <v>0</v>
      </c>
      <c r="AO49" s="11"/>
    </row>
    <row r="50" spans="1:41" x14ac:dyDescent="0.35">
      <c r="A50" s="65" t="s">
        <v>7</v>
      </c>
      <c r="B50" s="66" t="str">
        <f>IF(_epmOfflineCondition_,"'Retail'!$A$64:$F$67",_xll.EVRNG(A64:F67))</f>
        <v>'Retail'!$A$64:$F$67</v>
      </c>
      <c r="C50" s="11"/>
      <c r="D50" s="11"/>
      <c r="E50" s="11"/>
      <c r="F50" s="384"/>
      <c r="G50" s="11"/>
      <c r="H50" s="88" t="s">
        <v>400</v>
      </c>
      <c r="I50" s="122" t="str">
        <f>IF(_epmOfflineCondition_,"N",_xll.EVPRO($B$1,$H50,"STYLE"))</f>
        <v>N</v>
      </c>
      <c r="J50" s="122" t="str">
        <f>IF(_epmOfflineCondition_,"N",_xll.EVPRO($B$1,$H50,"CALC"))</f>
        <v>N</v>
      </c>
      <c r="K50" s="179" t="str">
        <f t="shared" si="12"/>
        <v/>
      </c>
      <c r="L50" s="90" t="str">
        <f>IF(_epmOfflineCondition_,"540400",_xll.EVPRO($B$1,H50,"JDEID"))</f>
        <v>540400</v>
      </c>
      <c r="M50" s="90" t="str">
        <f>IF(_epmOfflineCondition_,"306039",IF(AND(I50="N",J50="N"),_xll.EVPRO($B$1,H50,"PSFTID"),""))</f>
        <v>306039</v>
      </c>
      <c r="N50" s="90" t="str">
        <f>IF(_epmOfflineCondition_,"Souvenir &amp; Gifts COS",IF(_xll.EVDES(H50,$B$1)="#NODATA","",_xll.EVDES(H50,$B$1)))</f>
        <v>Souvenir &amp; Gifts COS</v>
      </c>
      <c r="O50" s="217"/>
      <c r="P50" s="217"/>
      <c r="Q50" s="217"/>
      <c r="R50" s="217"/>
      <c r="S50" s="217"/>
      <c r="T50" s="217"/>
      <c r="U50" s="217"/>
      <c r="V50" s="217"/>
      <c r="W50" s="217"/>
      <c r="X50" s="217"/>
      <c r="Y50" s="217"/>
      <c r="Z50" s="217"/>
      <c r="AA50" s="217">
        <f t="shared" si="13"/>
        <v>0</v>
      </c>
      <c r="AB50" s="219" t="str">
        <f>IF(_epmOfflineCondition_,"",IF(AA50=0,"",IFERROR(AA50/_xll.EVGTS($B$1,1,_xll.EVPRO($B$1,$H50,"COSBASIS"),$B$3,$B$5,$B$6,$B$7,$B$9,AA$16,AA$17,AA$11),"")))</f>
        <v/>
      </c>
      <c r="AC50" s="140"/>
      <c r="AD50" s="217"/>
      <c r="AE50" s="219" t="str">
        <f>IF(_epmOfflineCondition_,"",IF(AD50=0,"",IFERROR(AD50/_xll.EVGTS($B$1,1,_xll.EVPRO($B$1,$H50,"COSBASIS"),$B$3,$B$5,$B$6,$B$7,$B$9,AD$16,AD$17,AD$18),"")))</f>
        <v/>
      </c>
      <c r="AF50" s="220">
        <f t="shared" si="14"/>
        <v>0</v>
      </c>
      <c r="AG50" s="217"/>
      <c r="AH50" s="219" t="str">
        <f>IF(_epmOfflineCondition_,"",IF(AG50=0,"",IFERROR(AG50/_xll.EVGTS($B$1,1,_xll.EVPRO($B$1,$H50,"COSBASIS"),$B$3,$B$5,$B$6,$B$7,$B$9,AG$16,AG$17,AG$18),"")))</f>
        <v/>
      </c>
      <c r="AI50" s="220">
        <f t="shared" si="15"/>
        <v>0</v>
      </c>
      <c r="AJ50" s="440">
        <f t="shared" si="16"/>
        <v>0</v>
      </c>
      <c r="AK50" s="441">
        <f t="shared" si="17"/>
        <v>0</v>
      </c>
      <c r="AL50" s="442">
        <f t="shared" si="18"/>
        <v>0</v>
      </c>
      <c r="AM50" s="443">
        <f t="shared" si="19"/>
        <v>0</v>
      </c>
      <c r="AN50" s="444">
        <f t="shared" si="20"/>
        <v>0</v>
      </c>
      <c r="AO50" s="11"/>
    </row>
    <row r="51" spans="1:41" x14ac:dyDescent="0.35">
      <c r="A51" s="65" t="s">
        <v>47</v>
      </c>
      <c r="B51" s="66" t="str">
        <f>IF(_epmOfflineCondition_,"'Retail'!$A$115:$B$136",_xll.EVRNG($A$115:$B$136))</f>
        <v>'Retail'!$A$115:$B$136</v>
      </c>
      <c r="C51" s="11"/>
      <c r="D51" s="11"/>
      <c r="E51" s="11"/>
      <c r="F51" s="11"/>
      <c r="G51" s="11"/>
      <c r="H51" s="88" t="s">
        <v>401</v>
      </c>
      <c r="I51" s="122" t="str">
        <f>IF(_epmOfflineCondition_,"N",_xll.EVPRO($B$1,$H51,"STYLE"))</f>
        <v>N</v>
      </c>
      <c r="J51" s="122" t="str">
        <f>IF(_epmOfflineCondition_,"N",_xll.EVPRO($B$1,$H51,"CALC"))</f>
        <v>N</v>
      </c>
      <c r="K51" s="179" t="str">
        <f t="shared" si="12"/>
        <v/>
      </c>
      <c r="L51" s="90" t="str">
        <f>IF(_epmOfflineCondition_,"540500",_xll.EVPRO($B$1,H51,"JDEID"))</f>
        <v>540500</v>
      </c>
      <c r="M51" s="90" t="str">
        <f>IF(_epmOfflineCondition_,"306055",IF(AND(I51="N",J51="N"),_xll.EVPRO($B$1,H51,"PSFTID"),""))</f>
        <v>306055</v>
      </c>
      <c r="N51" s="90" t="str">
        <f>IF(_epmOfflineCondition_,"Stationary &amp; Books COS",IF(_xll.EVDES(H51,$B$1)="#NODATA","",_xll.EVDES(H51,$B$1)))</f>
        <v>Stationary &amp; Books COS</v>
      </c>
      <c r="O51" s="217"/>
      <c r="P51" s="217"/>
      <c r="Q51" s="217"/>
      <c r="R51" s="217"/>
      <c r="S51" s="217"/>
      <c r="T51" s="217"/>
      <c r="U51" s="217"/>
      <c r="V51" s="217"/>
      <c r="W51" s="217"/>
      <c r="X51" s="217"/>
      <c r="Y51" s="217"/>
      <c r="Z51" s="217"/>
      <c r="AA51" s="217">
        <f t="shared" si="13"/>
        <v>0</v>
      </c>
      <c r="AB51" s="219" t="str">
        <f>IF(_epmOfflineCondition_,"",IF(AA51=0,"",IFERROR(AA51/_xll.EVGTS($B$1,1,_xll.EVPRO($B$1,$H51,"COSBASIS"),$B$3,$B$5,$B$6,$B$7,$B$9,AA$16,AA$17,AA$11),"")))</f>
        <v/>
      </c>
      <c r="AC51" s="140"/>
      <c r="AD51" s="217"/>
      <c r="AE51" s="219" t="str">
        <f>IF(_epmOfflineCondition_,"",IF(AD51=0,"",IFERROR(AD51/_xll.EVGTS($B$1,1,_xll.EVPRO($B$1,$H51,"COSBASIS"),$B$3,$B$5,$B$6,$B$7,$B$9,AD$16,AD$17,AD$18),"")))</f>
        <v/>
      </c>
      <c r="AF51" s="220">
        <f t="shared" si="14"/>
        <v>0</v>
      </c>
      <c r="AG51" s="217"/>
      <c r="AH51" s="219" t="str">
        <f>IF(_epmOfflineCondition_,"",IF(AG51=0,"",IFERROR(AG51/_xll.EVGTS($B$1,1,_xll.EVPRO($B$1,$H51,"COSBASIS"),$B$3,$B$5,$B$6,$B$7,$B$9,AG$16,AG$17,AG$18),"")))</f>
        <v/>
      </c>
      <c r="AI51" s="220">
        <f t="shared" si="15"/>
        <v>0</v>
      </c>
      <c r="AJ51" s="440">
        <f t="shared" si="16"/>
        <v>0</v>
      </c>
      <c r="AK51" s="441">
        <f t="shared" si="17"/>
        <v>0</v>
      </c>
      <c r="AL51" s="442">
        <f t="shared" si="18"/>
        <v>0</v>
      </c>
      <c r="AM51" s="443">
        <f t="shared" si="19"/>
        <v>0</v>
      </c>
      <c r="AN51" s="444">
        <f t="shared" si="20"/>
        <v>0</v>
      </c>
      <c r="AO51" s="11"/>
    </row>
    <row r="52" spans="1:41" x14ac:dyDescent="0.35">
      <c r="A52" s="65" t="s">
        <v>8</v>
      </c>
      <c r="B52" s="66"/>
      <c r="C52" s="11"/>
      <c r="D52" s="11"/>
      <c r="E52" s="11"/>
      <c r="F52" s="11"/>
      <c r="G52" s="11"/>
      <c r="H52" s="88" t="s">
        <v>402</v>
      </c>
      <c r="I52" s="122" t="str">
        <f>IF(_epmOfflineCondition_,"N",_xll.EVPRO($B$1,$H52,"STYLE"))</f>
        <v>N</v>
      </c>
      <c r="J52" s="122" t="str">
        <f>IF(_epmOfflineCondition_,"N",_xll.EVPRO($B$1,$H52,"CALC"))</f>
        <v>N</v>
      </c>
      <c r="K52" s="179" t="str">
        <f t="shared" si="12"/>
        <v/>
      </c>
      <c r="L52" s="90" t="str">
        <f>IF(_epmOfflineCondition_,"540600",_xll.EVPRO($B$1,H52,"JDEID"))</f>
        <v>540600</v>
      </c>
      <c r="M52" s="90" t="str">
        <f>IF(_epmOfflineCondition_,"306055",IF(AND(I52="N",J52="N"),_xll.EVPRO($B$1,H52,"PSFTID"),""))</f>
        <v>306055</v>
      </c>
      <c r="N52" s="90" t="str">
        <f>IF(_epmOfflineCondition_,"Newspaper &amp; Magazines COS",IF(_xll.EVDES(H52,$B$1)="#NODATA","",_xll.EVDES(H52,$B$1)))</f>
        <v>Newspaper &amp; Magazines COS</v>
      </c>
      <c r="O52" s="217"/>
      <c r="P52" s="217"/>
      <c r="Q52" s="217"/>
      <c r="R52" s="217"/>
      <c r="S52" s="217"/>
      <c r="T52" s="217"/>
      <c r="U52" s="217"/>
      <c r="V52" s="217"/>
      <c r="W52" s="217"/>
      <c r="X52" s="217"/>
      <c r="Y52" s="217"/>
      <c r="Z52" s="217"/>
      <c r="AA52" s="217">
        <f t="shared" si="13"/>
        <v>0</v>
      </c>
      <c r="AB52" s="219" t="str">
        <f>IF(_epmOfflineCondition_,"",IF(AA52=0,"",IFERROR(AA52/_xll.EVGTS($B$1,1,_xll.EVPRO($B$1,$H52,"COSBASIS"),$B$3,$B$5,$B$6,$B$7,$B$9,AA$16,AA$17,AA$11),"")))</f>
        <v/>
      </c>
      <c r="AC52" s="140"/>
      <c r="AD52" s="217"/>
      <c r="AE52" s="219" t="str">
        <f>IF(_epmOfflineCondition_,"",IF(AD52=0,"",IFERROR(AD52/_xll.EVGTS($B$1,1,_xll.EVPRO($B$1,$H52,"COSBASIS"),$B$3,$B$5,$B$6,$B$7,$B$9,AD$16,AD$17,AD$18),"")))</f>
        <v/>
      </c>
      <c r="AF52" s="220">
        <f t="shared" si="14"/>
        <v>0</v>
      </c>
      <c r="AG52" s="217"/>
      <c r="AH52" s="219" t="str">
        <f>IF(_epmOfflineCondition_,"",IF(AG52=0,"",IFERROR(AG52/_xll.EVGTS($B$1,1,_xll.EVPRO($B$1,$H52,"COSBASIS"),$B$3,$B$5,$B$6,$B$7,$B$9,AG$16,AG$17,AG$18),"")))</f>
        <v/>
      </c>
      <c r="AI52" s="220">
        <f t="shared" si="15"/>
        <v>0</v>
      </c>
      <c r="AJ52" s="440">
        <f t="shared" si="16"/>
        <v>0</v>
      </c>
      <c r="AK52" s="441">
        <f t="shared" si="17"/>
        <v>0</v>
      </c>
      <c r="AL52" s="442">
        <f t="shared" si="18"/>
        <v>0</v>
      </c>
      <c r="AM52" s="443">
        <f t="shared" si="19"/>
        <v>0</v>
      </c>
      <c r="AN52" s="444">
        <f t="shared" si="20"/>
        <v>0</v>
      </c>
      <c r="AO52" s="11"/>
    </row>
    <row r="53" spans="1:41" x14ac:dyDescent="0.35">
      <c r="A53" s="11"/>
      <c r="B53" s="11"/>
      <c r="C53" s="11"/>
      <c r="D53" s="11"/>
      <c r="E53" s="11"/>
      <c r="F53" s="11"/>
      <c r="G53" s="11"/>
      <c r="H53" s="88" t="s">
        <v>403</v>
      </c>
      <c r="I53" s="122" t="str">
        <f>IF(_epmOfflineCondition_,"N",_xll.EVPRO($B$1,$H53,"STYLE"))</f>
        <v>N</v>
      </c>
      <c r="J53" s="122" t="str">
        <f>IF(_epmOfflineCondition_,"N",_xll.EVPRO($B$1,$H53,"CALC"))</f>
        <v>N</v>
      </c>
      <c r="K53" s="179" t="str">
        <f t="shared" si="12"/>
        <v/>
      </c>
      <c r="L53" s="90" t="str">
        <f>IF(_epmOfflineCondition_,"540700",_xll.EVPRO($B$1,H53,"JDEID"))</f>
        <v>540700</v>
      </c>
      <c r="M53" s="90" t="str">
        <f>IF(_epmOfflineCondition_,"306055",IF(AND(I53="N",J53="N"),_xll.EVPRO($B$1,H53,"PSFTID"),""))</f>
        <v>306055</v>
      </c>
      <c r="N53" s="90" t="str">
        <f>IF(_epmOfflineCondition_,"Youth Revenue COS",IF(_xll.EVDES(H53,$B$1)="#NODATA","",_xll.EVDES(H53,$B$1)))</f>
        <v>Youth Revenue COS</v>
      </c>
      <c r="O53" s="217"/>
      <c r="P53" s="217"/>
      <c r="Q53" s="217"/>
      <c r="R53" s="217"/>
      <c r="S53" s="217"/>
      <c r="T53" s="217"/>
      <c r="U53" s="217"/>
      <c r="V53" s="217"/>
      <c r="W53" s="217"/>
      <c r="X53" s="217"/>
      <c r="Y53" s="217"/>
      <c r="Z53" s="217"/>
      <c r="AA53" s="217">
        <f t="shared" si="13"/>
        <v>0</v>
      </c>
      <c r="AB53" s="219" t="str">
        <f>IF(_epmOfflineCondition_,"",IF(AA53=0,"",IFERROR(AA53/_xll.EVGTS($B$1,1,_xll.EVPRO($B$1,$H53,"COSBASIS"),$B$3,$B$5,$B$6,$B$7,$B$9,AA$16,AA$17,AA$11),"")))</f>
        <v/>
      </c>
      <c r="AC53" s="140"/>
      <c r="AD53" s="217"/>
      <c r="AE53" s="219" t="str">
        <f>IF(_epmOfflineCondition_,"",IF(AD53=0,"",IFERROR(AD53/_xll.EVGTS($B$1,1,_xll.EVPRO($B$1,$H53,"COSBASIS"),$B$3,$B$5,$B$6,$B$7,$B$9,AD$16,AD$17,AD$18),"")))</f>
        <v/>
      </c>
      <c r="AF53" s="220">
        <f t="shared" si="14"/>
        <v>0</v>
      </c>
      <c r="AG53" s="217"/>
      <c r="AH53" s="219" t="str">
        <f>IF(_epmOfflineCondition_,"",IF(AG53=0,"",IFERROR(AG53/_xll.EVGTS($B$1,1,_xll.EVPRO($B$1,$H53,"COSBASIS"),$B$3,$B$5,$B$6,$B$7,$B$9,AG$16,AG$17,AG$18),"")))</f>
        <v/>
      </c>
      <c r="AI53" s="220">
        <f t="shared" si="15"/>
        <v>0</v>
      </c>
      <c r="AJ53" s="440">
        <f t="shared" si="16"/>
        <v>0</v>
      </c>
      <c r="AK53" s="441">
        <f t="shared" si="17"/>
        <v>0</v>
      </c>
      <c r="AL53" s="442">
        <f t="shared" si="18"/>
        <v>0</v>
      </c>
      <c r="AM53" s="443">
        <f t="shared" si="19"/>
        <v>0</v>
      </c>
      <c r="AN53" s="444">
        <f t="shared" si="20"/>
        <v>0</v>
      </c>
      <c r="AO53" s="11"/>
    </row>
    <row r="54" spans="1:41" x14ac:dyDescent="0.35">
      <c r="A54" s="62" t="s">
        <v>9</v>
      </c>
      <c r="B54" s="63" t="s">
        <v>10</v>
      </c>
      <c r="C54" s="11"/>
      <c r="D54" s="11"/>
      <c r="E54" s="11"/>
      <c r="F54" s="11"/>
      <c r="G54" s="11"/>
      <c r="H54" s="88" t="s">
        <v>404</v>
      </c>
      <c r="I54" s="122" t="str">
        <f>IF(_epmOfflineCondition_,"N",_xll.EVPRO($B$1,$H54,"STYLE"))</f>
        <v>N</v>
      </c>
      <c r="J54" s="122" t="str">
        <f>IF(_epmOfflineCondition_,"N",_xll.EVPRO($B$1,$H54,"CALC"))</f>
        <v>N</v>
      </c>
      <c r="K54" s="179" t="str">
        <f t="shared" si="12"/>
        <v/>
      </c>
      <c r="L54" s="90" t="str">
        <f>IF(_epmOfflineCondition_,"540800",_xll.EVPRO($B$1,H54,"JDEID"))</f>
        <v>540800</v>
      </c>
      <c r="M54" s="90" t="str">
        <f>IF(_epmOfflineCondition_,"304044",IF(AND(I54="N",J54="N"),_xll.EVPRO($B$1,H54,"PSFTID"),""))</f>
        <v>304044</v>
      </c>
      <c r="N54" s="90" t="str">
        <f>IF(_epmOfflineCondition_,"Food/Candy Revenue COS",IF(_xll.EVDES(H54,$B$1)="#NODATA","",_xll.EVDES(H54,$B$1)))</f>
        <v>Food/Candy Revenue COS</v>
      </c>
      <c r="O54" s="217"/>
      <c r="P54" s="217"/>
      <c r="Q54" s="217"/>
      <c r="R54" s="217"/>
      <c r="S54" s="217"/>
      <c r="T54" s="217"/>
      <c r="U54" s="217"/>
      <c r="V54" s="217"/>
      <c r="W54" s="217"/>
      <c r="X54" s="217"/>
      <c r="Y54" s="217"/>
      <c r="Z54" s="217"/>
      <c r="AA54" s="217">
        <f t="shared" si="13"/>
        <v>0</v>
      </c>
      <c r="AB54" s="219" t="str">
        <f>IF(_epmOfflineCondition_,"",IF(AA54=0,"",IFERROR(AA54/_xll.EVGTS($B$1,1,_xll.EVPRO($B$1,$H54,"COSBASIS"),$B$3,$B$5,$B$6,$B$7,$B$9,AA$16,AA$17,AA$11),"")))</f>
        <v/>
      </c>
      <c r="AC54" s="140"/>
      <c r="AD54" s="217"/>
      <c r="AE54" s="219" t="str">
        <f>IF(_epmOfflineCondition_,"",IF(AD54=0,"",IFERROR(AD54/_xll.EVGTS($B$1,1,_xll.EVPRO($B$1,$H54,"COSBASIS"),$B$3,$B$5,$B$6,$B$7,$B$9,AD$16,AD$17,AD$18),"")))</f>
        <v/>
      </c>
      <c r="AF54" s="220">
        <f t="shared" si="14"/>
        <v>0</v>
      </c>
      <c r="AG54" s="217"/>
      <c r="AH54" s="219" t="str">
        <f>IF(_epmOfflineCondition_,"",IF(AG54=0,"",IFERROR(AG54/_xll.EVGTS($B$1,1,_xll.EVPRO($B$1,$H54,"COSBASIS"),$B$3,$B$5,$B$6,$B$7,$B$9,AG$16,AG$17,AG$18),"")))</f>
        <v/>
      </c>
      <c r="AI54" s="220">
        <f t="shared" si="15"/>
        <v>0</v>
      </c>
      <c r="AJ54" s="440">
        <f t="shared" si="16"/>
        <v>0</v>
      </c>
      <c r="AK54" s="441">
        <f t="shared" si="17"/>
        <v>0</v>
      </c>
      <c r="AL54" s="442">
        <f t="shared" si="18"/>
        <v>0</v>
      </c>
      <c r="AM54" s="443">
        <f t="shared" si="19"/>
        <v>0</v>
      </c>
      <c r="AN54" s="444">
        <f t="shared" si="20"/>
        <v>0</v>
      </c>
      <c r="AO54" s="11"/>
    </row>
    <row r="55" spans="1:41" x14ac:dyDescent="0.35">
      <c r="A55" s="65" t="s">
        <v>11</v>
      </c>
      <c r="B55" s="66" t="s">
        <v>21</v>
      </c>
      <c r="C55" s="11"/>
      <c r="D55" s="11"/>
      <c r="E55" s="11"/>
      <c r="F55" s="11"/>
      <c r="G55" s="11"/>
      <c r="H55" s="88" t="s">
        <v>405</v>
      </c>
      <c r="I55" s="122" t="str">
        <f>IF(_epmOfflineCondition_,"N",_xll.EVPRO($B$1,$H55,"STYLE"))</f>
        <v>N</v>
      </c>
      <c r="J55" s="122" t="str">
        <f>IF(_epmOfflineCondition_,"N",_xll.EVPRO($B$1,$H55,"CALC"))</f>
        <v>N</v>
      </c>
      <c r="K55" s="179" t="str">
        <f t="shared" si="12"/>
        <v/>
      </c>
      <c r="L55" s="90" t="str">
        <f>IF(_epmOfflineCondition_,"540900",_xll.EVPRO($B$1,H55,"JDEID"))</f>
        <v>540900</v>
      </c>
      <c r="M55" s="90" t="str">
        <f>IF(_epmOfflineCondition_,"306099",IF(AND(I55="N",J55="N"),_xll.EVPRO($B$1,H55,"PSFTID"),""))</f>
        <v>306099</v>
      </c>
      <c r="N55" s="90" t="str">
        <f>IF(_epmOfflineCondition_,"Tobacco Revenue COS",IF(_xll.EVDES(H55,$B$1)="#NODATA","",_xll.EVDES(H55,$B$1)))</f>
        <v>Tobacco Revenue COS</v>
      </c>
      <c r="O55" s="217"/>
      <c r="P55" s="217"/>
      <c r="Q55" s="217"/>
      <c r="R55" s="217"/>
      <c r="S55" s="217"/>
      <c r="T55" s="217"/>
      <c r="U55" s="217"/>
      <c r="V55" s="217"/>
      <c r="W55" s="217"/>
      <c r="X55" s="217"/>
      <c r="Y55" s="217"/>
      <c r="Z55" s="217"/>
      <c r="AA55" s="217">
        <f t="shared" si="13"/>
        <v>0</v>
      </c>
      <c r="AB55" s="219" t="str">
        <f>IF(_epmOfflineCondition_,"",IF(AA55=0,"",IFERROR(AA55/_xll.EVGTS($B$1,1,_xll.EVPRO($B$1,$H55,"COSBASIS"),$B$3,$B$5,$B$6,$B$7,$B$9,AA$16,AA$17,AA$11),"")))</f>
        <v/>
      </c>
      <c r="AC55" s="140"/>
      <c r="AD55" s="217"/>
      <c r="AE55" s="219" t="str">
        <f>IF(_epmOfflineCondition_,"",IF(AD55=0,"",IFERROR(AD55/_xll.EVGTS($B$1,1,_xll.EVPRO($B$1,$H55,"COSBASIS"),$B$3,$B$5,$B$6,$B$7,$B$9,AD$16,AD$17,AD$18),"")))</f>
        <v/>
      </c>
      <c r="AF55" s="220">
        <f t="shared" si="14"/>
        <v>0</v>
      </c>
      <c r="AG55" s="217"/>
      <c r="AH55" s="219" t="str">
        <f>IF(_epmOfflineCondition_,"",IF(AG55=0,"",IFERROR(AG55/_xll.EVGTS($B$1,1,_xll.EVPRO($B$1,$H55,"COSBASIS"),$B$3,$B$5,$B$6,$B$7,$B$9,AG$16,AG$17,AG$18),"")))</f>
        <v/>
      </c>
      <c r="AI55" s="220">
        <f t="shared" si="15"/>
        <v>0</v>
      </c>
      <c r="AJ55" s="449">
        <f t="shared" si="16"/>
        <v>0</v>
      </c>
      <c r="AK55" s="450">
        <f t="shared" si="17"/>
        <v>0</v>
      </c>
      <c r="AL55" s="451">
        <f t="shared" si="18"/>
        <v>0</v>
      </c>
      <c r="AM55" s="452">
        <f t="shared" si="19"/>
        <v>0</v>
      </c>
      <c r="AN55" s="453">
        <f t="shared" si="20"/>
        <v>0</v>
      </c>
      <c r="AO55" s="11"/>
    </row>
    <row r="56" spans="1:41" x14ac:dyDescent="0.35">
      <c r="A56" s="65" t="s">
        <v>12</v>
      </c>
      <c r="B56" s="66" t="s">
        <v>22</v>
      </c>
      <c r="C56" s="11"/>
      <c r="D56" s="11"/>
      <c r="E56" s="11"/>
      <c r="F56" s="11"/>
      <c r="G56" s="76"/>
      <c r="H56" s="88" t="s">
        <v>289</v>
      </c>
      <c r="I56" s="188" t="str">
        <f>IF(_epmOfflineCondition_,"T3",_xll.EVPRO($B$1,$H56,"STYLE"))</f>
        <v>T3</v>
      </c>
      <c r="J56" s="188" t="str">
        <f>IF(_epmOfflineCondition_,"Y",_xll.EVPRO($B$1,$H56,"CALC"))</f>
        <v>Y</v>
      </c>
      <c r="K56" s="189" t="str">
        <f t="shared" si="12"/>
        <v/>
      </c>
      <c r="L56" s="190" t="str">
        <f>IF(_epmOfflineCondition_,"500001",_xll.EVPRO($B$1,H56,"JDEID"))</f>
        <v>500001</v>
      </c>
      <c r="M56" s="190" t="str">
        <f>IF(_epmOfflineCondition_,"",IF(AND(I56="N",J56="N"),_xll.EVPRO($B$1,H56,"PSFTID"),""))</f>
        <v/>
      </c>
      <c r="N56" s="190" t="str">
        <f>IF(_epmOfflineCondition_,"Total Cost of Sales",IF(_xll.EVDES(H56,$B$1)="#NODATA","",_xll.EVDES(H56,$B$1)))</f>
        <v>Total Cost of Sales</v>
      </c>
      <c r="O56" s="225"/>
      <c r="P56" s="225"/>
      <c r="Q56" s="225"/>
      <c r="R56" s="225"/>
      <c r="S56" s="225"/>
      <c r="T56" s="225"/>
      <c r="U56" s="225"/>
      <c r="V56" s="225"/>
      <c r="W56" s="225"/>
      <c r="X56" s="225"/>
      <c r="Y56" s="225"/>
      <c r="Z56" s="225"/>
      <c r="AA56" s="225">
        <f t="shared" si="13"/>
        <v>0</v>
      </c>
      <c r="AB56" s="226" t="str">
        <f>IF(_epmOfflineCondition_,"",IF(AA56=0,"",IFERROR(AA56/_xll.EVGTS($B$1,1,_xll.EVPRO($B$1,$H56,"COSBASIS"),$B$3,$B$5,$B$6,$B$7,$B$9,AA$16,AA$17,AA$11),"")))</f>
        <v/>
      </c>
      <c r="AC56" s="227"/>
      <c r="AD56" s="225"/>
      <c r="AE56" s="226" t="str">
        <f>IF(_epmOfflineCondition_,"",IF(AD56=0,"",IFERROR(AD56/_xll.EVGTS($B$1,1,_xll.EVPRO($B$1,$H56,"COSBASIS"),$B$3,$B$5,$B$6,$B$7,$B$9,AD$16,AD$17,AD$18),"")))</f>
        <v/>
      </c>
      <c r="AF56" s="228">
        <f t="shared" si="14"/>
        <v>0</v>
      </c>
      <c r="AG56" s="225"/>
      <c r="AH56" s="226" t="str">
        <f>IF(_epmOfflineCondition_,"",IF(AG56=0,"",IFERROR(AG56/_xll.EVGTS($B$1,1,_xll.EVPRO($B$1,$H56,"COSBASIS"),$B$3,$B$5,$B$6,$B$7,$B$9,AG$16,AG$17,AG$18),"")))</f>
        <v/>
      </c>
      <c r="AI56" s="228">
        <f t="shared" si="15"/>
        <v>0</v>
      </c>
      <c r="AJ56" s="229">
        <f t="shared" si="16"/>
        <v>0</v>
      </c>
      <c r="AK56" s="230">
        <f t="shared" si="17"/>
        <v>0</v>
      </c>
      <c r="AL56" s="232">
        <f t="shared" si="18"/>
        <v>0</v>
      </c>
      <c r="AM56" s="427">
        <f t="shared" si="19"/>
        <v>0</v>
      </c>
      <c r="AN56" s="456">
        <f t="shared" si="20"/>
        <v>0</v>
      </c>
      <c r="AO56" s="11"/>
    </row>
    <row r="57" spans="1:41" x14ac:dyDescent="0.35">
      <c r="A57" s="65" t="s">
        <v>13</v>
      </c>
      <c r="B57" s="66" t="str">
        <f>"DEP(540000) AND "&amp;$E$6&amp;"=Y,500001"</f>
        <v>DEP(540000) AND D1136=Y,500001</v>
      </c>
      <c r="C57" s="11"/>
      <c r="D57" s="11"/>
      <c r="E57" s="11"/>
      <c r="F57" s="11"/>
      <c r="G57" s="11"/>
      <c r="H57" s="185" t="s">
        <v>175</v>
      </c>
      <c r="I57" s="89" t="str">
        <f>IF(_epmOfflineCondition_,"B1",_xll.EVPRO($B$1,$H57,"STYLE"))</f>
        <v>B1</v>
      </c>
      <c r="J57" s="89" t="str">
        <f>IF(_epmOfflineCondition_,"Y",_xll.EVPRO($B$1,$H57,"CALC"))</f>
        <v>Y</v>
      </c>
      <c r="K57" s="265" t="str">
        <f t="shared" si="12"/>
        <v/>
      </c>
      <c r="L57" s="265"/>
      <c r="M57" s="265"/>
      <c r="N57" s="106" t="str">
        <f>IF(_epmOfflineCondition_,"BLANKROW",IF(_xll.EVDES(H57,$B$1)="#NODATA","",_xll.EVDES(H57,$B$1)))</f>
        <v>BLANKROW</v>
      </c>
      <c r="O57" s="205"/>
      <c r="P57" s="205"/>
      <c r="Q57" s="205"/>
      <c r="R57" s="205"/>
      <c r="S57" s="205"/>
      <c r="T57" s="205"/>
      <c r="U57" s="205"/>
      <c r="V57" s="205"/>
      <c r="W57" s="205"/>
      <c r="X57" s="205"/>
      <c r="Y57" s="205"/>
      <c r="Z57" s="205"/>
      <c r="AA57" s="205"/>
      <c r="AB57" s="206" t="str">
        <f>IF(_epmOfflineCondition_,"",IF(O57=0,"",IFERROR(O57/_xll.EVGTS($B$1,1,INDEX($C$142:$C$165,MATCH($H57,$A$142:$A$165,0)),$B$3,$B$5,$B$6,$B$7,$B$9,O$16,O$17,O$18),"")))</f>
        <v/>
      </c>
      <c r="AC57" s="11"/>
      <c r="AD57" s="205"/>
      <c r="AE57" s="206" t="str">
        <f>IF(_epmOfflineCondition_,"",IF(AD57=0,"",IFERROR(AD57/_xll.EVGTS($B$1,1,INDEX($C$142:$C$165,MATCH($H57,$A$142:$A$165,0)),$B$3,$B$5,$B$6,$B$7,$B$9,AD$16,AD$17,AD$18),"")))</f>
        <v/>
      </c>
      <c r="AF57" s="207" t="str">
        <f t="shared" si="14"/>
        <v/>
      </c>
      <c r="AG57" s="205"/>
      <c r="AH57" s="206" t="str">
        <f>IF(_epmOfflineCondition_,"",IF(AG57=0,"",IFERROR(AG57/_xll.EVGTS($B$1,1,INDEX($C$142:$C$165,MATCH($H57,$A$142:$A$165,0)),$B$3,$B$5,$B$6,$B$7,$B$9,AG$16,AG$17,AG$18),"")))</f>
        <v/>
      </c>
      <c r="AI57" s="207" t="str">
        <f t="shared" si="15"/>
        <v/>
      </c>
      <c r="AJ57" s="11"/>
      <c r="AK57" s="11"/>
      <c r="AL57" s="11"/>
      <c r="AM57" s="11"/>
      <c r="AN57" s="11"/>
      <c r="AO57" s="11"/>
    </row>
    <row r="58" spans="1:41" x14ac:dyDescent="0.35">
      <c r="A58" s="65" t="s">
        <v>14</v>
      </c>
      <c r="B58" s="66"/>
      <c r="C58" s="11"/>
      <c r="D58" s="11"/>
      <c r="E58" s="11"/>
      <c r="F58" s="11"/>
      <c r="G58" s="11"/>
      <c r="H58" s="185" t="s">
        <v>292</v>
      </c>
      <c r="I58" s="89" t="str">
        <f>IF(_epmOfflineCondition_,"T3",_xll.EVPRO($B$1,$H58,"STYLE"))</f>
        <v>T3</v>
      </c>
      <c r="J58" s="89" t="str">
        <f>IF(_epmOfflineCondition_,"Y",_xll.EVPRO($B$1,$H58,"CALC"))</f>
        <v>Y</v>
      </c>
      <c r="K58" s="265" t="str">
        <f t="shared" si="12"/>
        <v/>
      </c>
      <c r="L58" s="265"/>
      <c r="M58" s="265"/>
      <c r="N58" s="106" t="str">
        <f>IF(_epmOfflineCondition_,"Gross Profit",IF(_xll.EVDES(H58,$B$1)="#NODATA","",_xll.EVDES(H58,$B$1)))</f>
        <v>Gross Profit</v>
      </c>
      <c r="O58" s="123">
        <f t="shared" ref="O58:Z58" si="21">SUMIF($H$34:$H$56,"400000",O34:O56)-SUMIF($H$34:$H$56,"500001",O34:O56)</f>
        <v>0</v>
      </c>
      <c r="P58" s="123">
        <f t="shared" si="21"/>
        <v>0</v>
      </c>
      <c r="Q58" s="123">
        <f t="shared" si="21"/>
        <v>0</v>
      </c>
      <c r="R58" s="123">
        <f t="shared" si="21"/>
        <v>0</v>
      </c>
      <c r="S58" s="123">
        <f t="shared" si="21"/>
        <v>0</v>
      </c>
      <c r="T58" s="123">
        <f t="shared" si="21"/>
        <v>0</v>
      </c>
      <c r="U58" s="123">
        <f t="shared" si="21"/>
        <v>0</v>
      </c>
      <c r="V58" s="123">
        <f t="shared" si="21"/>
        <v>0</v>
      </c>
      <c r="W58" s="123">
        <f t="shared" si="21"/>
        <v>0</v>
      </c>
      <c r="X58" s="123">
        <f t="shared" si="21"/>
        <v>0</v>
      </c>
      <c r="Y58" s="123">
        <f t="shared" si="21"/>
        <v>0</v>
      </c>
      <c r="Z58" s="123">
        <f t="shared" si="21"/>
        <v>0</v>
      </c>
      <c r="AA58" s="191">
        <f>IF($I58="B1","",SUM(O58:Z58))</f>
        <v>0</v>
      </c>
      <c r="AB58" s="192" t="str">
        <f>IF(AA58=0,"",IFERROR(AA58/AA$19,""))</f>
        <v/>
      </c>
      <c r="AC58" s="11"/>
      <c r="AD58" s="123">
        <f>SUMIF($H$34:$H$56,"400000",AD34:AD56)-SUMIF($H$34:$H$56,"500001",AD34:AD56)</f>
        <v>0</v>
      </c>
      <c r="AE58" s="192" t="str">
        <f>IF(AD58=0,"",IFERROR(AD58/AD$19,""))</f>
        <v/>
      </c>
      <c r="AF58" s="125">
        <f t="shared" si="14"/>
        <v>0</v>
      </c>
      <c r="AG58" s="123">
        <f>SUMIF($H$34:$H$56,"400000",AG34:AG56)-SUMIF($H$34:$H$56,"500001",AG34:AG56)</f>
        <v>0</v>
      </c>
      <c r="AH58" s="192" t="str">
        <f>IF(AG58=0,"",IFERROR(AG58/AG$19,""))</f>
        <v/>
      </c>
      <c r="AI58" s="125">
        <f t="shared" si="15"/>
        <v>0</v>
      </c>
      <c r="AJ58" s="388">
        <f>IFERROR(AA58/AA$20,0)</f>
        <v>0</v>
      </c>
      <c r="AK58" s="389">
        <f>IFERROR(AD58/AD$20,0)</f>
        <v>0</v>
      </c>
      <c r="AL58" s="390">
        <f>IFERROR(AG58/AG$20,0)</f>
        <v>0</v>
      </c>
      <c r="AM58" s="391">
        <f>+IFERROR(ROUND(($AB58-AE58)*100,2)&amp;" pts.",0)</f>
        <v>0</v>
      </c>
      <c r="AN58" s="544">
        <f>+IFERROR(ROUND(($AB58-AH58)*100,2)&amp;" pts.",0)</f>
        <v>0</v>
      </c>
      <c r="AO58" s="11"/>
    </row>
    <row r="59" spans="1:41" x14ac:dyDescent="0.35">
      <c r="A59" s="65" t="s">
        <v>15</v>
      </c>
      <c r="B59" s="66"/>
      <c r="C59" s="11"/>
      <c r="D59" s="11"/>
      <c r="E59" s="11"/>
      <c r="F59" s="11"/>
      <c r="G59" s="11"/>
      <c r="H59" s="11"/>
      <c r="I59" s="59"/>
      <c r="J59" s="59"/>
      <c r="K59" s="11"/>
      <c r="L59" s="11"/>
      <c r="M59" s="11"/>
      <c r="N59" s="11"/>
      <c r="O59" s="393"/>
      <c r="P59" s="394"/>
      <c r="Q59" s="394"/>
      <c r="R59" s="394"/>
      <c r="S59" s="394"/>
      <c r="T59" s="394"/>
      <c r="U59" s="394"/>
      <c r="V59" s="394"/>
      <c r="W59" s="394"/>
      <c r="X59" s="394"/>
      <c r="Y59" s="394"/>
      <c r="Z59" s="394"/>
      <c r="AA59" s="394"/>
      <c r="AB59" s="118"/>
      <c r="AC59" s="11"/>
      <c r="AD59" s="393"/>
      <c r="AE59" s="204"/>
      <c r="AF59" s="118"/>
      <c r="AG59" s="204"/>
      <c r="AH59" s="204"/>
      <c r="AI59" s="118"/>
      <c r="AJ59" s="11"/>
      <c r="AK59" s="11"/>
      <c r="AL59" s="11"/>
      <c r="AM59" s="11"/>
      <c r="AN59" s="11"/>
      <c r="AO59" s="11"/>
    </row>
    <row r="60" spans="1:41" x14ac:dyDescent="0.35">
      <c r="A60" s="65" t="s">
        <v>16</v>
      </c>
      <c r="B60" s="66"/>
      <c r="C60" s="11"/>
      <c r="D60" s="11"/>
      <c r="E60" s="11"/>
      <c r="F60" s="11"/>
      <c r="G60" s="11"/>
      <c r="H60" s="11" t="s">
        <v>73</v>
      </c>
      <c r="I60" s="59" t="str">
        <f>IF(_epmOfflineCondition_,"B1",_xll.EVPRO($B$1,$H60,"STYLE"))</f>
        <v>B1</v>
      </c>
      <c r="J60" s="59" t="str">
        <f>IF(_epmOfflineCondition_,"Y",_xll.EVPRO($B$1,$H60,"CALC"))</f>
        <v>Y</v>
      </c>
      <c r="K60" s="11"/>
      <c r="L60" s="11"/>
      <c r="M60" s="11"/>
      <c r="N60" s="105" t="str">
        <f>IF(_epmOfflineCondition_,"Labor &amp; Related Expenses",IF(_xll.EVDES(H60,$B$1)="#NODATA","",_xll.EVDES(H60,$B$1)))</f>
        <v>Labor &amp; Related Expenses</v>
      </c>
      <c r="O60" s="203"/>
      <c r="P60" s="204"/>
      <c r="Q60" s="204"/>
      <c r="R60" s="204"/>
      <c r="S60" s="204"/>
      <c r="T60" s="204"/>
      <c r="U60" s="204"/>
      <c r="V60" s="204"/>
      <c r="W60" s="204"/>
      <c r="X60" s="204"/>
      <c r="Y60" s="204"/>
      <c r="Z60" s="204"/>
      <c r="AA60" s="204"/>
      <c r="AB60" s="410"/>
      <c r="AC60" s="11"/>
      <c r="AD60" s="411"/>
      <c r="AE60" s="412"/>
      <c r="AF60" s="118"/>
      <c r="AG60" s="204"/>
      <c r="AH60" s="412"/>
      <c r="AI60" s="118"/>
      <c r="AJ60" s="11"/>
      <c r="AK60" s="11"/>
      <c r="AL60" s="11"/>
      <c r="AM60" s="11"/>
      <c r="AN60" s="11"/>
      <c r="AO60" s="11"/>
    </row>
    <row r="61" spans="1:41" x14ac:dyDescent="0.35">
      <c r="A61" s="65" t="s">
        <v>17</v>
      </c>
      <c r="B61" s="66"/>
      <c r="C61" s="11"/>
      <c r="D61" s="11"/>
      <c r="E61" s="11"/>
      <c r="F61" s="11"/>
      <c r="G61" s="11"/>
      <c r="H61" s="11" t="s">
        <v>74</v>
      </c>
      <c r="I61" s="59" t="str">
        <f>IF(_epmOfflineCondition_,"B1",_xll.EVPRO($B$1,$H61,"STYLE"))</f>
        <v>B1</v>
      </c>
      <c r="J61" s="59" t="str">
        <f>IF(_epmOfflineCondition_,"Y",_xll.EVPRO($B$1,$H61,"CALC"))</f>
        <v>Y</v>
      </c>
      <c r="K61" s="11"/>
      <c r="L61" s="11"/>
      <c r="M61" s="11"/>
      <c r="N61" s="53" t="str">
        <f>IF(_epmOfflineCondition_,"Salaries &amp; Wages",IF(_xll.EVDES(H61,$B$1)="#NODATA","",_xll.EVDES(H61,$B$1)))</f>
        <v>Salaries &amp; Wages</v>
      </c>
      <c r="O61" s="119"/>
      <c r="P61" s="120"/>
      <c r="Q61" s="120"/>
      <c r="R61" s="120"/>
      <c r="S61" s="120"/>
      <c r="T61" s="120"/>
      <c r="U61" s="120"/>
      <c r="V61" s="120"/>
      <c r="W61" s="120"/>
      <c r="X61" s="120"/>
      <c r="Y61" s="120"/>
      <c r="Z61" s="120"/>
      <c r="AA61" s="120"/>
      <c r="AB61" s="121"/>
      <c r="AC61" s="11"/>
      <c r="AD61" s="119"/>
      <c r="AE61" s="120"/>
      <c r="AF61" s="121"/>
      <c r="AG61" s="120"/>
      <c r="AH61" s="120"/>
      <c r="AI61" s="121"/>
      <c r="AJ61" s="11"/>
      <c r="AK61" s="11"/>
      <c r="AL61" s="11"/>
      <c r="AM61" s="11"/>
      <c r="AN61" s="11"/>
      <c r="AO61" s="11"/>
    </row>
    <row r="62" spans="1:41" hidden="1" x14ac:dyDescent="0.35">
      <c r="A62" s="11"/>
      <c r="B62" s="11"/>
      <c r="C62" s="11"/>
      <c r="D62" s="11"/>
      <c r="E62" s="11"/>
      <c r="F62" s="11"/>
      <c r="G62" s="11"/>
      <c r="H62" s="88" t="s">
        <v>667</v>
      </c>
      <c r="I62" s="122" t="str">
        <f>IF(_epmOfflineCondition_,"",_xll.EVPRO($B$1,$H62,"STYLE"))</f>
        <v/>
      </c>
      <c r="J62" s="122" t="str">
        <f>IF(_epmOfflineCondition_,"",_xll.EVPRO($B$1,$H62,"CALC"))</f>
        <v/>
      </c>
      <c r="K62" s="179" t="str">
        <f>IF(AND(I62&gt;="T3"),"&gt;","")</f>
        <v/>
      </c>
      <c r="L62" s="90" t="str">
        <f>IF(_epmOfflineCondition_,"",_xll.EVPRO($B$1,H62,"JDEID"))</f>
        <v/>
      </c>
      <c r="M62" s="90" t="str">
        <f>IF(_epmOfflineCondition_,"",IF(AND(I62="N",J62="N"),_xll.EVPRO($B$1,H62,"PSFTID"),""))</f>
        <v/>
      </c>
      <c r="N62" s="90" t="str">
        <f>IF(_epmOfflineCondition_,"",IF(_xll.EVDES(H62,$B$1)="#NODATA","",_xll.EVDES(H62,$B$1)))</f>
        <v/>
      </c>
      <c r="O62" s="216"/>
      <c r="P62" s="216"/>
      <c r="Q62" s="216"/>
      <c r="R62" s="216"/>
      <c r="S62" s="216"/>
      <c r="T62" s="216"/>
      <c r="U62" s="216"/>
      <c r="V62" s="216"/>
      <c r="W62" s="216"/>
      <c r="X62" s="216"/>
      <c r="Y62" s="216"/>
      <c r="Z62" s="216"/>
      <c r="AA62" s="216">
        <f>IF($I62="B1","",SUM(O62:Z62))</f>
        <v>0</v>
      </c>
      <c r="AB62" s="218" t="str">
        <f>IF(AA62=0,"",IFERROR(AA62/AA$19,""))</f>
        <v/>
      </c>
      <c r="AC62" s="140"/>
      <c r="AD62" s="216"/>
      <c r="AE62" s="218" t="str">
        <f>IF(AD62=0,"",IFERROR(AD62/AD$19,""))</f>
        <v/>
      </c>
      <c r="AF62" s="233">
        <f>IF(AND($AA62="",AD62=""),"",$AA62-AD62)</f>
        <v>0</v>
      </c>
      <c r="AG62" s="216"/>
      <c r="AH62" s="218" t="str">
        <f>IF(AG62=0,"",IFERROR(AG62/AG$19,""))</f>
        <v/>
      </c>
      <c r="AI62" s="233">
        <f>IF(AND($AA62="",AG62=""),"",$AA62-AG62)</f>
        <v>0</v>
      </c>
      <c r="AJ62" s="440">
        <f>IFERROR(AA62/AA$20,0)</f>
        <v>0</v>
      </c>
      <c r="AK62" s="441">
        <f>IFERROR(AD62/AD$20,0)</f>
        <v>0</v>
      </c>
      <c r="AL62" s="442">
        <f>IFERROR(AG62/AG$20,0)</f>
        <v>0</v>
      </c>
      <c r="AM62" s="443">
        <f>+IFERROR(ROUND(($AB62-AE62)*100,2)&amp;" pts.",0)</f>
        <v>0</v>
      </c>
      <c r="AN62" s="444">
        <f>+IFERROR(ROUND(($AB62-AH62)*100,2)&amp;" pts.",0)</f>
        <v>0</v>
      </c>
      <c r="AO62" s="11"/>
    </row>
    <row r="63" spans="1:41" hidden="1" x14ac:dyDescent="0.35">
      <c r="A63" s="97" t="s">
        <v>92</v>
      </c>
      <c r="B63" s="98" t="s">
        <v>93</v>
      </c>
      <c r="C63" s="98" t="s">
        <v>94</v>
      </c>
      <c r="D63" s="98" t="s">
        <v>95</v>
      </c>
      <c r="E63" s="98" t="s">
        <v>96</v>
      </c>
      <c r="F63" s="99" t="s">
        <v>97</v>
      </c>
      <c r="G63" s="11"/>
      <c r="H63" s="88"/>
      <c r="I63" s="122" t="str">
        <f>IF(_epmOfflineCondition_,"",_xll.EVPRO($B$1,$H63,"STYLE"))</f>
        <v/>
      </c>
      <c r="J63" s="122" t="str">
        <f>IF(_epmOfflineCondition_,"",_xll.EVPRO($B$1,$H63,"CALC"))</f>
        <v/>
      </c>
      <c r="K63" s="179" t="str">
        <f>IF(AND(I63&gt;="T3"),"&gt;","")</f>
        <v/>
      </c>
      <c r="L63" s="90" t="str">
        <f>IF(_epmOfflineCondition_,"",_xll.EVPRO($B$1,H63,"JDEID"))</f>
        <v/>
      </c>
      <c r="M63" s="90" t="str">
        <f>IF(_epmOfflineCondition_,"",IF(AND(I63="N",J63="N"),_xll.EVPRO($B$1,H63,"PSFTID"),""))</f>
        <v/>
      </c>
      <c r="N63" s="90" t="str">
        <f>IF(_epmOfflineCondition_,"",IF(_xll.EVDES(H63,$B$1)="#NODATA","",_xll.EVDES(H63,$B$1)))</f>
        <v/>
      </c>
      <c r="O63" s="216"/>
      <c r="P63" s="216"/>
      <c r="Q63" s="216"/>
      <c r="R63" s="216"/>
      <c r="S63" s="216"/>
      <c r="T63" s="216"/>
      <c r="U63" s="216"/>
      <c r="V63" s="216"/>
      <c r="W63" s="216"/>
      <c r="X63" s="216"/>
      <c r="Y63" s="216"/>
      <c r="Z63" s="216"/>
      <c r="AA63" s="216">
        <f>IF($I63="B1","",SUM(O63:Z63))</f>
        <v>0</v>
      </c>
      <c r="AB63" s="218" t="str">
        <f>IF(AA63=0,"",IFERROR(AA63/AA$19,""))</f>
        <v/>
      </c>
      <c r="AC63" s="140"/>
      <c r="AD63" s="216"/>
      <c r="AE63" s="218" t="str">
        <f>IF(AD63=0,"",IFERROR(AD63/AD$19,""))</f>
        <v/>
      </c>
      <c r="AF63" s="233">
        <f>IF(AND($AA63="",AD63=""),"",$AA63-AD63)</f>
        <v>0</v>
      </c>
      <c r="AG63" s="216"/>
      <c r="AH63" s="218" t="str">
        <f>IF(AG63=0,"",IFERROR(AG63/AG$19,""))</f>
        <v/>
      </c>
      <c r="AI63" s="233">
        <f>IF(AND($AA63="",AG63=""),"",$AA63-AG63)</f>
        <v>0</v>
      </c>
      <c r="AJ63" s="440">
        <f>IFERROR(AA63/AA$20,0)</f>
        <v>0</v>
      </c>
      <c r="AK63" s="441">
        <f>IFERROR(AD63/AD$20,0)</f>
        <v>0</v>
      </c>
      <c r="AL63" s="442">
        <f>IFERROR(AG63/AG$20,0)</f>
        <v>0</v>
      </c>
      <c r="AM63" s="443">
        <f>+IFERROR(ROUND(($AB63-AE63)*100,2)&amp;" pts.",0)</f>
        <v>0</v>
      </c>
      <c r="AN63" s="444">
        <f>+IFERROR(ROUND(($AB63-AH63)*100,2)&amp;" pts.",0)</f>
        <v>0</v>
      </c>
      <c r="AO63" s="11"/>
    </row>
    <row r="64" spans="1:41" x14ac:dyDescent="0.35">
      <c r="A64" s="11"/>
      <c r="B64" s="11"/>
      <c r="C64" s="11"/>
      <c r="D64" s="11"/>
      <c r="E64" s="11"/>
      <c r="F64" s="11"/>
      <c r="G64" s="11"/>
      <c r="H64" s="88" t="s">
        <v>75</v>
      </c>
      <c r="I64" s="89" t="str">
        <f>IF(_epmOfflineCondition_,"B1",_xll.EVPRO($B$1,$H64,"STYLE"))</f>
        <v>B1</v>
      </c>
      <c r="J64" s="89" t="str">
        <f>IF(_epmOfflineCondition_,"Y",_xll.EVPRO($B$1,$H64,"CALC"))</f>
        <v>Y</v>
      </c>
      <c r="K64" s="265" t="str">
        <f>IF(AND(I64&gt;="T3"),"&gt;","")</f>
        <v/>
      </c>
      <c r="L64" s="106" t="str">
        <f>IF(_epmOfflineCondition_,"",_xll.EVPRO($B$1,H64,"JDEID"))</f>
        <v/>
      </c>
      <c r="M64" s="90" t="str">
        <f>IF(_epmOfflineCondition_,"",IF(AND(I64="N",J64="N"),_xll.EVPRO($B$1,H64,"PSFTID"),""))</f>
        <v/>
      </c>
      <c r="N64" s="106" t="str">
        <f>IF(_epmOfflineCondition_,"Non-Management",IF(_xll.EVDES(H64,$B$1)="#NODATA","",_xll.EVDES(H64,$B$1)))</f>
        <v>Non-Management</v>
      </c>
      <c r="O64" s="197"/>
      <c r="P64" s="197"/>
      <c r="Q64" s="197"/>
      <c r="R64" s="197"/>
      <c r="S64" s="197"/>
      <c r="T64" s="197"/>
      <c r="U64" s="197"/>
      <c r="V64" s="197"/>
      <c r="W64" s="197"/>
      <c r="X64" s="197"/>
      <c r="Y64" s="197"/>
      <c r="Z64" s="197"/>
      <c r="AA64" s="197" t="str">
        <f>IF($I64="B1","",SUM(O64:Z64))</f>
        <v/>
      </c>
      <c r="AB64" s="198" t="str">
        <f>IF(AA64=0,"",IFERROR(AA64/AA$19,""))</f>
        <v/>
      </c>
      <c r="AC64" s="11"/>
      <c r="AD64" s="197"/>
      <c r="AE64" s="198" t="str">
        <f>IF(AD64=0,"",IFERROR(AD64/AD$19,""))</f>
        <v/>
      </c>
      <c r="AF64" s="199" t="str">
        <f>IF(AND($AA64="",AD64=""),"",$AA64-AD64)</f>
        <v/>
      </c>
      <c r="AG64" s="197"/>
      <c r="AH64" s="198" t="str">
        <f>IF(AG64=0,"",IFERROR(AG64/AG$19,""))</f>
        <v/>
      </c>
      <c r="AI64" s="199" t="str">
        <f>IF(AND($AA64="",AG64=""),"",$AA64-AG64)</f>
        <v/>
      </c>
      <c r="AJ64" s="397">
        <f>IFERROR(AA64/AA$20,0)</f>
        <v>0</v>
      </c>
      <c r="AK64" s="398">
        <f>IFERROR(AD64/AD$20,0)</f>
        <v>0</v>
      </c>
      <c r="AL64" s="399">
        <f>IFERROR(AG64/AG$20,0)</f>
        <v>0</v>
      </c>
      <c r="AM64" s="400">
        <f>+IFERROR(ROUND(($AB64-AE64)*100,2)&amp;" pts.",0)</f>
        <v>0</v>
      </c>
      <c r="AN64" s="401">
        <f>+IFERROR(ROUND(($AB64-AH64)*100,2)&amp;" pts.",0)</f>
        <v>0</v>
      </c>
      <c r="AO64" s="11"/>
    </row>
    <row r="65" spans="1:41" hidden="1" x14ac:dyDescent="0.35">
      <c r="A65" s="11" t="s">
        <v>105</v>
      </c>
      <c r="B65" s="11"/>
      <c r="C65" s="104" t="s">
        <v>101</v>
      </c>
      <c r="D65" s="11" t="s">
        <v>106</v>
      </c>
      <c r="E65" s="11"/>
      <c r="F65" s="11" t="s">
        <v>98</v>
      </c>
      <c r="G65" s="11"/>
      <c r="H65" s="88" t="s">
        <v>667</v>
      </c>
      <c r="I65" s="122" t="str">
        <f>IF(_epmOfflineCondition_,"",_xll.EVPRO($B$1,$H65,"STYLE"))</f>
        <v/>
      </c>
      <c r="J65" s="122" t="str">
        <f>IF(_epmOfflineCondition_,"",_xll.EVPRO($B$1,$H65,"CALC"))</f>
        <v/>
      </c>
      <c r="K65" s="179" t="str">
        <f>IF(AND(I65&gt;="T3"),"&gt;","")</f>
        <v/>
      </c>
      <c r="L65" s="90" t="str">
        <f>IF(_epmOfflineCondition_,"",_xll.EVPRO($B$1,H65,"JDEID"))</f>
        <v/>
      </c>
      <c r="M65" s="90" t="str">
        <f>IF(_epmOfflineCondition_,"",IF(AND(I65="N",J65="N"),_xll.EVPRO($B$1,H65,"PSFTID"),""))</f>
        <v/>
      </c>
      <c r="N65" s="90" t="str">
        <f>IF(_epmOfflineCondition_,"",IF(_xll.EVDES(H65,$B$1)="#NODATA","",_xll.EVDES(H65,$B$1)))</f>
        <v/>
      </c>
      <c r="O65" s="216"/>
      <c r="P65" s="216"/>
      <c r="Q65" s="216"/>
      <c r="R65" s="216"/>
      <c r="S65" s="216"/>
      <c r="T65" s="216"/>
      <c r="U65" s="216"/>
      <c r="V65" s="216"/>
      <c r="W65" s="216"/>
      <c r="X65" s="216"/>
      <c r="Y65" s="216"/>
      <c r="Z65" s="216"/>
      <c r="AA65" s="216">
        <f>IF($I65="B1","",SUM(O65:Z65))</f>
        <v>0</v>
      </c>
      <c r="AB65" s="218" t="str">
        <f>IF(AA65=0,"",IFERROR(AA65/AA$19,""))</f>
        <v/>
      </c>
      <c r="AC65" s="140"/>
      <c r="AD65" s="216"/>
      <c r="AE65" s="218" t="str">
        <f>IF(AD65=0,"",IFERROR(AD65/AD$19,""))</f>
        <v/>
      </c>
      <c r="AF65" s="233">
        <f>IF(AND($AA65="",AD65=""),"",$AA65-AD65)</f>
        <v>0</v>
      </c>
      <c r="AG65" s="216"/>
      <c r="AH65" s="218" t="str">
        <f>IF(AG65=0,"",IFERROR(AG65/AG$19,""))</f>
        <v/>
      </c>
      <c r="AI65" s="233">
        <f>IF(AND($AA65="",AG65=""),"",$AA65-AG65)</f>
        <v>0</v>
      </c>
      <c r="AJ65" s="449">
        <f>IFERROR(AA65/AA$20,0)</f>
        <v>0</v>
      </c>
      <c r="AK65" s="450">
        <f>IFERROR(AD65/AD$20,0)</f>
        <v>0</v>
      </c>
      <c r="AL65" s="451">
        <f>IFERROR(AG65/AG$20,0)</f>
        <v>0</v>
      </c>
      <c r="AM65" s="452">
        <f>+IFERROR(ROUND(($AB65-AE65)*100,2)&amp;" pts.",0)</f>
        <v>0</v>
      </c>
      <c r="AN65" s="453">
        <f>+IFERROR(ROUND(($AB65-AH65)*100,2)&amp;" pts.",0)</f>
        <v>0</v>
      </c>
      <c r="AO65" s="11"/>
    </row>
    <row r="66" spans="1:41" hidden="1" x14ac:dyDescent="0.35">
      <c r="A66" s="11" t="s">
        <v>108</v>
      </c>
      <c r="B66" s="11"/>
      <c r="C66" s="106" t="s">
        <v>101</v>
      </c>
      <c r="D66" s="11" t="s">
        <v>106</v>
      </c>
      <c r="E66" s="11"/>
      <c r="F66" s="11" t="s">
        <v>98</v>
      </c>
      <c r="G66" s="11"/>
      <c r="H66" s="88"/>
      <c r="I66" s="122" t="str">
        <f>IF(_epmOfflineCondition_,"",_xll.EVPRO($B$1,$H66,"STYLE"))</f>
        <v/>
      </c>
      <c r="J66" s="122" t="str">
        <f>IF(_epmOfflineCondition_,"",_xll.EVPRO($B$1,$H66,"CALC"))</f>
        <v/>
      </c>
      <c r="K66" s="179" t="str">
        <f>IF(AND(I66&gt;="T3"),"&gt;","")</f>
        <v/>
      </c>
      <c r="L66" s="90" t="str">
        <f>IF(_epmOfflineCondition_,"",_xll.EVPRO($B$1,H66,"JDEID"))</f>
        <v/>
      </c>
      <c r="M66" s="90" t="str">
        <f>IF(_epmOfflineCondition_,"",IF(AND(I66="N",J66="N"),_xll.EVPRO($B$1,H66,"PSFTID"),""))</f>
        <v/>
      </c>
      <c r="N66" s="90" t="str">
        <f>IF(_epmOfflineCondition_,"",IF(_xll.EVDES(H66,$B$1)="#NODATA","",_xll.EVDES(H66,$B$1)))</f>
        <v/>
      </c>
      <c r="O66" s="216"/>
      <c r="P66" s="216"/>
      <c r="Q66" s="216"/>
      <c r="R66" s="216"/>
      <c r="S66" s="216"/>
      <c r="T66" s="216"/>
      <c r="U66" s="216"/>
      <c r="V66" s="216"/>
      <c r="W66" s="216"/>
      <c r="X66" s="216"/>
      <c r="Y66" s="216"/>
      <c r="Z66" s="216"/>
      <c r="AA66" s="216">
        <f>IF($I66="B1","",SUM(O66:Z66))</f>
        <v>0</v>
      </c>
      <c r="AB66" s="218" t="str">
        <f>IF(AA66=0,"",IFERROR(AA66/AA$19,""))</f>
        <v/>
      </c>
      <c r="AC66" s="140"/>
      <c r="AD66" s="216"/>
      <c r="AE66" s="218" t="str">
        <f>IF(AD66=0,"",IFERROR(AD66/AD$19,""))</f>
        <v/>
      </c>
      <c r="AF66" s="233">
        <f>IF(AND($AA66="",AD66=""),"",$AA66-AD66)</f>
        <v>0</v>
      </c>
      <c r="AG66" s="216"/>
      <c r="AH66" s="218" t="str">
        <f>IF(AG66=0,"",IFERROR(AG66/AG$19,""))</f>
        <v/>
      </c>
      <c r="AI66" s="233">
        <f>IF(AND($AA66="",AG66=""),"",$AA66-AG66)</f>
        <v>0</v>
      </c>
      <c r="AJ66" s="449">
        <f>IFERROR(AA66/AA$20,0)</f>
        <v>0</v>
      </c>
      <c r="AK66" s="450">
        <f>IFERROR(AD66/AD$20,0)</f>
        <v>0</v>
      </c>
      <c r="AL66" s="451">
        <f>IFERROR(AG66/AG$20,0)</f>
        <v>0</v>
      </c>
      <c r="AM66" s="452">
        <f>+IFERROR(ROUND(($AB66-AE66)*100,2)&amp;" pts.",0)</f>
        <v>0</v>
      </c>
      <c r="AN66" s="453">
        <f>+IFERROR(ROUND(($AB66-AH66)*100,2)&amp;" pts.",0)</f>
        <v>0</v>
      </c>
      <c r="AO66" s="11"/>
    </row>
    <row r="67" spans="1:41" x14ac:dyDescent="0.35">
      <c r="A67" s="11" t="s">
        <v>108</v>
      </c>
      <c r="B67" s="11"/>
      <c r="C67" s="196" t="s">
        <v>101</v>
      </c>
      <c r="D67" s="11" t="s">
        <v>107</v>
      </c>
      <c r="E67" s="11"/>
      <c r="F67" s="11" t="s">
        <v>99</v>
      </c>
      <c r="G67" s="11"/>
      <c r="H67" s="11"/>
      <c r="I67" s="59"/>
      <c r="J67" s="59"/>
      <c r="K67" s="11"/>
      <c r="L67" s="11"/>
      <c r="M67" s="11"/>
      <c r="N67" s="11"/>
      <c r="O67" s="129"/>
      <c r="P67" s="130"/>
      <c r="Q67" s="130"/>
      <c r="R67" s="130"/>
      <c r="S67" s="130"/>
      <c r="T67" s="130"/>
      <c r="U67" s="130"/>
      <c r="V67" s="130"/>
      <c r="W67" s="130"/>
      <c r="X67" s="130"/>
      <c r="Y67" s="130"/>
      <c r="Z67" s="130"/>
      <c r="AA67" s="130"/>
      <c r="AB67" s="131"/>
      <c r="AC67" s="11"/>
      <c r="AD67" s="129"/>
      <c r="AE67" s="130"/>
      <c r="AF67" s="131"/>
      <c r="AG67" s="129"/>
      <c r="AH67" s="130"/>
      <c r="AI67" s="131"/>
      <c r="AJ67" s="11"/>
      <c r="AK67" s="11"/>
      <c r="AL67" s="11"/>
      <c r="AM67" s="11"/>
      <c r="AN67" s="11"/>
      <c r="AO67" s="11"/>
    </row>
    <row r="68" spans="1:41" x14ac:dyDescent="0.35">
      <c r="A68" s="11"/>
      <c r="B68" s="11"/>
      <c r="C68" s="11"/>
      <c r="D68" s="11"/>
      <c r="E68" s="11"/>
      <c r="F68" s="11"/>
      <c r="G68" s="11"/>
      <c r="H68" s="11" t="s">
        <v>82</v>
      </c>
      <c r="I68" s="59" t="str">
        <f>IF(_epmOfflineCondition_,"B1",_xll.EVPRO($B$1,$H68,"STYLE"))</f>
        <v>B1</v>
      </c>
      <c r="J68" s="59" t="str">
        <f>IF(_epmOfflineCondition_,"Y",_xll.EVPRO($B$1,$H68,"CALC"))</f>
        <v>Y</v>
      </c>
      <c r="K68" s="11"/>
      <c r="L68" s="11"/>
      <c r="M68" s="11"/>
      <c r="N68" s="105" t="str">
        <f>IF(_epmOfflineCondition_,"Other Expenses",IF(_xll.EVDES(H68,$B$1)="#NODATA","",_xll.EVDES(H68,$B$1)))</f>
        <v>Other Expenses</v>
      </c>
      <c r="O68" s="119"/>
      <c r="P68" s="120"/>
      <c r="Q68" s="120"/>
      <c r="R68" s="120"/>
      <c r="S68" s="120"/>
      <c r="T68" s="120"/>
      <c r="U68" s="120"/>
      <c r="V68" s="120"/>
      <c r="W68" s="120"/>
      <c r="X68" s="120"/>
      <c r="Y68" s="120"/>
      <c r="Z68" s="120"/>
      <c r="AA68" s="120"/>
      <c r="AB68" s="121"/>
      <c r="AC68" s="11"/>
      <c r="AD68" s="119"/>
      <c r="AE68" s="120"/>
      <c r="AF68" s="121"/>
      <c r="AG68" s="119"/>
      <c r="AH68" s="120"/>
      <c r="AI68" s="121"/>
      <c r="AJ68" s="11"/>
      <c r="AK68" s="11"/>
      <c r="AL68" s="11"/>
      <c r="AM68" s="11"/>
      <c r="AN68" s="11"/>
      <c r="AO68" s="11"/>
    </row>
    <row r="69" spans="1:41" hidden="1" x14ac:dyDescent="0.35">
      <c r="A69" s="11"/>
      <c r="B69" s="11"/>
      <c r="C69" s="208"/>
      <c r="D69" s="11"/>
      <c r="E69" s="11"/>
      <c r="F69" s="11"/>
      <c r="G69" s="11"/>
      <c r="H69" s="88" t="s">
        <v>667</v>
      </c>
      <c r="I69" s="122" t="str">
        <f>IF(_epmOfflineCondition_,"",_xll.EVPRO($B$1,$H69,"STYLE"))</f>
        <v/>
      </c>
      <c r="J69" s="122" t="str">
        <f>IF(_epmOfflineCondition_,"",_xll.EVPRO($B$1,$H69,"CALC"))</f>
        <v/>
      </c>
      <c r="K69" s="179" t="str">
        <f>IF(AND(I69&lt;&gt;"B1",J69="Y"),"&gt;","")</f>
        <v/>
      </c>
      <c r="L69" s="90" t="str">
        <f>IF(_epmOfflineCondition_,"",_xll.EVPRO($B$1,H69,"JDEID"))</f>
        <v/>
      </c>
      <c r="M69" s="90" t="str">
        <f>IF(_epmOfflineCondition_,"",IF(AND(I69="N",J69="N"),_xll.EVPRO($B$1,H69,"PSFTID"),""))</f>
        <v/>
      </c>
      <c r="N69" s="90" t="str">
        <f>IF(_epmOfflineCondition_,"",IF(_xll.EVDES(H69,$B$1)="#NODATA","",_xll.EVDES(H69,$B$1)))</f>
        <v/>
      </c>
      <c r="O69" s="143"/>
      <c r="P69" s="143"/>
      <c r="Q69" s="143"/>
      <c r="R69" s="143"/>
      <c r="S69" s="143"/>
      <c r="T69" s="143"/>
      <c r="U69" s="143"/>
      <c r="V69" s="143"/>
      <c r="W69" s="143"/>
      <c r="X69" s="143"/>
      <c r="Y69" s="143"/>
      <c r="Z69" s="143"/>
      <c r="AA69" s="143">
        <f>IF($I69="B1","",SUM(O69:Z69))</f>
        <v>0</v>
      </c>
      <c r="AB69" s="144" t="str">
        <f>IF(AA69=0,"",IFERROR(AA69/AA$19,""))</f>
        <v/>
      </c>
      <c r="AC69" s="140"/>
      <c r="AD69" s="143"/>
      <c r="AE69" s="144" t="str">
        <f>IF(AD69=0,"",IFERROR(AD69/AD$19,""))</f>
        <v/>
      </c>
      <c r="AF69" s="145">
        <f>IF(AND($AA69="",AD69=""),"",$AA69-AD69)</f>
        <v>0</v>
      </c>
      <c r="AG69" s="143"/>
      <c r="AH69" s="144" t="str">
        <f>IF(AG69=0,"",IFERROR(AG69/AG$19,""))</f>
        <v/>
      </c>
      <c r="AI69" s="145">
        <f>IF(AND($AA69="",AG69=""),"",$AA69-AG69)</f>
        <v>0</v>
      </c>
      <c r="AJ69" s="440">
        <f>IFERROR(AA69/AA$20,0)</f>
        <v>0</v>
      </c>
      <c r="AK69" s="441">
        <f>IFERROR(AD69/AD$20,0)</f>
        <v>0</v>
      </c>
      <c r="AL69" s="442">
        <f>IFERROR(AG69/AG$20,0)</f>
        <v>0</v>
      </c>
      <c r="AM69" s="443">
        <f>+IFERROR(ROUND(($AB69-AE69)*100,2)&amp;" pts.",0)</f>
        <v>0</v>
      </c>
      <c r="AN69" s="444">
        <f>+IFERROR(ROUND(($AB69-AH69)*100,2)&amp;" pts.",0)</f>
        <v>0</v>
      </c>
      <c r="AO69" s="11"/>
    </row>
    <row r="70" spans="1:41" hidden="1" x14ac:dyDescent="0.35">
      <c r="A70" s="61" t="str">
        <f>IF(_epmOfflineCondition_,"Evdre:Ok",_xll.EVDRE($B$1,A73:B80,A83:B89))</f>
        <v>Evdre:Ok</v>
      </c>
      <c r="B70" s="11"/>
      <c r="C70" s="11"/>
      <c r="D70" s="11"/>
      <c r="E70" s="11"/>
      <c r="F70" s="11"/>
      <c r="G70" s="11"/>
      <c r="H70" s="88"/>
      <c r="I70" s="122" t="str">
        <f>IF(_epmOfflineCondition_,"",_xll.EVPRO($B$1,$H70,"STYLE"))</f>
        <v/>
      </c>
      <c r="J70" s="122" t="str">
        <f>IF(_epmOfflineCondition_,"",_xll.EVPRO($B$1,$H70,"CALC"))</f>
        <v/>
      </c>
      <c r="K70" s="179" t="str">
        <f>IF(AND(I70&lt;&gt;"B1",J70="Y"),"&gt;","")</f>
        <v/>
      </c>
      <c r="L70" s="90" t="str">
        <f>IF(_epmOfflineCondition_,"",_xll.EVPRO($B$1,H70,"JDEID"))</f>
        <v/>
      </c>
      <c r="M70" s="90" t="str">
        <f>IF(_epmOfflineCondition_,"",IF(AND(I70="N",J70="N"),_xll.EVPRO($B$1,H70,"PSFTID"),""))</f>
        <v/>
      </c>
      <c r="N70" s="90" t="str">
        <f>IF(_epmOfflineCondition_,"",IF(_xll.EVDES(H70,$B$1)="#NODATA","",_xll.EVDES(H70,$B$1)))</f>
        <v/>
      </c>
      <c r="O70" s="143"/>
      <c r="P70" s="143"/>
      <c r="Q70" s="143"/>
      <c r="R70" s="143"/>
      <c r="S70" s="143"/>
      <c r="T70" s="143"/>
      <c r="U70" s="143"/>
      <c r="V70" s="143"/>
      <c r="W70" s="143"/>
      <c r="X70" s="143"/>
      <c r="Y70" s="143"/>
      <c r="Z70" s="143"/>
      <c r="AA70" s="143">
        <f>IF($I70="B1","",SUM(O70:Z70))</f>
        <v>0</v>
      </c>
      <c r="AB70" s="144" t="str">
        <f>IF(AA70=0,"",IFERROR(AA70/AA$19,""))</f>
        <v/>
      </c>
      <c r="AC70" s="140"/>
      <c r="AD70" s="143"/>
      <c r="AE70" s="144" t="str">
        <f>IF(AD70=0,"",IFERROR(AD70/AD$19,""))</f>
        <v/>
      </c>
      <c r="AF70" s="145">
        <f>IF(AND($AA70="",AD70=""),"",$AA70-AD70)</f>
        <v>0</v>
      </c>
      <c r="AG70" s="143"/>
      <c r="AH70" s="144" t="str">
        <f>IF(AG70=0,"",IFERROR(AG70/AG$19,""))</f>
        <v/>
      </c>
      <c r="AI70" s="145">
        <f>IF(AND($AA70="",AG70=""),"",$AA70-AG70)</f>
        <v>0</v>
      </c>
      <c r="AJ70" s="440">
        <f>IFERROR(AA70/AA$20,0)</f>
        <v>0</v>
      </c>
      <c r="AK70" s="441">
        <f>IFERROR(AD70/AD$20,0)</f>
        <v>0</v>
      </c>
      <c r="AL70" s="442">
        <f>IFERROR(AG70/AG$20,0)</f>
        <v>0</v>
      </c>
      <c r="AM70" s="443">
        <f>+IFERROR(ROUND(($AB70-AE70)*100,2)&amp;" pts.",0)</f>
        <v>0</v>
      </c>
      <c r="AN70" s="444">
        <f>+IFERROR(ROUND(($AB70-AH70)*100,2)&amp;" pts.",0)</f>
        <v>0</v>
      </c>
      <c r="AO70" s="11"/>
    </row>
    <row r="71" spans="1:41" x14ac:dyDescent="0.35">
      <c r="A71" s="11"/>
      <c r="B71" s="11"/>
      <c r="C71" s="11"/>
      <c r="D71" s="11"/>
      <c r="E71" s="11"/>
      <c r="F71" s="11"/>
      <c r="G71" s="11"/>
      <c r="H71" s="88" t="s">
        <v>79</v>
      </c>
      <c r="I71" s="136" t="str">
        <f>IF(_epmOfflineCondition_,"T3",_xll.EVPRO($B$1,$H71,"STYLE"))</f>
        <v>T3</v>
      </c>
      <c r="J71" s="136" t="str">
        <f>IF(_epmOfflineCondition_,"Y",_xll.EVPRO($B$1,$H71,"CALC"))</f>
        <v>Y</v>
      </c>
      <c r="K71" s="104"/>
      <c r="L71" s="104"/>
      <c r="M71" s="104"/>
      <c r="N71" s="106" t="str">
        <f>IF(_epmOfflineCondition_,"Total Operations Expense",IF(_xll.EVDES(H71,$B$1)="#NODATA","",_xll.EVDES(H71,$B$1)))</f>
        <v>Total Operations Expense</v>
      </c>
      <c r="O71" s="154"/>
      <c r="P71" s="154"/>
      <c r="Q71" s="154"/>
      <c r="R71" s="154"/>
      <c r="S71" s="154"/>
      <c r="T71" s="154"/>
      <c r="U71" s="154"/>
      <c r="V71" s="154"/>
      <c r="W71" s="154"/>
      <c r="X71" s="154"/>
      <c r="Y71" s="154"/>
      <c r="Z71" s="154"/>
      <c r="AA71" s="154">
        <f>IF($I71="B1","",SUM(O71:Z71))</f>
        <v>0</v>
      </c>
      <c r="AB71" s="155" t="str">
        <f>IF(AA71=0,"",IFERROR(AA71/AA$19,""))</f>
        <v/>
      </c>
      <c r="AC71" s="140"/>
      <c r="AD71" s="154"/>
      <c r="AE71" s="155" t="str">
        <f>IF(AD71=0,"",IFERROR(AD71/AD$19,""))</f>
        <v/>
      </c>
      <c r="AF71" s="156">
        <f>IF(AND($AA71="",AD71=""),"",$AA71-AD71)</f>
        <v>0</v>
      </c>
      <c r="AG71" s="154"/>
      <c r="AH71" s="155" t="str">
        <f>IF(AG71=0,"",IFERROR(AG71/AG$19,""))</f>
        <v/>
      </c>
      <c r="AI71" s="156">
        <f>IF(AND($AA71="",AG71=""),"",$AA71-AG71)</f>
        <v>0</v>
      </c>
      <c r="AJ71" s="477">
        <f>IFERROR(AA71/AA$20,0)</f>
        <v>0</v>
      </c>
      <c r="AK71" s="478">
        <f>IFERROR(AD71/AD$20,0)</f>
        <v>0</v>
      </c>
      <c r="AL71" s="479">
        <f>IFERROR(AG71/AG$20,0)</f>
        <v>0</v>
      </c>
      <c r="AM71" s="480">
        <f>+IFERROR(ROUND(($AB71-AE71)*100,2)&amp;" pts.",0)</f>
        <v>0</v>
      </c>
      <c r="AN71" s="555">
        <f>+IFERROR(ROUND(($AB71-AH71)*100,2)&amp;" pts.",0)</f>
        <v>0</v>
      </c>
      <c r="AO71" s="11"/>
    </row>
    <row r="72" spans="1:41" x14ac:dyDescent="0.35">
      <c r="A72" s="62" t="s">
        <v>0</v>
      </c>
      <c r="B72" s="63" t="s">
        <v>1</v>
      </c>
      <c r="C72" s="11"/>
      <c r="D72" s="11"/>
      <c r="E72" s="11"/>
      <c r="F72" s="11"/>
      <c r="G72" s="11"/>
      <c r="H72" s="11"/>
      <c r="I72" s="59"/>
      <c r="J72" s="59"/>
      <c r="K72" s="11"/>
      <c r="L72" s="11"/>
      <c r="M72" s="11"/>
      <c r="N72" s="11"/>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1"/>
    </row>
    <row r="73" spans="1:41" x14ac:dyDescent="0.35">
      <c r="A73" s="65" t="s">
        <v>2</v>
      </c>
      <c r="B73" s="66" t="str">
        <f>IF(_epmOfflineCondition_,"'Retail'!$B$2:$B$10",_xll.EVRNG($B$2:$B$10))</f>
        <v>'Retail'!$B$2:$B$10</v>
      </c>
      <c r="C73" s="11"/>
      <c r="D73" s="11"/>
      <c r="E73" s="11"/>
      <c r="F73" s="11"/>
      <c r="G73" s="11"/>
      <c r="H73" s="88" t="s">
        <v>80</v>
      </c>
      <c r="I73" s="136" t="str">
        <f>IF(_epmOfflineCondition_,"T3",_xll.EVPRO($B$1,$H73,"STYLE"))</f>
        <v>T3</v>
      </c>
      <c r="J73" s="136" t="str">
        <f>IF(_epmOfflineCondition_,"Y",_xll.EVPRO($B$1,$H73,"CALC"))</f>
        <v>Y</v>
      </c>
      <c r="K73" s="106"/>
      <c r="L73" s="106"/>
      <c r="M73" s="106"/>
      <c r="N73" s="106" t="str">
        <f>IF(_epmOfflineCondition_,"Total Expenses",IF(_xll.EVDES(H73,$B$1)="#NODATA","",_xll.EVDES(H73,$B$1)))</f>
        <v>Total Expenses</v>
      </c>
      <c r="O73" s="238"/>
      <c r="P73" s="238"/>
      <c r="Q73" s="238"/>
      <c r="R73" s="238"/>
      <c r="S73" s="238"/>
      <c r="T73" s="238"/>
      <c r="U73" s="238"/>
      <c r="V73" s="238"/>
      <c r="W73" s="238"/>
      <c r="X73" s="238"/>
      <c r="Y73" s="238"/>
      <c r="Z73" s="238"/>
      <c r="AA73" s="238">
        <f>IF($I73="B1","",SUM(O73:Z73))</f>
        <v>0</v>
      </c>
      <c r="AB73" s="239" t="str">
        <f>IF(AA73=0,"",IFERROR(AA73/AA$19,""))</f>
        <v/>
      </c>
      <c r="AC73" s="140"/>
      <c r="AD73" s="238"/>
      <c r="AE73" s="239" t="str">
        <f>IF(AD73=0,"",IFERROR(AD73/AD$19,""))</f>
        <v/>
      </c>
      <c r="AF73" s="254">
        <f>IF(AND($AA73="",AD73=""),"",$AA73-AD73)</f>
        <v>0</v>
      </c>
      <c r="AG73" s="255"/>
      <c r="AH73" s="256" t="str">
        <f>IF(AG73=0,"",IFERROR(AG73/AG$19,""))</f>
        <v/>
      </c>
      <c r="AI73" s="254">
        <f>IF(AND($AA73="",AG73=""),"",$AA73-AG73)</f>
        <v>0</v>
      </c>
      <c r="AJ73" s="466">
        <f>IFERROR(AA73/AA$20,0)</f>
        <v>0</v>
      </c>
      <c r="AK73" s="467">
        <f>IFERROR(AD73/AD$20,0)</f>
        <v>0</v>
      </c>
      <c r="AL73" s="468">
        <f>IFERROR(AG73/AG$20,0)</f>
        <v>0</v>
      </c>
      <c r="AM73" s="469">
        <f>+IFERROR(ROUND(($AB73-AE73)*100,2)&amp;" pts.",0)</f>
        <v>0</v>
      </c>
      <c r="AN73" s="556">
        <f>+IFERROR(ROUND(($AB73-AH73)*100,2)&amp;" pts.",0)</f>
        <v>0</v>
      </c>
      <c r="AO73" s="11"/>
    </row>
    <row r="74" spans="1:41" ht="15" thickBot="1" x14ac:dyDescent="0.4">
      <c r="A74" s="65" t="s">
        <v>3</v>
      </c>
      <c r="B74" s="66" t="str">
        <f>IF(_epmOfflineCondition_,"'Retail'!$O$16:$AN$18",_xll.EVRNG($O$16:$AN$18))</f>
        <v>'Retail'!$O$16:$AN$18</v>
      </c>
      <c r="C74" s="11"/>
      <c r="D74" s="11"/>
      <c r="E74" s="11"/>
      <c r="F74" s="11"/>
      <c r="G74" s="11"/>
      <c r="H74" s="88" t="s">
        <v>81</v>
      </c>
      <c r="I74" s="136" t="str">
        <f>IF(_epmOfflineCondition_,"T3",_xll.EVPRO($B$1,$H74,"STYLE"))</f>
        <v>T3</v>
      </c>
      <c r="J74" s="136" t="str">
        <f>IF(_epmOfflineCondition_,"Y",_xll.EVPRO($B$1,$H74,"CALC"))</f>
        <v>Y</v>
      </c>
      <c r="K74" s="106"/>
      <c r="L74" s="106"/>
      <c r="M74" s="106"/>
      <c r="N74" s="106" t="str">
        <f>IF(_epmOfflineCondition_,"Department Profit (Loss)",IF(_xll.EVDES(H74,$B$1)="#NODATA","",_xll.EVDES(H74,$B$1)))</f>
        <v>Department Profit (Loss)</v>
      </c>
      <c r="O74" s="169"/>
      <c r="P74" s="169"/>
      <c r="Q74" s="169"/>
      <c r="R74" s="169"/>
      <c r="S74" s="169"/>
      <c r="T74" s="169"/>
      <c r="U74" s="169"/>
      <c r="V74" s="169"/>
      <c r="W74" s="169"/>
      <c r="X74" s="169"/>
      <c r="Y74" s="169"/>
      <c r="Z74" s="169"/>
      <c r="AA74" s="169">
        <f>IF($I74="B1","",SUM(O74:Z74))</f>
        <v>0</v>
      </c>
      <c r="AB74" s="170" t="str">
        <f>IF(AA74=0,"",IFERROR(AA74/AA$19,""))</f>
        <v/>
      </c>
      <c r="AC74" s="140"/>
      <c r="AD74" s="169"/>
      <c r="AE74" s="170" t="str">
        <f>IF(AD74=0,"",IFERROR(AD74/AD$19,""))</f>
        <v/>
      </c>
      <c r="AF74" s="171">
        <f>IF(AND($AA74="",AD74=""),"",$AA74-AD74)</f>
        <v>0</v>
      </c>
      <c r="AG74" s="169"/>
      <c r="AH74" s="170" t="str">
        <f>IF(AG74=0,"",IFERROR(AG74/AG$19,""))</f>
        <v/>
      </c>
      <c r="AI74" s="171">
        <f>IF(AND($AA74="",AG74=""),"",$AA74-AG74)</f>
        <v>0</v>
      </c>
      <c r="AJ74" s="483">
        <f>IFERROR(AA74/AA$20,0)</f>
        <v>0</v>
      </c>
      <c r="AK74" s="484">
        <f>IFERROR(AD74/AD$20,0)</f>
        <v>0</v>
      </c>
      <c r="AL74" s="485">
        <f>IFERROR(AG74/AG$20,0)</f>
        <v>0</v>
      </c>
      <c r="AM74" s="486">
        <f>+IFERROR(ROUND(($AB74-AE74)*100,2)&amp;" pts.",0)</f>
        <v>0</v>
      </c>
      <c r="AN74" s="557">
        <f>+IFERROR(ROUND(($AB74-AH74)*100,2)&amp;" pts.",0)</f>
        <v>0</v>
      </c>
      <c r="AO74" s="11"/>
    </row>
    <row r="75" spans="1:41" ht="15" thickTop="1" x14ac:dyDescent="0.35">
      <c r="A75" s="65" t="s">
        <v>4</v>
      </c>
      <c r="B75" s="66" t="str">
        <f>IF(_epmOfflineCondition_,"'Retail'!$H$62:$H$63,'Retail'!$H$65:$H$66,'Retail'!$H$69:$H$70",_xll.EVRNG(H62:H63,H65:H66,H69:H70))</f>
        <v>'Retail'!$H$62:$H$63,'Retail'!$H$65:$H$66,'Retail'!$H$69:$H$70</v>
      </c>
      <c r="C75" s="11"/>
      <c r="D75" s="11"/>
      <c r="E75" s="11"/>
      <c r="F75" s="11"/>
      <c r="G75" s="11"/>
      <c r="H75" s="11"/>
      <c r="I75" s="59"/>
      <c r="J75" s="5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5</v>
      </c>
      <c r="B76" s="66"/>
      <c r="C76" s="11"/>
      <c r="D76" s="11"/>
      <c r="E76" s="11"/>
      <c r="F76" s="11"/>
      <c r="G76" s="11"/>
      <c r="H76" s="11"/>
      <c r="I76" s="59"/>
      <c r="J76" s="59"/>
      <c r="K76" s="11"/>
      <c r="L76" s="11"/>
      <c r="M76" s="11"/>
      <c r="N76" s="104" t="str">
        <f>N73&amp;" - Check"</f>
        <v>Total Expenses - Check</v>
      </c>
      <c r="O76" s="209">
        <f t="shared" ref="O76:AA76" si="22">SUMIF($H$34:$H$74,"600000",O$34:O$74)+SUMIF($H$34:$H$74,"700000",O$34:O$74)-SUMIF($H$34:$H$74,"TOTDEPTEXP",O$34:O$74)</f>
        <v>0</v>
      </c>
      <c r="P76" s="209">
        <f t="shared" si="22"/>
        <v>0</v>
      </c>
      <c r="Q76" s="209">
        <f t="shared" si="22"/>
        <v>0</v>
      </c>
      <c r="R76" s="209">
        <f t="shared" si="22"/>
        <v>0</v>
      </c>
      <c r="S76" s="209">
        <f t="shared" si="22"/>
        <v>0</v>
      </c>
      <c r="T76" s="209">
        <f t="shared" si="22"/>
        <v>0</v>
      </c>
      <c r="U76" s="209">
        <f t="shared" si="22"/>
        <v>0</v>
      </c>
      <c r="V76" s="209">
        <f t="shared" si="22"/>
        <v>0</v>
      </c>
      <c r="W76" s="209">
        <f t="shared" si="22"/>
        <v>0</v>
      </c>
      <c r="X76" s="209">
        <f t="shared" si="22"/>
        <v>0</v>
      </c>
      <c r="Y76" s="209">
        <f t="shared" si="22"/>
        <v>0</v>
      </c>
      <c r="Z76" s="209">
        <f t="shared" si="22"/>
        <v>0</v>
      </c>
      <c r="AA76" s="209">
        <f t="shared" si="22"/>
        <v>0</v>
      </c>
      <c r="AB76" s="100"/>
      <c r="AC76" s="11"/>
      <c r="AD76" s="209">
        <f>SUMIF($H$34:$H$74,"600000",AD$34:AD$74)+SUMIF($H$34:$H$74,"700000",AD$34:AD$74)-SUMIF($H$34:$H$74,"TOTDEPTEXP",AD$34:AD$74)</f>
        <v>0</v>
      </c>
      <c r="AE76" s="100"/>
      <c r="AF76" s="91"/>
      <c r="AG76" s="209">
        <f>SUMIF($H$34:$H$74,"600000",AG$34:AG$74)+SUMIF($H$34:$H$74,"700000",AG$34:AG$74)-SUMIF($H$34:$H$74,"TOTDEPTEXP",AG$34:AG$74)</f>
        <v>0</v>
      </c>
      <c r="AH76" s="100"/>
      <c r="AI76" s="91"/>
      <c r="AJ76" s="11"/>
      <c r="AK76" s="11"/>
      <c r="AL76" s="11"/>
      <c r="AM76" s="11"/>
      <c r="AN76" s="11"/>
      <c r="AO76" s="11"/>
    </row>
    <row r="77" spans="1:41" x14ac:dyDescent="0.35">
      <c r="A77" s="65" t="s">
        <v>6</v>
      </c>
      <c r="B77" s="66"/>
      <c r="C77" s="11"/>
      <c r="D77" s="11"/>
      <c r="E77" s="11"/>
      <c r="F77" s="11"/>
      <c r="G77" s="11"/>
      <c r="H77" s="11"/>
      <c r="I77" s="59"/>
      <c r="J77" s="59"/>
      <c r="K77" s="11"/>
      <c r="L77" s="11"/>
      <c r="M77" s="11"/>
      <c r="N77" s="104" t="str">
        <f>N74&amp;" - Check"</f>
        <v>Department Profit (Loss) - Check</v>
      </c>
      <c r="O77" s="209">
        <f t="shared" ref="O77:AA77" si="23">SUMIF($H$34:$H$74,"KPI_GP",O$34:O$74)-SUMIF($H$34:$H$74,"TOTDEPTEXP",O$34:O$74)-SUMIF($H$34:$H$74,"TOTDEPTPL",O$34:O$74)</f>
        <v>0</v>
      </c>
      <c r="P77" s="209">
        <f t="shared" si="23"/>
        <v>0</v>
      </c>
      <c r="Q77" s="209">
        <f t="shared" si="23"/>
        <v>0</v>
      </c>
      <c r="R77" s="209">
        <f t="shared" si="23"/>
        <v>0</v>
      </c>
      <c r="S77" s="209">
        <f t="shared" si="23"/>
        <v>0</v>
      </c>
      <c r="T77" s="209">
        <f t="shared" si="23"/>
        <v>0</v>
      </c>
      <c r="U77" s="209">
        <f t="shared" si="23"/>
        <v>0</v>
      </c>
      <c r="V77" s="209">
        <f t="shared" si="23"/>
        <v>0</v>
      </c>
      <c r="W77" s="209">
        <f t="shared" si="23"/>
        <v>0</v>
      </c>
      <c r="X77" s="209">
        <f t="shared" si="23"/>
        <v>0</v>
      </c>
      <c r="Y77" s="209">
        <f t="shared" si="23"/>
        <v>0</v>
      </c>
      <c r="Z77" s="209">
        <f t="shared" si="23"/>
        <v>0</v>
      </c>
      <c r="AA77" s="209">
        <f t="shared" si="23"/>
        <v>0</v>
      </c>
      <c r="AB77" s="100"/>
      <c r="AC77" s="11"/>
      <c r="AD77" s="209">
        <f>SUMIF($H$34:$H$74,"KPI_GP",AD$34:AD$74)-SUMIF($H$34:$H$74,"TOTDEPTEXP",AD$34:AD$74)-SUMIF($H$34:$H$74,"TOTDEPTPL",AD$34:AD$74)</f>
        <v>0</v>
      </c>
      <c r="AE77" s="100"/>
      <c r="AF77" s="91"/>
      <c r="AG77" s="209">
        <f>SUMIF($H$34:$H$74,"KPI_GP",AG$34:AG$74)-SUMIF($H$34:$H$74,"TOTDEPTEXP",AG$34:AG$74)-SUMIF($H$34:$H$74,"TOTDEPTPL",AG$34:AG$74)</f>
        <v>0</v>
      </c>
      <c r="AH77" s="100"/>
      <c r="AI77" s="91"/>
      <c r="AJ77" s="11"/>
      <c r="AK77" s="11"/>
      <c r="AL77" s="11"/>
      <c r="AM77" s="11"/>
      <c r="AN77" s="11"/>
      <c r="AO77" s="11"/>
    </row>
    <row r="78" spans="1:41" x14ac:dyDescent="0.35">
      <c r="A78" s="65" t="s">
        <v>7</v>
      </c>
      <c r="B78" s="66" t="str">
        <f>IF(_epmOfflineCondition_,"'Retail'!$A$92:$F$98",_xll.EVRNG(A92:F98))</f>
        <v>'Retail'!$A$92:$F$98</v>
      </c>
      <c r="C78" s="11"/>
      <c r="D78" s="11"/>
      <c r="E78" s="11"/>
      <c r="F78" s="11"/>
      <c r="G78" s="11"/>
      <c r="H78" s="11"/>
      <c r="I78" s="59"/>
      <c r="J78" s="59"/>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47</v>
      </c>
      <c r="B79" s="66" t="str">
        <f>IF(_epmOfflineCondition_,"'Retail'!$A$115:$B$136",_xll.EVRNG($A$115:$B$136))</f>
        <v>'Retail'!$A$115:$B$136</v>
      </c>
      <c r="C79" s="11"/>
      <c r="D79" s="11"/>
      <c r="E79" s="11"/>
      <c r="F79" s="11"/>
      <c r="G79" s="11"/>
      <c r="H79" s="11"/>
      <c r="I79" s="59"/>
      <c r="J79" s="59"/>
      <c r="K79" s="11"/>
      <c r="L79" s="11"/>
      <c r="M79" s="11"/>
      <c r="N79" s="11"/>
      <c r="O79" s="137"/>
      <c r="P79" s="137"/>
      <c r="Q79" s="137"/>
      <c r="R79" s="137"/>
      <c r="S79" s="137"/>
      <c r="T79" s="137"/>
      <c r="U79" s="137"/>
      <c r="V79" s="137"/>
      <c r="W79" s="137"/>
      <c r="X79" s="137"/>
      <c r="Y79" s="137"/>
      <c r="Z79" s="137"/>
      <c r="AA79" s="137"/>
      <c r="AB79" s="11"/>
      <c r="AC79" s="11"/>
      <c r="AD79" s="137"/>
      <c r="AE79" s="11"/>
      <c r="AF79" s="11"/>
      <c r="AG79" s="137"/>
      <c r="AH79" s="11"/>
      <c r="AI79" s="11"/>
      <c r="AJ79" s="11"/>
      <c r="AK79" s="11"/>
      <c r="AL79" s="11"/>
      <c r="AM79" s="11"/>
      <c r="AN79" s="11"/>
      <c r="AO79" s="11"/>
    </row>
    <row r="80" spans="1:41" x14ac:dyDescent="0.35">
      <c r="A80" s="65" t="s">
        <v>8</v>
      </c>
      <c r="B80" s="66"/>
      <c r="C80" s="11"/>
      <c r="D80" s="11"/>
      <c r="E80" s="11"/>
      <c r="F80" s="11"/>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11"/>
      <c r="I81" s="59"/>
      <c r="J81" s="59"/>
      <c r="K81" s="11"/>
      <c r="L81" s="11"/>
      <c r="M81" s="11"/>
      <c r="N81" s="11"/>
      <c r="O81" s="137"/>
      <c r="P81" s="137"/>
      <c r="Q81" s="137"/>
      <c r="R81" s="137"/>
      <c r="S81" s="137"/>
      <c r="T81" s="137"/>
      <c r="U81" s="137"/>
      <c r="V81" s="137"/>
      <c r="W81" s="137"/>
      <c r="X81" s="137"/>
      <c r="Y81" s="137"/>
      <c r="Z81" s="137"/>
      <c r="AA81" s="137"/>
      <c r="AB81" s="11"/>
      <c r="AC81" s="11"/>
      <c r="AD81" s="137"/>
      <c r="AE81" s="11"/>
      <c r="AF81" s="11"/>
      <c r="AG81" s="137"/>
      <c r="AH81" s="11"/>
      <c r="AI81" s="11"/>
      <c r="AJ81" s="11"/>
      <c r="AK81" s="11"/>
      <c r="AL81" s="11"/>
      <c r="AM81" s="11"/>
      <c r="AN81" s="11"/>
      <c r="AO81" s="11"/>
    </row>
    <row r="82" spans="1:41" x14ac:dyDescent="0.35">
      <c r="A82" s="62" t="s">
        <v>9</v>
      </c>
      <c r="B82" s="63" t="s">
        <v>10</v>
      </c>
      <c r="C82" s="11"/>
      <c r="D82" s="11"/>
      <c r="E82" s="11"/>
      <c r="F82" s="11"/>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11</v>
      </c>
      <c r="B83" s="66" t="s">
        <v>21</v>
      </c>
      <c r="C83" s="11"/>
      <c r="D83" s="11"/>
      <c r="E83" s="11"/>
      <c r="F83" s="11"/>
      <c r="G83" s="11"/>
      <c r="H83" s="11"/>
      <c r="I83" s="59"/>
      <c r="J83" s="59"/>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12</v>
      </c>
      <c r="B84" s="66" t="s">
        <v>22</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13</v>
      </c>
      <c r="B85" s="66" t="s">
        <v>737</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14</v>
      </c>
      <c r="B86" s="66"/>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15</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16</v>
      </c>
      <c r="B88" s="66" t="s">
        <v>78</v>
      </c>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17</v>
      </c>
      <c r="B89" s="66"/>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97" t="s">
        <v>92</v>
      </c>
      <c r="B91" s="98" t="s">
        <v>93</v>
      </c>
      <c r="C91" s="98" t="s">
        <v>94</v>
      </c>
      <c r="D91" s="98" t="s">
        <v>95</v>
      </c>
      <c r="E91" s="98" t="s">
        <v>96</v>
      </c>
      <c r="F91" s="99" t="s">
        <v>97</v>
      </c>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t="s">
        <v>108</v>
      </c>
      <c r="B93" s="11"/>
      <c r="C93" s="104" t="s">
        <v>101</v>
      </c>
      <c r="D93" s="11" t="s">
        <v>106</v>
      </c>
      <c r="E93" s="11"/>
      <c r="F93" s="11" t="s">
        <v>98</v>
      </c>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100</v>
      </c>
      <c r="B94" s="11"/>
      <c r="C94" s="53"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109</v>
      </c>
      <c r="B95" s="11"/>
      <c r="C95" s="106"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96" t="s">
        <v>101</v>
      </c>
      <c r="D96" s="11" t="s">
        <v>107</v>
      </c>
      <c r="E96" s="11"/>
      <c r="F96" s="11" t="s">
        <v>99</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110</v>
      </c>
      <c r="B97" s="11"/>
      <c r="C97" s="106" t="s">
        <v>101</v>
      </c>
      <c r="D97" s="11" t="s">
        <v>106</v>
      </c>
      <c r="E97" s="11"/>
      <c r="F97" s="11" t="s">
        <v>98</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9" t="s">
        <v>101</v>
      </c>
      <c r="D98" s="11" t="s">
        <v>107</v>
      </c>
      <c r="E98" s="11"/>
      <c r="F98" s="11" t="s">
        <v>99</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208"/>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1" t="str">
        <f>IF(_epmOfflineCondition_,"Evdre:Ok",_xll.EVDRE($B$1,A104:B111))</f>
        <v>Evdre:Ok</v>
      </c>
      <c r="B101" s="11" t="s">
        <v>736</v>
      </c>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62" t="s">
        <v>0</v>
      </c>
      <c r="B103" s="63" t="s">
        <v>1</v>
      </c>
      <c r="C103" s="11"/>
      <c r="D103" s="11"/>
      <c r="E103" s="11"/>
      <c r="F103" s="11"/>
      <c r="G103" s="76"/>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5" t="s">
        <v>2</v>
      </c>
      <c r="B104" s="66" t="str">
        <f>IF(_epmOfflineCondition_,"'Retail'!$B$2:$B$10",_xll.EVRNG($B$2:$B$10))</f>
        <v>'Retail'!$B$2:$B$10</v>
      </c>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3</v>
      </c>
      <c r="B105" s="66" t="str">
        <f>IF(_epmOfflineCondition_,"'Retail'!$O$16:$AN$18",_xll.EVRNG($O$16:$AN$18))</f>
        <v>'Retail'!$O$16:$AN$18</v>
      </c>
      <c r="C105" s="11"/>
      <c r="D105" s="11"/>
      <c r="E105" s="11"/>
      <c r="F105" s="11"/>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4</v>
      </c>
      <c r="B106" s="66" t="str">
        <f>IF(_epmOfflineCondition_,"'Retail'!$H$71:$H$74",_xll.EVRNG(H71:H74))</f>
        <v>'Retail'!$H$71:$H$74</v>
      </c>
      <c r="C106" s="11"/>
      <c r="D106" s="11"/>
      <c r="E106" s="11"/>
      <c r="F106" s="11"/>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5</v>
      </c>
      <c r="B107" s="66"/>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6</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7</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47</v>
      </c>
      <c r="B110" s="66" t="str">
        <f>IF(_epmOfflineCondition_,"'Retail'!$A$115:$B$136",_xll.EVRNG($A$115:$B$136))</f>
        <v>'Retail'!$A$115:$B$136</v>
      </c>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8</v>
      </c>
      <c r="B111" s="66"/>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2" t="s">
        <v>23</v>
      </c>
      <c r="B114" s="63" t="s">
        <v>24</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25</v>
      </c>
      <c r="B115" s="66"/>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26</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27</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28</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29</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30</v>
      </c>
      <c r="B120" s="66" t="s">
        <v>78</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31</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32</v>
      </c>
      <c r="B122" s="66"/>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33</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34</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40</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41</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267"/>
      <c r="J147" s="11"/>
      <c r="K147" s="267"/>
      <c r="L147" s="267"/>
      <c r="M147" s="267"/>
      <c r="N147" s="11"/>
      <c r="O147" s="267"/>
      <c r="P147" s="267"/>
      <c r="Q147" s="267"/>
      <c r="R147" s="267"/>
      <c r="S147" s="267"/>
      <c r="T147" s="267"/>
      <c r="U147" s="267"/>
      <c r="V147" s="267"/>
      <c r="W147" s="267"/>
      <c r="X147" s="267"/>
      <c r="Y147" s="267"/>
      <c r="Z147" s="267"/>
      <c r="AA147" s="267"/>
      <c r="AB147" s="11"/>
      <c r="AC147" s="11"/>
      <c r="AD147" s="267"/>
      <c r="AE147" s="11"/>
      <c r="AF147" s="267"/>
      <c r="AG147" s="11"/>
      <c r="AH147" s="267"/>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267"/>
      <c r="J151" s="11"/>
      <c r="K151" s="267"/>
      <c r="L151" s="267"/>
      <c r="M151" s="267"/>
      <c r="N151" s="11"/>
      <c r="O151" s="267"/>
      <c r="P151" s="267"/>
      <c r="Q151" s="267"/>
      <c r="R151" s="267"/>
      <c r="S151" s="267"/>
      <c r="T151" s="267"/>
      <c r="U151" s="267"/>
      <c r="V151" s="267"/>
      <c r="W151" s="267"/>
      <c r="X151" s="267"/>
      <c r="Y151" s="267"/>
      <c r="Z151" s="267"/>
      <c r="AA151" s="267"/>
      <c r="AB151" s="11"/>
      <c r="AC151" s="11"/>
      <c r="AD151" s="267"/>
      <c r="AE151" s="11"/>
      <c r="AF151" s="267"/>
      <c r="AG151" s="11"/>
      <c r="AH151" s="267"/>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267"/>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267"/>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OD6Ew+oJ72yEcj8Th5LZkRYxSUNZbltnm1R8+4iE+RZkFP9ZJz+pc5PyGWxyYI39Km4Vi3gKN9f1H1rwZEr8Q==" saltValue="p+9Uz2aOf2CxaoO48vmAWw==" spinCount="100000" sheet="1" scenarios="1"/>
  <mergeCells count="2">
    <mergeCell ref="AD31:AE31"/>
    <mergeCell ref="AG31:AH31"/>
  </mergeCells>
  <dataValidations disablePrompts="1" count="2">
    <dataValidation type="list" allowBlank="1" sqref="B85 B29 B57" xr:uid="{00000000-0002-0000-2200-000000000000}">
      <formula1>"SELF,ALL,BAS,DEP,BASMEMBERS,MEMBERS,NOEXPAND,GDEP"</formula1>
    </dataValidation>
    <dataValidation type="list" allowBlank="1" sqref="B56 B28 B84" xr:uid="{00000000-0002-0000-2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789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7896" r:id="rId7" name="FPMExcelClientSheetOptionstb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9">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406</v>
      </c>
      <c r="C6" s="11" t="str">
        <f>IF(_epmOfflineCondition_,"Food &amp; Beverage Retail Shop",_xll.EVDES(B6,$B$1))</f>
        <v>Food &amp; Beverage Retail Shop</v>
      </c>
      <c r="D6" s="11"/>
      <c r="E6" s="58" t="str">
        <f>IF(_epmOfflineCondition_,"D2149",_xll.EVPRO($B$1,$B$6,$F$6))</f>
        <v>D2149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IF(_epmOfflineCondition_,"'FB_Retail'!$B$2:$B$10",_xll.EVRNG($B$2:$B$10))</f>
        <v>'FB_Retail'!$B$2:$B$10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IF(_epmOfflineCondition_,"'FB_Retail'!$O$16:$AN$18",_xll.EVRNG($O$16:$AN$18))</f>
        <v>'FB_Retail'!$O$16:$AN$18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IF(_epmOfflineCondition_,"'FB_Retail'!$H$34:$H$43",_xll.EVRNG(H34:H43))</f>
        <v>'FB_Retail'!$H$34:$H$43</v>
      </c>
      <c r="C19" s="11"/>
      <c r="D19" s="11"/>
      <c r="E19" s="11"/>
      <c r="F19" s="11"/>
      <c r="G19" s="67" t="str">
        <f>$B$6</f>
        <v>D2149</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IF(_epmOfflineCondition_,"'FB_Retail'!$A$36:$F$40",_xll.EVRNG(A36:F40))</f>
        <v>'FB_Retail'!$A$36:$F$40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IF(_epmOfflineCondition_,"'FB_Retail'!$A$116:$B$137",_xll.EVRNG($A$116:$B$137))</f>
        <v>'FB_Retail'!$A$116:$B$137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IF(_epmOfflineCondition_,"Food &amp; Beverage Retail Shop Department",IF(_xll.EVDES(B6,$B$1)="#NODATA","",_xll.EVDES(B6,$B$1)&amp;" Department"))</f>
        <v>Food &amp; Beverage Retail Shop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"DEP(469000) AND "&amp;$E$6&amp;"=Y,400000"</f>
        <v>DEP(469000) AND D2149=Y,400000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407</v>
      </c>
      <c r="I34" s="122" t="str">
        <f>IF(_epmOfflineCondition_,"T5",_xll.EVPRO($B$1,$H34,"STYLE"))</f>
        <v>T5</v>
      </c>
      <c r="J34" s="122" t="str">
        <f>IF(_epmOfflineCondition_,"Y",_xll.EVPRO($B$1,$H34,"CALC"))</f>
        <v>Y</v>
      </c>
      <c r="K34" s="179" t="str">
        <f t="shared" ref="K34:K43" si="0">IF(AND(I34&gt;="T5"),"&gt;","")</f>
        <v>&gt;</v>
      </c>
      <c r="L34" s="90" t="str">
        <f>IF(_epmOfflineCondition_,"469100",_xll.EVPRO($B$1,H34,"JDEID"))</f>
        <v>469100</v>
      </c>
      <c r="M34" s="90" t="str">
        <f>IF(_epmOfflineCondition_,"",IF(AND(I34="N",J34="N"),_xll.EVPRO($B$1,H34,"PSFTID"),""))</f>
        <v/>
      </c>
      <c r="N34" s="90" t="str">
        <f>IF(_epmOfflineCondition_,"Food Revenue",IF(_xll.EVDES(H34,$B$1)="#NODATA","",_xll.EVDES(H34,$B$1)))</f>
        <v>Food Revenue</v>
      </c>
      <c r="O34" s="143"/>
      <c r="P34" s="143"/>
      <c r="Q34" s="143"/>
      <c r="R34" s="143"/>
      <c r="S34" s="143"/>
      <c r="T34" s="143"/>
      <c r="U34" s="143"/>
      <c r="V34" s="143"/>
      <c r="W34" s="143"/>
      <c r="X34" s="143"/>
      <c r="Y34" s="143"/>
      <c r="Z34" s="143"/>
      <c r="AA34" s="250">
        <f t="shared" ref="AA34:AA43" si="1">IF($I34="B1","",SUM(O34:Z34))</f>
        <v>0</v>
      </c>
      <c r="AB34" s="144" t="str">
        <f t="shared" ref="AB34:AB43" si="2">IF(AA34=0,"",IFERROR(AA34/AA$19,""))</f>
        <v/>
      </c>
      <c r="AC34" s="140"/>
      <c r="AD34" s="143"/>
      <c r="AE34" s="144" t="str">
        <f t="shared" ref="AE34:AE43" si="3">IF(AD34=0,"",IFERROR(AD34/AD$19,""))</f>
        <v/>
      </c>
      <c r="AF34" s="145">
        <f t="shared" ref="AF34:AF43" si="4">IF(AND($AA34="",AD34=""),"",$AA34-AD34)</f>
        <v>0</v>
      </c>
      <c r="AG34" s="143"/>
      <c r="AH34" s="144" t="str">
        <f t="shared" ref="AH34:AH43" si="5">IF(AG34=0,"",IFERROR(AG34/AG$19,""))</f>
        <v/>
      </c>
      <c r="AI34" s="145">
        <f t="shared" ref="AI34:AI43" si="6">IF(AND($AA34="",AG34=""),"",$AA34-AG34)</f>
        <v>0</v>
      </c>
      <c r="AJ34" s="440">
        <f t="shared" ref="AJ34:AJ43" si="7">IFERROR(AA34/AA$20,0)</f>
        <v>0</v>
      </c>
      <c r="AK34" s="441">
        <f t="shared" ref="AK34:AK43" si="8">IFERROR(AD34/AD$20,0)</f>
        <v>0</v>
      </c>
      <c r="AL34" s="442">
        <f t="shared" ref="AL34:AL43" si="9">IFERROR(AG34/AG$20,0)</f>
        <v>0</v>
      </c>
      <c r="AM34" s="443">
        <f t="shared" ref="AM34:AM43" si="10">+IFERROR(ROUND(($AB34-AE34)*100,2)&amp;" pts.",0)</f>
        <v>0</v>
      </c>
      <c r="AN34" s="444">
        <f t="shared" ref="AN34:AN43" si="11">+IFERROR(ROUND(($AB34-AH34)*100,2)&amp;" pts.",0)</f>
        <v>0</v>
      </c>
      <c r="AO34" s="11"/>
    </row>
    <row r="35" spans="1:41" x14ac:dyDescent="0.35">
      <c r="A35" s="97" t="s">
        <v>92</v>
      </c>
      <c r="B35" s="98" t="s">
        <v>93</v>
      </c>
      <c r="C35" s="98" t="s">
        <v>94</v>
      </c>
      <c r="D35" s="98" t="s">
        <v>95</v>
      </c>
      <c r="E35" s="98" t="s">
        <v>96</v>
      </c>
      <c r="F35" s="99" t="s">
        <v>97</v>
      </c>
      <c r="G35" s="11"/>
      <c r="H35" s="88" t="s">
        <v>408</v>
      </c>
      <c r="I35" s="122" t="str">
        <f>IF(_epmOfflineCondition_,"T5",_xll.EVPRO($B$1,$H35,"STYLE"))</f>
        <v>T5</v>
      </c>
      <c r="J35" s="122" t="str">
        <f>IF(_epmOfflineCondition_,"Y",_xll.EVPRO($B$1,$H35,"CALC"))</f>
        <v>Y</v>
      </c>
      <c r="K35" s="179" t="str">
        <f t="shared" si="0"/>
        <v>&gt;</v>
      </c>
      <c r="L35" s="90" t="str">
        <f>IF(_epmOfflineCondition_,"469200",_xll.EVPRO($B$1,H35,"JDEID"))</f>
        <v>469200</v>
      </c>
      <c r="M35" s="90" t="str">
        <f>IF(_epmOfflineCondition_,"",IF(AND(I35="N",J35="N"),_xll.EVPRO($B$1,H35,"PSFTID"),""))</f>
        <v/>
      </c>
      <c r="N35" s="90" t="str">
        <f>IF(_epmOfflineCondition_,"Food Revenue - Retail",IF(_xll.EVDES(H35,$B$1)="#NODATA","",_xll.EVDES(H35,$B$1)))</f>
        <v>Food Revenue - Retail</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409</v>
      </c>
      <c r="I36" s="122" t="str">
        <f>IF(_epmOfflineCondition_,"T5",_xll.EVPRO($B$1,$H36,"STYLE"))</f>
        <v>T5</v>
      </c>
      <c r="J36" s="122" t="str">
        <f>IF(_epmOfflineCondition_,"Y",_xll.EVPRO($B$1,$H36,"CALC"))</f>
        <v>Y</v>
      </c>
      <c r="K36" s="179" t="str">
        <f t="shared" si="0"/>
        <v>&gt;</v>
      </c>
      <c r="L36" s="90" t="str">
        <f>IF(_epmOfflineCondition_,"469300",_xll.EVPRO($B$1,H36,"JDEID"))</f>
        <v>469300</v>
      </c>
      <c r="M36" s="90" t="str">
        <f>IF(_epmOfflineCondition_,"",IF(AND(I36="N",J36="N"),_xll.EVPRO($B$1,H36,"PSFTID"),""))</f>
        <v/>
      </c>
      <c r="N36" s="90" t="str">
        <f>IF(_epmOfflineCondition_,"Liquor Revenue - Retail",IF(_xll.EVDES(H36,$B$1)="#NODATA","",_xll.EVDES(H36,$B$1)))</f>
        <v>Liquor Revenue - Retail</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105</v>
      </c>
      <c r="B37" s="11"/>
      <c r="C37" s="104" t="s">
        <v>101</v>
      </c>
      <c r="D37" s="11" t="s">
        <v>106</v>
      </c>
      <c r="E37" s="11"/>
      <c r="F37" s="11" t="s">
        <v>98</v>
      </c>
      <c r="G37" s="11"/>
      <c r="H37" s="88" t="s">
        <v>410</v>
      </c>
      <c r="I37" s="122" t="str">
        <f>IF(_epmOfflineCondition_,"T5",_xll.EVPRO($B$1,$H37,"STYLE"))</f>
        <v>T5</v>
      </c>
      <c r="J37" s="122" t="str">
        <f>IF(_epmOfflineCondition_,"Y",_xll.EVPRO($B$1,$H37,"CALC"))</f>
        <v>Y</v>
      </c>
      <c r="K37" s="179" t="str">
        <f t="shared" si="0"/>
        <v>&gt;</v>
      </c>
      <c r="L37" s="90" t="str">
        <f>IF(_epmOfflineCondition_,"469400",_xll.EVPRO($B$1,H37,"JDEID"))</f>
        <v>469400</v>
      </c>
      <c r="M37" s="90" t="str">
        <f>IF(_epmOfflineCondition_,"",IF(AND(I37="N",J37="N"),_xll.EVPRO($B$1,H37,"PSFTID"),""))</f>
        <v/>
      </c>
      <c r="N37" s="90" t="str">
        <f>IF(_epmOfflineCondition_,"Beer Revenue - Retail",IF(_xll.EVDES(H37,$B$1)="#NODATA","",_xll.EVDES(H37,$B$1)))</f>
        <v>Beer Revenue - Retail</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11" t="s">
        <v>104</v>
      </c>
      <c r="B38" s="11"/>
      <c r="C38" s="104" t="s">
        <v>101</v>
      </c>
      <c r="D38" s="11" t="s">
        <v>106</v>
      </c>
      <c r="E38" s="11"/>
      <c r="F38" s="11" t="s">
        <v>98</v>
      </c>
      <c r="G38" s="11"/>
      <c r="H38" s="88" t="s">
        <v>411</v>
      </c>
      <c r="I38" s="122" t="str">
        <f>IF(_epmOfflineCondition_,"T5",_xll.EVPRO($B$1,$H38,"STYLE"))</f>
        <v>T5</v>
      </c>
      <c r="J38" s="122" t="str">
        <f>IF(_epmOfflineCondition_,"Y",_xll.EVPRO($B$1,$H38,"CALC"))</f>
        <v>Y</v>
      </c>
      <c r="K38" s="179" t="str">
        <f t="shared" si="0"/>
        <v>&gt;</v>
      </c>
      <c r="L38" s="90" t="str">
        <f>IF(_epmOfflineCondition_,"469500",_xll.EVPRO($B$1,H38,"JDEID"))</f>
        <v>469500</v>
      </c>
      <c r="M38" s="90" t="str">
        <f>IF(_epmOfflineCondition_,"",IF(AND(I38="N",J38="N"),_xll.EVPRO($B$1,H38,"PSFTID"),""))</f>
        <v/>
      </c>
      <c r="N38" s="90" t="str">
        <f>IF(_epmOfflineCondition_,"Wine Revenue - Retail",IF(_xll.EVDES(H38,$B$1)="#NODATA","",_xll.EVDES(H38,$B$1)))</f>
        <v>Wine Revenue - Retail</v>
      </c>
      <c r="O38" s="143"/>
      <c r="P38" s="143"/>
      <c r="Q38" s="143"/>
      <c r="R38" s="143"/>
      <c r="S38" s="143"/>
      <c r="T38" s="143"/>
      <c r="U38" s="143"/>
      <c r="V38" s="143"/>
      <c r="W38" s="143"/>
      <c r="X38" s="143"/>
      <c r="Y38" s="143"/>
      <c r="Z38" s="143"/>
      <c r="AA38" s="250">
        <f t="shared" si="1"/>
        <v>0</v>
      </c>
      <c r="AB38" s="144" t="str">
        <f t="shared" si="2"/>
        <v/>
      </c>
      <c r="AC38" s="140"/>
      <c r="AD38" s="143"/>
      <c r="AE38" s="144" t="str">
        <f t="shared" si="3"/>
        <v/>
      </c>
      <c r="AF38" s="145">
        <f t="shared" si="4"/>
        <v>0</v>
      </c>
      <c r="AG38" s="143"/>
      <c r="AH38" s="144" t="str">
        <f t="shared" si="5"/>
        <v/>
      </c>
      <c r="AI38" s="145">
        <f t="shared" si="6"/>
        <v>0</v>
      </c>
      <c r="AJ38" s="440">
        <f t="shared" si="7"/>
        <v>0</v>
      </c>
      <c r="AK38" s="441">
        <f t="shared" si="8"/>
        <v>0</v>
      </c>
      <c r="AL38" s="442">
        <f t="shared" si="9"/>
        <v>0</v>
      </c>
      <c r="AM38" s="443">
        <f t="shared" si="10"/>
        <v>0</v>
      </c>
      <c r="AN38" s="444">
        <f t="shared" si="11"/>
        <v>0</v>
      </c>
      <c r="AO38" s="11"/>
    </row>
    <row r="39" spans="1:41" x14ac:dyDescent="0.35">
      <c r="A39" s="11" t="s">
        <v>108</v>
      </c>
      <c r="B39" s="11"/>
      <c r="C39" s="106" t="s">
        <v>101</v>
      </c>
      <c r="D39" s="11" t="s">
        <v>106</v>
      </c>
      <c r="E39" s="11"/>
      <c r="F39" s="11" t="s">
        <v>98</v>
      </c>
      <c r="G39" s="11"/>
      <c r="H39" s="88" t="s">
        <v>412</v>
      </c>
      <c r="I39" s="122" t="str">
        <f>IF(_epmOfflineCondition_,"T5",_xll.EVPRO($B$1,$H39,"STYLE"))</f>
        <v>T5</v>
      </c>
      <c r="J39" s="122" t="str">
        <f>IF(_epmOfflineCondition_,"Y",_xll.EVPRO($B$1,$H39,"CALC"))</f>
        <v>Y</v>
      </c>
      <c r="K39" s="179" t="str">
        <f t="shared" si="0"/>
        <v>&gt;</v>
      </c>
      <c r="L39" s="90" t="str">
        <f>IF(_epmOfflineCondition_,"469600",_xll.EVPRO($B$1,H39,"JDEID"))</f>
        <v>469600</v>
      </c>
      <c r="M39" s="90" t="str">
        <f>IF(_epmOfflineCondition_,"",IF(AND(I39="N",J39="N"),_xll.EVPRO($B$1,H39,"PSFTID"),""))</f>
        <v/>
      </c>
      <c r="N39" s="90" t="str">
        <f>IF(_epmOfflineCondition_,"Giftware Revenue - Retail",IF(_xll.EVDES(H39,$B$1)="#NODATA","",_xll.EVDES(H39,$B$1)))</f>
        <v>Giftware Revenue - Retail</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96" t="s">
        <v>101</v>
      </c>
      <c r="D40" s="11" t="s">
        <v>107</v>
      </c>
      <c r="E40" s="11"/>
      <c r="F40" s="11" t="s">
        <v>99</v>
      </c>
      <c r="G40" s="11"/>
      <c r="H40" s="88" t="s">
        <v>413</v>
      </c>
      <c r="I40" s="122" t="str">
        <f>IF(_epmOfflineCondition_,"T5",_xll.EVPRO($B$1,$H40,"STYLE"))</f>
        <v>T5</v>
      </c>
      <c r="J40" s="122" t="str">
        <f>IF(_epmOfflineCondition_,"Y",_xll.EVPRO($B$1,$H40,"CALC"))</f>
        <v>Y</v>
      </c>
      <c r="K40" s="179" t="str">
        <f t="shared" si="0"/>
        <v>&gt;</v>
      </c>
      <c r="L40" s="90" t="str">
        <f>IF(_epmOfflineCondition_,"469700",_xll.EVPRO($B$1,H40,"JDEID"))</f>
        <v>469700</v>
      </c>
      <c r="M40" s="90" t="str">
        <f>IF(_epmOfflineCondition_,"",IF(AND(I40="N",J40="N"),_xll.EVPRO($B$1,H40,"PSFTID"),""))</f>
        <v/>
      </c>
      <c r="N40" s="90" t="str">
        <f>IF(_epmOfflineCondition_,"Books Revenue - Retail",IF(_xll.EVDES(H40,$B$1)="#NODATA","",_xll.EVDES(H40,$B$1)))</f>
        <v>Books Revenue - Retail</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11"/>
      <c r="B41" s="11"/>
      <c r="C41" s="11"/>
      <c r="D41" s="11"/>
      <c r="E41" s="11"/>
      <c r="F41" s="11"/>
      <c r="G41" s="11"/>
      <c r="H41" s="88" t="s">
        <v>414</v>
      </c>
      <c r="I41" s="122" t="str">
        <f>IF(_epmOfflineCondition_,"T5",_xll.EVPRO($B$1,$H41,"STYLE"))</f>
        <v>T5</v>
      </c>
      <c r="J41" s="122" t="str">
        <f>IF(_epmOfflineCondition_,"Y",_xll.EVPRO($B$1,$H41,"CALC"))</f>
        <v>Y</v>
      </c>
      <c r="K41" s="179" t="str">
        <f t="shared" si="0"/>
        <v>&gt;</v>
      </c>
      <c r="L41" s="90" t="str">
        <f>IF(_epmOfflineCondition_,"469800",_xll.EVPRO($B$1,H41,"JDEID"))</f>
        <v>469800</v>
      </c>
      <c r="M41" s="90" t="str">
        <f>IF(_epmOfflineCondition_,"",IF(AND(I41="N",J41="N"),_xll.EVPRO($B$1,H41,"PSFTID"),""))</f>
        <v/>
      </c>
      <c r="N41" s="90" t="str">
        <f>IF(_epmOfflineCondition_,"Glassware Revenue - Retail",IF(_xll.EVDES(H41,$B$1)="#NODATA","",_xll.EVDES(H41,$B$1)))</f>
        <v>Glassware Revenue - Retail</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11"/>
      <c r="B42" s="11"/>
      <c r="C42" s="11"/>
      <c r="D42" s="11"/>
      <c r="E42" s="11"/>
      <c r="F42" s="11"/>
      <c r="G42" s="11"/>
      <c r="H42" s="88" t="s">
        <v>474</v>
      </c>
      <c r="I42" s="122" t="str">
        <f>IF(_epmOfflineCondition_,"N",_xll.EVPRO($B$1,$H42,"STYLE"))</f>
        <v>N</v>
      </c>
      <c r="J42" s="122" t="str">
        <f>IF(_epmOfflineCondition_,"N",_xll.EVPRO($B$1,$H42,"CALC"))</f>
        <v>N</v>
      </c>
      <c r="K42" s="179" t="str">
        <f t="shared" si="0"/>
        <v/>
      </c>
      <c r="L42" s="90" t="str">
        <f>IF(_epmOfflineCondition_,"469990",_xll.EVPRO($B$1,H42,"JDEID"))</f>
        <v>469990</v>
      </c>
      <c r="M42" s="90" t="str">
        <f>IF(_epmOfflineCondition_,"206022",IF(AND(I42="N",J42="N"),_xll.EVPRO($B$1,H42,"PSFTID"),""))</f>
        <v>206022</v>
      </c>
      <c r="N42" s="90" t="str">
        <f>IF(_epmOfflineCondition_,"F&amp;B Retail: Allowances",IF(_xll.EVDES(H42,$B$1)="#NODATA","",_xll.EVDES(H42,$B$1)))</f>
        <v>F&amp;B Retail: Allowances</v>
      </c>
      <c r="O42" s="217"/>
      <c r="P42" s="217"/>
      <c r="Q42" s="217"/>
      <c r="R42" s="217"/>
      <c r="S42" s="217"/>
      <c r="T42" s="217"/>
      <c r="U42" s="217"/>
      <c r="V42" s="217"/>
      <c r="W42" s="217"/>
      <c r="X42" s="217"/>
      <c r="Y42" s="217"/>
      <c r="Z42" s="217"/>
      <c r="AA42" s="251">
        <f t="shared" si="1"/>
        <v>0</v>
      </c>
      <c r="AB42" s="219" t="str">
        <f t="shared" si="2"/>
        <v/>
      </c>
      <c r="AC42" s="140"/>
      <c r="AD42" s="217"/>
      <c r="AE42" s="219" t="str">
        <f t="shared" si="3"/>
        <v/>
      </c>
      <c r="AF42" s="220">
        <f t="shared" si="4"/>
        <v>0</v>
      </c>
      <c r="AG42" s="217"/>
      <c r="AH42" s="219" t="str">
        <f t="shared" si="5"/>
        <v/>
      </c>
      <c r="AI42" s="220">
        <f t="shared" si="6"/>
        <v>0</v>
      </c>
      <c r="AJ42" s="449">
        <f t="shared" si="7"/>
        <v>0</v>
      </c>
      <c r="AK42" s="450">
        <f t="shared" si="8"/>
        <v>0</v>
      </c>
      <c r="AL42" s="451">
        <f t="shared" si="9"/>
        <v>0</v>
      </c>
      <c r="AM42" s="452">
        <f t="shared" si="10"/>
        <v>0</v>
      </c>
      <c r="AN42" s="453">
        <f t="shared" si="11"/>
        <v>0</v>
      </c>
      <c r="AO42" s="11"/>
    </row>
    <row r="43" spans="1:41" x14ac:dyDescent="0.35">
      <c r="A43" s="61" t="str">
        <f>IF(_epmOfflineCondition_,"Evdre:Ok",_xll.EVDRE($B$1,A46:B53,A56:B62))</f>
        <v>Evdre:Ok</v>
      </c>
      <c r="B43" s="11"/>
      <c r="C43" s="11"/>
      <c r="D43" s="11"/>
      <c r="E43" s="11"/>
      <c r="F43" s="11"/>
      <c r="G43" s="11"/>
      <c r="H43" s="88" t="s">
        <v>280</v>
      </c>
      <c r="I43" s="188" t="str">
        <f>IF(_epmOfflineCondition_,"T3",_xll.EVPRO($B$1,$H43,"STYLE"))</f>
        <v>T3</v>
      </c>
      <c r="J43" s="188" t="str">
        <f>IF(_epmOfflineCondition_,"Y",_xll.EVPRO($B$1,$H43,"CALC"))</f>
        <v>Y</v>
      </c>
      <c r="K43" s="189" t="str">
        <f t="shared" si="0"/>
        <v/>
      </c>
      <c r="L43" s="190" t="str">
        <f>IF(_epmOfflineCondition_,"400000",_xll.EVPRO($B$1,H43,"JDEID"))</f>
        <v>400000</v>
      </c>
      <c r="M43" s="190" t="str">
        <f>IF(_epmOfflineCondition_,"",IF(AND(I43="N",J43="N"),_xll.EVPRO($B$1,H43,"PSFTID"),""))</f>
        <v/>
      </c>
      <c r="N43" s="190" t="str">
        <f>IF(_epmOfflineCondition_,"Total Revenue",IF(_xll.EVDES(H43,$B$1)="#NODATA","",_xll.EVDES(H43,$B$1)))</f>
        <v>Total Revenue</v>
      </c>
      <c r="O43" s="225"/>
      <c r="P43" s="225"/>
      <c r="Q43" s="225"/>
      <c r="R43" s="225"/>
      <c r="S43" s="225"/>
      <c r="T43" s="225"/>
      <c r="U43" s="225"/>
      <c r="V43" s="225"/>
      <c r="W43" s="225"/>
      <c r="X43" s="225"/>
      <c r="Y43" s="225"/>
      <c r="Z43" s="225"/>
      <c r="AA43" s="225">
        <f t="shared" si="1"/>
        <v>0</v>
      </c>
      <c r="AB43" s="226" t="str">
        <f t="shared" si="2"/>
        <v/>
      </c>
      <c r="AC43" s="227"/>
      <c r="AD43" s="225"/>
      <c r="AE43" s="226" t="str">
        <f t="shared" si="3"/>
        <v/>
      </c>
      <c r="AF43" s="228">
        <f t="shared" si="4"/>
        <v>0</v>
      </c>
      <c r="AG43" s="225"/>
      <c r="AH43" s="226" t="str">
        <f t="shared" si="5"/>
        <v/>
      </c>
      <c r="AI43" s="228">
        <f t="shared" si="6"/>
        <v>0</v>
      </c>
      <c r="AJ43" s="229">
        <f t="shared" si="7"/>
        <v>0</v>
      </c>
      <c r="AK43" s="230">
        <f t="shared" si="8"/>
        <v>0</v>
      </c>
      <c r="AL43" s="232">
        <f t="shared" si="9"/>
        <v>0</v>
      </c>
      <c r="AM43" s="427">
        <f t="shared" si="10"/>
        <v>0</v>
      </c>
      <c r="AN43" s="456">
        <f t="shared" si="11"/>
        <v>0</v>
      </c>
      <c r="AO43" s="11"/>
    </row>
    <row r="44" spans="1:41" x14ac:dyDescent="0.35">
      <c r="A44" s="11"/>
      <c r="B44" s="11"/>
      <c r="C44" s="11"/>
      <c r="D44" s="11"/>
      <c r="E44" s="11"/>
      <c r="F44" s="11"/>
      <c r="G44" s="11"/>
      <c r="H44" s="11"/>
      <c r="I44" s="59"/>
      <c r="J44" s="59"/>
      <c r="K44" s="11"/>
      <c r="L44" s="11"/>
      <c r="M44" s="11"/>
      <c r="N44" s="11"/>
      <c r="O44" s="203"/>
      <c r="P44" s="204"/>
      <c r="Q44" s="204"/>
      <c r="R44" s="204"/>
      <c r="S44" s="204"/>
      <c r="T44" s="204"/>
      <c r="U44" s="204"/>
      <c r="V44" s="204"/>
      <c r="W44" s="204"/>
      <c r="X44" s="204"/>
      <c r="Y44" s="204"/>
      <c r="Z44" s="204"/>
      <c r="AA44" s="204"/>
      <c r="AB44" s="118"/>
      <c r="AC44" s="11"/>
      <c r="AD44" s="203"/>
      <c r="AE44" s="204"/>
      <c r="AF44" s="118"/>
      <c r="AG44" s="203"/>
      <c r="AH44" s="204"/>
      <c r="AI44" s="118"/>
      <c r="AJ44" s="11"/>
      <c r="AK44" s="11"/>
      <c r="AL44" s="11"/>
      <c r="AM44" s="11"/>
      <c r="AN44" s="11"/>
      <c r="AO44" s="11"/>
    </row>
    <row r="45" spans="1:41" x14ac:dyDescent="0.35">
      <c r="A45" s="62" t="s">
        <v>0</v>
      </c>
      <c r="B45" s="63" t="s">
        <v>1</v>
      </c>
      <c r="C45" s="11"/>
      <c r="D45" s="11"/>
      <c r="E45" s="11"/>
      <c r="F45" s="11"/>
      <c r="G45" s="11"/>
      <c r="H45" s="11" t="s">
        <v>281</v>
      </c>
      <c r="I45" s="59" t="str">
        <f>IF(_epmOfflineCondition_,"B1",_xll.EVPRO($B$1,$H45,"STYLE"))</f>
        <v>B1</v>
      </c>
      <c r="J45" s="59" t="str">
        <f>IF(_epmOfflineCondition_,"Y",_xll.EVPRO($B$1,$H45,"CALC"))</f>
        <v>Y</v>
      </c>
      <c r="K45" s="11"/>
      <c r="L45" s="11"/>
      <c r="M45" s="11"/>
      <c r="N45" s="105" t="str">
        <f>IF(_epmOfflineCondition_,"Cost of Sales",IF(_xll.EVDES(H45,$B$1)="#NODATA","",_xll.EVDES(H45,$B$1)))</f>
        <v>Cost of Sales</v>
      </c>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65" t="s">
        <v>2</v>
      </c>
      <c r="B46" s="66" t="str">
        <f>IF(_epmOfflineCondition_,"'FB_Retail'!$B$2:$B$10",_xll.EVRNG($B$2:$B$10))</f>
        <v>'FB_Retail'!$B$2:$B$10</v>
      </c>
      <c r="C46" s="11"/>
      <c r="D46" s="11"/>
      <c r="E46" s="11"/>
      <c r="F46" s="11"/>
      <c r="G46" s="11"/>
      <c r="H46" s="88" t="s">
        <v>415</v>
      </c>
      <c r="I46" s="122" t="str">
        <f>IF(_epmOfflineCondition_,"N",_xll.EVPRO($B$1,$H46,"STYLE"))</f>
        <v>N</v>
      </c>
      <c r="J46" s="122" t="str">
        <f>IF(_epmOfflineCondition_,"N",_xll.EVPRO($B$1,$H46,"CALC"))</f>
        <v>N</v>
      </c>
      <c r="K46" s="179" t="str">
        <f t="shared" ref="K46:K56" si="12">IF(AND(I46&gt;="T5"),"&gt;","")</f>
        <v/>
      </c>
      <c r="L46" s="90" t="str">
        <f>IF(_epmOfflineCondition_,"569100",_xll.EVPRO($B$1,H46,"JDEID"))</f>
        <v>569100</v>
      </c>
      <c r="M46" s="90" t="str">
        <f>IF(_epmOfflineCondition_,"301010",IF(AND(I46="N",J46="N"),_xll.EVPRO($B$1,H46,"PSFTID"),""))</f>
        <v>301010</v>
      </c>
      <c r="N46" s="90" t="str">
        <f>IF(_epmOfflineCondition_,"Food COS",IF(_xll.EVDES(H46,$B$1)="#NODATA","",_xll.EVDES(H46,$B$1)))</f>
        <v>Food COS</v>
      </c>
      <c r="O46" s="143"/>
      <c r="P46" s="143"/>
      <c r="Q46" s="143"/>
      <c r="R46" s="143"/>
      <c r="S46" s="143"/>
      <c r="T46" s="143"/>
      <c r="U46" s="143"/>
      <c r="V46" s="143"/>
      <c r="W46" s="143"/>
      <c r="X46" s="143"/>
      <c r="Y46" s="143"/>
      <c r="Z46" s="143"/>
      <c r="AA46" s="143">
        <f t="shared" ref="AA46:AA54" si="13">IF($I46="B1","",SUM(O46:Z46))</f>
        <v>0</v>
      </c>
      <c r="AB46" s="144" t="str">
        <f>IF(_epmOfflineCondition_,"",IF(AA46=0,"",IFERROR(AA46/_xll.EVGTS($B$1,1,_xll.EVPRO($B$1,$H46,"COSBASIS"),$B$3,$B$5,$B$6,$B$7,$B$9,AA$16,AA$17,AA$11),"")))</f>
        <v/>
      </c>
      <c r="AC46" s="140"/>
      <c r="AD46" s="143"/>
      <c r="AE46" s="144" t="str">
        <f>IF(_epmOfflineCondition_,"",IF(AD46=0,"",IFERROR(AD46/_xll.EVGTS($B$1,1,_xll.EVPRO($B$1,$H46,"COSBASIS"),$B$3,$B$5,$B$6,$B$7,$B$9,AD$16,AD$17,AD$18),"")))</f>
        <v/>
      </c>
      <c r="AF46" s="145">
        <f t="shared" ref="AF46:AF56" si="14">IF(AND($AA46="",AD46=""),"",$AA46-AD46)</f>
        <v>0</v>
      </c>
      <c r="AG46" s="143"/>
      <c r="AH46" s="144" t="str">
        <f>IF(_epmOfflineCondition_,"",IF(AG46=0,"",IFERROR(AG46/_xll.EVGTS($B$1,1,_xll.EVPRO($B$1,$H46,"COSBASIS"),$B$3,$B$5,$B$6,$B$7,$B$9,AG$16,AG$17,AG$18),"")))</f>
        <v/>
      </c>
      <c r="AI46" s="145">
        <f t="shared" ref="AI46:AI56" si="15">IF(AND($AA46="",AG46=""),"",$AA46-AG46)</f>
        <v>0</v>
      </c>
      <c r="AJ46" s="440">
        <f t="shared" ref="AJ46:AJ56" si="16">IFERROR(AA46/AA$20,0)</f>
        <v>0</v>
      </c>
      <c r="AK46" s="441">
        <f t="shared" ref="AK46:AK56" si="17">IFERROR(AD46/AD$20,0)</f>
        <v>0</v>
      </c>
      <c r="AL46" s="442">
        <f t="shared" ref="AL46:AL56" si="18">IFERROR(AG46/AG$20,0)</f>
        <v>0</v>
      </c>
      <c r="AM46" s="443">
        <f t="shared" ref="AM46:AM56" si="19">+IFERROR(ROUND(($AB46-AE46)*100,2)&amp;" pts.",0)</f>
        <v>0</v>
      </c>
      <c r="AN46" s="444">
        <f t="shared" ref="AN46:AN56" si="20">+IFERROR(ROUND(($AB46-AH46)*100,2)&amp;" pts.",0)</f>
        <v>0</v>
      </c>
      <c r="AO46" s="11"/>
    </row>
    <row r="47" spans="1:41" x14ac:dyDescent="0.35">
      <c r="A47" s="65" t="s">
        <v>3</v>
      </c>
      <c r="B47" s="66" t="str">
        <f>IF(_epmOfflineCondition_,"'FB_Retail'!$O$16:$AN$18",_xll.EVRNG($O$16:$AN$18))</f>
        <v>'FB_Retail'!$O$16:$AN$18</v>
      </c>
      <c r="C47" s="11"/>
      <c r="D47" s="11"/>
      <c r="E47" s="11"/>
      <c r="F47" s="11"/>
      <c r="G47" s="11"/>
      <c r="H47" s="88" t="s">
        <v>416</v>
      </c>
      <c r="I47" s="122" t="str">
        <f>IF(_epmOfflineCondition_,"N",_xll.EVPRO($B$1,$H47,"STYLE"))</f>
        <v>N</v>
      </c>
      <c r="J47" s="122" t="str">
        <f>IF(_epmOfflineCondition_,"N",_xll.EVPRO($B$1,$H47,"CALC"))</f>
        <v>N</v>
      </c>
      <c r="K47" s="179" t="str">
        <f t="shared" si="12"/>
        <v/>
      </c>
      <c r="L47" s="90" t="str">
        <f>IF(_epmOfflineCondition_,"569200",_xll.EVPRO($B$1,H47,"JDEID"))</f>
        <v>569200</v>
      </c>
      <c r="M47" s="90" t="str">
        <f>IF(_epmOfflineCondition_,"301010",IF(AND(I47="N",J47="N"),_xll.EVPRO($B$1,H47,"PSFTID"),""))</f>
        <v>301010</v>
      </c>
      <c r="N47" s="90" t="str">
        <f>IF(_epmOfflineCondition_,"Food Retail COS",IF(_xll.EVDES(H47,$B$1)="#NODATA","",_xll.EVDES(H47,$B$1)))</f>
        <v>Food Retail COS</v>
      </c>
      <c r="O47" s="143"/>
      <c r="P47" s="143"/>
      <c r="Q47" s="143"/>
      <c r="R47" s="143"/>
      <c r="S47" s="143"/>
      <c r="T47" s="143"/>
      <c r="U47" s="143"/>
      <c r="V47" s="143"/>
      <c r="W47" s="143"/>
      <c r="X47" s="143"/>
      <c r="Y47" s="143"/>
      <c r="Z47" s="143"/>
      <c r="AA47" s="143">
        <f t="shared" si="13"/>
        <v>0</v>
      </c>
      <c r="AB47" s="144" t="str">
        <f>IF(_epmOfflineCondition_,"",IF(AA47=0,"",IFERROR(AA47/_xll.EVGTS($B$1,1,_xll.EVPRO($B$1,$H47,"COSBASIS"),$B$3,$B$5,$B$6,$B$7,$B$9,AA$16,AA$17,AA$11),"")))</f>
        <v/>
      </c>
      <c r="AC47" s="140"/>
      <c r="AD47" s="143"/>
      <c r="AE47" s="144" t="str">
        <f>IF(_epmOfflineCondition_,"",IF(AD47=0,"",IFERROR(AD47/_xll.EVGTS($B$1,1,_xll.EVPRO($B$1,$H47,"COSBASIS"),$B$3,$B$5,$B$6,$B$7,$B$9,AD$16,AD$17,AD$18),"")))</f>
        <v/>
      </c>
      <c r="AF47" s="145">
        <f t="shared" si="14"/>
        <v>0</v>
      </c>
      <c r="AG47" s="143"/>
      <c r="AH47" s="144" t="str">
        <f>IF(_epmOfflineCondition_,"",IF(AG47=0,"",IFERROR(AG47/_xll.EVGTS($B$1,1,_xll.EVPRO($B$1,$H47,"COSBASIS"),$B$3,$B$5,$B$6,$B$7,$B$9,AG$16,AG$17,AG$18),"")))</f>
        <v/>
      </c>
      <c r="AI47" s="145">
        <f t="shared" si="15"/>
        <v>0</v>
      </c>
      <c r="AJ47" s="440">
        <f t="shared" si="16"/>
        <v>0</v>
      </c>
      <c r="AK47" s="441">
        <f t="shared" si="17"/>
        <v>0</v>
      </c>
      <c r="AL47" s="442">
        <f t="shared" si="18"/>
        <v>0</v>
      </c>
      <c r="AM47" s="443">
        <f t="shared" si="19"/>
        <v>0</v>
      </c>
      <c r="AN47" s="444">
        <f t="shared" si="20"/>
        <v>0</v>
      </c>
      <c r="AO47" s="11"/>
    </row>
    <row r="48" spans="1:41" x14ac:dyDescent="0.35">
      <c r="A48" s="65" t="s">
        <v>4</v>
      </c>
      <c r="B48" s="66" t="str">
        <f>IF(_epmOfflineCondition_,"'FB_Retail'!$H$46:$H$54",_xll.EVRNG(H46:H54))</f>
        <v>'FB_Retail'!$H$46:$H$54</v>
      </c>
      <c r="C48" s="11"/>
      <c r="D48" s="11"/>
      <c r="E48" s="11"/>
      <c r="F48" s="11"/>
      <c r="G48" s="11"/>
      <c r="H48" s="88" t="s">
        <v>417</v>
      </c>
      <c r="I48" s="122" t="str">
        <f>IF(_epmOfflineCondition_,"N",_xll.EVPRO($B$1,$H48,"STYLE"))</f>
        <v>N</v>
      </c>
      <c r="J48" s="122" t="str">
        <f>IF(_epmOfflineCondition_,"N",_xll.EVPRO($B$1,$H48,"CALC"))</f>
        <v>N</v>
      </c>
      <c r="K48" s="179" t="str">
        <f t="shared" si="12"/>
        <v/>
      </c>
      <c r="L48" s="90" t="str">
        <f>IF(_epmOfflineCondition_,"569300",_xll.EVPRO($B$1,H48,"JDEID"))</f>
        <v>569300</v>
      </c>
      <c r="M48" s="90" t="str">
        <f>IF(_epmOfflineCondition_,"301090",IF(AND(I48="N",J48="N"),_xll.EVPRO($B$1,H48,"PSFTID"),""))</f>
        <v>301090</v>
      </c>
      <c r="N48" s="90" t="str">
        <f>IF(_epmOfflineCondition_,"Liquor Retail COS",IF(_xll.EVDES(H48,$B$1)="#NODATA","",_xll.EVDES(H48,$B$1)))</f>
        <v>Liquor Retail COS</v>
      </c>
      <c r="O48" s="143"/>
      <c r="P48" s="143"/>
      <c r="Q48" s="143"/>
      <c r="R48" s="143"/>
      <c r="S48" s="143"/>
      <c r="T48" s="143"/>
      <c r="U48" s="143"/>
      <c r="V48" s="143"/>
      <c r="W48" s="143"/>
      <c r="X48" s="143"/>
      <c r="Y48" s="143"/>
      <c r="Z48" s="143"/>
      <c r="AA48" s="143">
        <f t="shared" si="13"/>
        <v>0</v>
      </c>
      <c r="AB48" s="144" t="str">
        <f>IF(_epmOfflineCondition_,"",IF(AA48=0,"",IFERROR(AA48/_xll.EVGTS($B$1,1,_xll.EVPRO($B$1,$H48,"COSBASIS"),$B$3,$B$5,$B$6,$B$7,$B$9,AA$16,AA$17,AA$11),"")))</f>
        <v/>
      </c>
      <c r="AC48" s="140"/>
      <c r="AD48" s="143"/>
      <c r="AE48" s="144" t="str">
        <f>IF(_epmOfflineCondition_,"",IF(AD48=0,"",IFERROR(AD48/_xll.EVGTS($B$1,1,_xll.EVPRO($B$1,$H48,"COSBASIS"),$B$3,$B$5,$B$6,$B$7,$B$9,AD$16,AD$17,AD$18),"")))</f>
        <v/>
      </c>
      <c r="AF48" s="145">
        <f t="shared" si="14"/>
        <v>0</v>
      </c>
      <c r="AG48" s="143"/>
      <c r="AH48" s="144" t="str">
        <f>IF(_epmOfflineCondition_,"",IF(AG48=0,"",IFERROR(AG48/_xll.EVGTS($B$1,1,_xll.EVPRO($B$1,$H48,"COSBASIS"),$B$3,$B$5,$B$6,$B$7,$B$9,AG$16,AG$17,AG$18),"")))</f>
        <v/>
      </c>
      <c r="AI48" s="145">
        <f t="shared" si="15"/>
        <v>0</v>
      </c>
      <c r="AJ48" s="440">
        <f t="shared" si="16"/>
        <v>0</v>
      </c>
      <c r="AK48" s="441">
        <f t="shared" si="17"/>
        <v>0</v>
      </c>
      <c r="AL48" s="442">
        <f t="shared" si="18"/>
        <v>0</v>
      </c>
      <c r="AM48" s="443">
        <f t="shared" si="19"/>
        <v>0</v>
      </c>
      <c r="AN48" s="444">
        <f t="shared" si="20"/>
        <v>0</v>
      </c>
      <c r="AO48" s="11"/>
    </row>
    <row r="49" spans="1:41" x14ac:dyDescent="0.35">
      <c r="A49" s="65" t="s">
        <v>5</v>
      </c>
      <c r="B49" s="66"/>
      <c r="C49" s="11"/>
      <c r="D49" s="11"/>
      <c r="E49" s="11"/>
      <c r="F49" s="384"/>
      <c r="G49" s="11"/>
      <c r="H49" s="88" t="s">
        <v>418</v>
      </c>
      <c r="I49" s="122" t="str">
        <f>IF(_epmOfflineCondition_,"N",_xll.EVPRO($B$1,$H49,"STYLE"))</f>
        <v>N</v>
      </c>
      <c r="J49" s="122" t="str">
        <f>IF(_epmOfflineCondition_,"N",_xll.EVPRO($B$1,$H49,"CALC"))</f>
        <v>N</v>
      </c>
      <c r="K49" s="179" t="str">
        <f t="shared" si="12"/>
        <v/>
      </c>
      <c r="L49" s="90" t="str">
        <f>IF(_epmOfflineCondition_,"569400",_xll.EVPRO($B$1,H49,"JDEID"))</f>
        <v>569400</v>
      </c>
      <c r="M49" s="90" t="str">
        <f>IF(_epmOfflineCondition_,"302050",IF(AND(I49="N",J49="N"),_xll.EVPRO($B$1,H49,"PSFTID"),""))</f>
        <v>302050</v>
      </c>
      <c r="N49" s="90" t="str">
        <f>IF(_epmOfflineCondition_,"Beer Retail COS",IF(_xll.EVDES(H49,$B$1)="#NODATA","",_xll.EVDES(H49,$B$1)))</f>
        <v>Beer Retail COS</v>
      </c>
      <c r="O49" s="143"/>
      <c r="P49" s="143"/>
      <c r="Q49" s="143"/>
      <c r="R49" s="143"/>
      <c r="S49" s="143"/>
      <c r="T49" s="143"/>
      <c r="U49" s="143"/>
      <c r="V49" s="143"/>
      <c r="W49" s="143"/>
      <c r="X49" s="143"/>
      <c r="Y49" s="143"/>
      <c r="Z49" s="143"/>
      <c r="AA49" s="143">
        <f t="shared" si="13"/>
        <v>0</v>
      </c>
      <c r="AB49" s="144" t="str">
        <f>IF(_epmOfflineCondition_,"",IF(AA49=0,"",IFERROR(AA49/_xll.EVGTS($B$1,1,_xll.EVPRO($B$1,$H49,"COSBASIS"),$B$3,$B$5,$B$6,$B$7,$B$9,AA$16,AA$17,AA$11),"")))</f>
        <v/>
      </c>
      <c r="AC49" s="140"/>
      <c r="AD49" s="143"/>
      <c r="AE49" s="144" t="str">
        <f>IF(_epmOfflineCondition_,"",IF(AD49=0,"",IFERROR(AD49/_xll.EVGTS($B$1,1,_xll.EVPRO($B$1,$H49,"COSBASIS"),$B$3,$B$5,$B$6,$B$7,$B$9,AD$16,AD$17,AD$18),"")))</f>
        <v/>
      </c>
      <c r="AF49" s="145">
        <f t="shared" si="14"/>
        <v>0</v>
      </c>
      <c r="AG49" s="143"/>
      <c r="AH49" s="144" t="str">
        <f>IF(_epmOfflineCondition_,"",IF(AG49=0,"",IFERROR(AG49/_xll.EVGTS($B$1,1,_xll.EVPRO($B$1,$H49,"COSBASIS"),$B$3,$B$5,$B$6,$B$7,$B$9,AG$16,AG$17,AG$18),"")))</f>
        <v/>
      </c>
      <c r="AI49" s="145">
        <f t="shared" si="15"/>
        <v>0</v>
      </c>
      <c r="AJ49" s="440">
        <f t="shared" si="16"/>
        <v>0</v>
      </c>
      <c r="AK49" s="441">
        <f t="shared" si="17"/>
        <v>0</v>
      </c>
      <c r="AL49" s="442">
        <f t="shared" si="18"/>
        <v>0</v>
      </c>
      <c r="AM49" s="443">
        <f t="shared" si="19"/>
        <v>0</v>
      </c>
      <c r="AN49" s="444">
        <f t="shared" si="20"/>
        <v>0</v>
      </c>
      <c r="AO49" s="11"/>
    </row>
    <row r="50" spans="1:41" x14ac:dyDescent="0.35">
      <c r="A50" s="65" t="s">
        <v>6</v>
      </c>
      <c r="B50" s="66"/>
      <c r="C50" s="11"/>
      <c r="D50" s="11"/>
      <c r="E50" s="11"/>
      <c r="F50" s="384"/>
      <c r="G50" s="11"/>
      <c r="H50" s="88" t="s">
        <v>419</v>
      </c>
      <c r="I50" s="122" t="str">
        <f>IF(_epmOfflineCondition_,"N",_xll.EVPRO($B$1,$H50,"STYLE"))</f>
        <v>N</v>
      </c>
      <c r="J50" s="122" t="str">
        <f>IF(_epmOfflineCondition_,"N",_xll.EVPRO($B$1,$H50,"CALC"))</f>
        <v>N</v>
      </c>
      <c r="K50" s="179" t="str">
        <f t="shared" si="12"/>
        <v/>
      </c>
      <c r="L50" s="90" t="str">
        <f>IF(_epmOfflineCondition_,"569500",_xll.EVPRO($B$1,H50,"JDEID"))</f>
        <v>569500</v>
      </c>
      <c r="M50" s="90" t="str">
        <f>IF(_epmOfflineCondition_,"302055",IF(AND(I50="N",J50="N"),_xll.EVPRO($B$1,H50,"PSFTID"),""))</f>
        <v>302055</v>
      </c>
      <c r="N50" s="90" t="str">
        <f>IF(_epmOfflineCondition_,"Wine Retail COS",IF(_xll.EVDES(H50,$B$1)="#NODATA","",_xll.EVDES(H50,$B$1)))</f>
        <v>Wine Retail COS</v>
      </c>
      <c r="O50" s="143"/>
      <c r="P50" s="143"/>
      <c r="Q50" s="143"/>
      <c r="R50" s="143"/>
      <c r="S50" s="143"/>
      <c r="T50" s="143"/>
      <c r="U50" s="143"/>
      <c r="V50" s="143"/>
      <c r="W50" s="143"/>
      <c r="X50" s="143"/>
      <c r="Y50" s="143"/>
      <c r="Z50" s="143"/>
      <c r="AA50" s="143">
        <f t="shared" si="13"/>
        <v>0</v>
      </c>
      <c r="AB50" s="144" t="str">
        <f>IF(_epmOfflineCondition_,"",IF(AA50=0,"",IFERROR(AA50/_xll.EVGTS($B$1,1,_xll.EVPRO($B$1,$H50,"COSBASIS"),$B$3,$B$5,$B$6,$B$7,$B$9,AA$16,AA$17,AA$11),"")))</f>
        <v/>
      </c>
      <c r="AC50" s="140"/>
      <c r="AD50" s="143"/>
      <c r="AE50" s="144" t="str">
        <f>IF(_epmOfflineCondition_,"",IF(AD50=0,"",IFERROR(AD50/_xll.EVGTS($B$1,1,_xll.EVPRO($B$1,$H50,"COSBASIS"),$B$3,$B$5,$B$6,$B$7,$B$9,AD$16,AD$17,AD$18),"")))</f>
        <v/>
      </c>
      <c r="AF50" s="145">
        <f t="shared" si="14"/>
        <v>0</v>
      </c>
      <c r="AG50" s="143"/>
      <c r="AH50" s="144" t="str">
        <f>IF(_epmOfflineCondition_,"",IF(AG50=0,"",IFERROR(AG50/_xll.EVGTS($B$1,1,_xll.EVPRO($B$1,$H50,"COSBASIS"),$B$3,$B$5,$B$6,$B$7,$B$9,AG$16,AG$17,AG$18),"")))</f>
        <v/>
      </c>
      <c r="AI50" s="145">
        <f t="shared" si="15"/>
        <v>0</v>
      </c>
      <c r="AJ50" s="440">
        <f t="shared" si="16"/>
        <v>0</v>
      </c>
      <c r="AK50" s="441">
        <f t="shared" si="17"/>
        <v>0</v>
      </c>
      <c r="AL50" s="442">
        <f t="shared" si="18"/>
        <v>0</v>
      </c>
      <c r="AM50" s="443">
        <f t="shared" si="19"/>
        <v>0</v>
      </c>
      <c r="AN50" s="444">
        <f t="shared" si="20"/>
        <v>0</v>
      </c>
      <c r="AO50" s="11"/>
    </row>
    <row r="51" spans="1:41" x14ac:dyDescent="0.35">
      <c r="A51" s="65" t="s">
        <v>7</v>
      </c>
      <c r="B51" s="66" t="str">
        <f>IF(_epmOfflineCondition_,"'FB_Retail'!$A$65:$F$68",_xll.EVRNG(A65:F68))</f>
        <v>'FB_Retail'!$A$65:$F$68</v>
      </c>
      <c r="C51" s="11"/>
      <c r="D51" s="11"/>
      <c r="E51" s="11"/>
      <c r="F51" s="384"/>
      <c r="G51" s="11"/>
      <c r="H51" s="88" t="s">
        <v>420</v>
      </c>
      <c r="I51" s="122" t="str">
        <f>IF(_epmOfflineCondition_,"N",_xll.EVPRO($B$1,$H51,"STYLE"))</f>
        <v>N</v>
      </c>
      <c r="J51" s="122" t="str">
        <f>IF(_epmOfflineCondition_,"N",_xll.EVPRO($B$1,$H51,"CALC"))</f>
        <v>N</v>
      </c>
      <c r="K51" s="179" t="str">
        <f t="shared" si="12"/>
        <v/>
      </c>
      <c r="L51" s="90" t="str">
        <f>IF(_epmOfflineCondition_,"569600",_xll.EVPRO($B$1,H51,"JDEID"))</f>
        <v>569600</v>
      </c>
      <c r="M51" s="90" t="str">
        <f>IF(_epmOfflineCondition_,"306099",IF(AND(I51="N",J51="N"),_xll.EVPRO($B$1,H51,"PSFTID"),""))</f>
        <v>306099</v>
      </c>
      <c r="N51" s="90" t="str">
        <f>IF(_epmOfflineCondition_,"Giftware Retail COS",IF(_xll.EVDES(H51,$B$1)="#NODATA","",_xll.EVDES(H51,$B$1)))</f>
        <v>Giftware Retail COS</v>
      </c>
      <c r="O51" s="143"/>
      <c r="P51" s="143"/>
      <c r="Q51" s="143"/>
      <c r="R51" s="143"/>
      <c r="S51" s="143"/>
      <c r="T51" s="143"/>
      <c r="U51" s="143"/>
      <c r="V51" s="143"/>
      <c r="W51" s="143"/>
      <c r="X51" s="143"/>
      <c r="Y51" s="143"/>
      <c r="Z51" s="143"/>
      <c r="AA51" s="143">
        <f t="shared" si="13"/>
        <v>0</v>
      </c>
      <c r="AB51" s="144" t="str">
        <f>IF(_epmOfflineCondition_,"",IF(AA51=0,"",IFERROR(AA51/_xll.EVGTS($B$1,1,_xll.EVPRO($B$1,$H51,"COSBASIS"),$B$3,$B$5,$B$6,$B$7,$B$9,AA$16,AA$17,AA$11),"")))</f>
        <v/>
      </c>
      <c r="AC51" s="140"/>
      <c r="AD51" s="143"/>
      <c r="AE51" s="144" t="str">
        <f>IF(_epmOfflineCondition_,"",IF(AD51=0,"",IFERROR(AD51/_xll.EVGTS($B$1,1,_xll.EVPRO($B$1,$H51,"COSBASIS"),$B$3,$B$5,$B$6,$B$7,$B$9,AD$16,AD$17,AD$18),"")))</f>
        <v/>
      </c>
      <c r="AF51" s="145">
        <f t="shared" si="14"/>
        <v>0</v>
      </c>
      <c r="AG51" s="143"/>
      <c r="AH51" s="144" t="str">
        <f>IF(_epmOfflineCondition_,"",IF(AG51=0,"",IFERROR(AG51/_xll.EVGTS($B$1,1,_xll.EVPRO($B$1,$H51,"COSBASIS"),$B$3,$B$5,$B$6,$B$7,$B$9,AG$16,AG$17,AG$18),"")))</f>
        <v/>
      </c>
      <c r="AI51" s="145">
        <f t="shared" si="15"/>
        <v>0</v>
      </c>
      <c r="AJ51" s="440">
        <f t="shared" si="16"/>
        <v>0</v>
      </c>
      <c r="AK51" s="441">
        <f t="shared" si="17"/>
        <v>0</v>
      </c>
      <c r="AL51" s="442">
        <f t="shared" si="18"/>
        <v>0</v>
      </c>
      <c r="AM51" s="443">
        <f t="shared" si="19"/>
        <v>0</v>
      </c>
      <c r="AN51" s="444">
        <f t="shared" si="20"/>
        <v>0</v>
      </c>
      <c r="AO51" s="11"/>
    </row>
    <row r="52" spans="1:41" x14ac:dyDescent="0.35">
      <c r="A52" s="65" t="s">
        <v>47</v>
      </c>
      <c r="B52" s="66" t="str">
        <f>IF(_epmOfflineCondition_,"'FB_Retail'!$A$116:$B$137",_xll.EVRNG($A$116:$B$137))</f>
        <v>'FB_Retail'!$A$116:$B$137</v>
      </c>
      <c r="C52" s="11"/>
      <c r="D52" s="11"/>
      <c r="E52" s="11"/>
      <c r="F52" s="11"/>
      <c r="G52" s="11"/>
      <c r="H52" s="88" t="s">
        <v>421</v>
      </c>
      <c r="I52" s="122" t="str">
        <f>IF(_epmOfflineCondition_,"N",_xll.EVPRO($B$1,$H52,"STYLE"))</f>
        <v>N</v>
      </c>
      <c r="J52" s="122" t="str">
        <f>IF(_epmOfflineCondition_,"N",_xll.EVPRO($B$1,$H52,"CALC"))</f>
        <v>N</v>
      </c>
      <c r="K52" s="179" t="str">
        <f t="shared" si="12"/>
        <v/>
      </c>
      <c r="L52" s="90" t="str">
        <f>IF(_epmOfflineCondition_,"569700",_xll.EVPRO($B$1,H52,"JDEID"))</f>
        <v>569700</v>
      </c>
      <c r="M52" s="90" t="str">
        <f>IF(_epmOfflineCondition_,"NA",IF(AND(I52="N",J52="N"),_xll.EVPRO($B$1,H52,"PSFTID"),""))</f>
        <v>NA</v>
      </c>
      <c r="N52" s="90" t="str">
        <f>IF(_epmOfflineCondition_,"Books Retail COS",IF(_xll.EVDES(H52,$B$1)="#NODATA","",_xll.EVDES(H52,$B$1)))</f>
        <v>Books Retail COS</v>
      </c>
      <c r="O52" s="143"/>
      <c r="P52" s="143"/>
      <c r="Q52" s="143"/>
      <c r="R52" s="143"/>
      <c r="S52" s="143"/>
      <c r="T52" s="143"/>
      <c r="U52" s="143"/>
      <c r="V52" s="143"/>
      <c r="W52" s="143"/>
      <c r="X52" s="143"/>
      <c r="Y52" s="143"/>
      <c r="Z52" s="143"/>
      <c r="AA52" s="143">
        <f t="shared" si="13"/>
        <v>0</v>
      </c>
      <c r="AB52" s="144" t="str">
        <f>IF(_epmOfflineCondition_,"",IF(AA52=0,"",IFERROR(AA52/_xll.EVGTS($B$1,1,_xll.EVPRO($B$1,$H52,"COSBASIS"),$B$3,$B$5,$B$6,$B$7,$B$9,AA$16,AA$17,AA$11),"")))</f>
        <v/>
      </c>
      <c r="AC52" s="140"/>
      <c r="AD52" s="143"/>
      <c r="AE52" s="144" t="str">
        <f>IF(_epmOfflineCondition_,"",IF(AD52=0,"",IFERROR(AD52/_xll.EVGTS($B$1,1,_xll.EVPRO($B$1,$H52,"COSBASIS"),$B$3,$B$5,$B$6,$B$7,$B$9,AD$16,AD$17,AD$18),"")))</f>
        <v/>
      </c>
      <c r="AF52" s="145">
        <f t="shared" si="14"/>
        <v>0</v>
      </c>
      <c r="AG52" s="143"/>
      <c r="AH52" s="144" t="str">
        <f>IF(_epmOfflineCondition_,"",IF(AG52=0,"",IFERROR(AG52/_xll.EVGTS($B$1,1,_xll.EVPRO($B$1,$H52,"COSBASIS"),$B$3,$B$5,$B$6,$B$7,$B$9,AG$16,AG$17,AG$18),"")))</f>
        <v/>
      </c>
      <c r="AI52" s="145">
        <f t="shared" si="15"/>
        <v>0</v>
      </c>
      <c r="AJ52" s="440">
        <f t="shared" si="16"/>
        <v>0</v>
      </c>
      <c r="AK52" s="441">
        <f t="shared" si="17"/>
        <v>0</v>
      </c>
      <c r="AL52" s="442">
        <f t="shared" si="18"/>
        <v>0</v>
      </c>
      <c r="AM52" s="443">
        <f t="shared" si="19"/>
        <v>0</v>
      </c>
      <c r="AN52" s="444">
        <f t="shared" si="20"/>
        <v>0</v>
      </c>
      <c r="AO52" s="11"/>
    </row>
    <row r="53" spans="1:41" x14ac:dyDescent="0.35">
      <c r="A53" s="65" t="s">
        <v>8</v>
      </c>
      <c r="B53" s="66"/>
      <c r="C53" s="11"/>
      <c r="D53" s="11"/>
      <c r="E53" s="11"/>
      <c r="F53" s="11"/>
      <c r="G53" s="11"/>
      <c r="H53" s="88" t="s">
        <v>422</v>
      </c>
      <c r="I53" s="122" t="str">
        <f>IF(_epmOfflineCondition_,"N",_xll.EVPRO($B$1,$H53,"STYLE"))</f>
        <v>N</v>
      </c>
      <c r="J53" s="122" t="str">
        <f>IF(_epmOfflineCondition_,"N",_xll.EVPRO($B$1,$H53,"CALC"))</f>
        <v>N</v>
      </c>
      <c r="K53" s="179" t="str">
        <f t="shared" si="12"/>
        <v/>
      </c>
      <c r="L53" s="90" t="str">
        <f>IF(_epmOfflineCondition_,"569800",_xll.EVPRO($B$1,H53,"JDEID"))</f>
        <v>569800</v>
      </c>
      <c r="M53" s="90" t="str">
        <f>IF(_epmOfflineCondition_,"NA",IF(AND(I53="N",J53="N"),_xll.EVPRO($B$1,H53,"PSFTID"),""))</f>
        <v>NA</v>
      </c>
      <c r="N53" s="90" t="str">
        <f>IF(_epmOfflineCondition_,"Glassware Retail COS",IF(_xll.EVDES(H53,$B$1)="#NODATA","",_xll.EVDES(H53,$B$1)))</f>
        <v>Glassware Retail COS</v>
      </c>
      <c r="O53" s="217"/>
      <c r="P53" s="217"/>
      <c r="Q53" s="217"/>
      <c r="R53" s="217"/>
      <c r="S53" s="217"/>
      <c r="T53" s="217"/>
      <c r="U53" s="217"/>
      <c r="V53" s="217"/>
      <c r="W53" s="217"/>
      <c r="X53" s="217"/>
      <c r="Y53" s="217"/>
      <c r="Z53" s="217"/>
      <c r="AA53" s="217">
        <f t="shared" si="13"/>
        <v>0</v>
      </c>
      <c r="AB53" s="219" t="str">
        <f>IF(_epmOfflineCondition_,"",IF(AA53=0,"",IFERROR(AA53/_xll.EVGTS($B$1,1,_xll.EVPRO($B$1,$H53,"COSBASIS"),$B$3,$B$5,$B$6,$B$7,$B$9,AA$16,AA$17,AA$11),"")))</f>
        <v/>
      </c>
      <c r="AC53" s="140"/>
      <c r="AD53" s="217"/>
      <c r="AE53" s="219" t="str">
        <f>IF(_epmOfflineCondition_,"",IF(AD53=0,"",IFERROR(AD53/_xll.EVGTS($B$1,1,_xll.EVPRO($B$1,$H53,"COSBASIS"),$B$3,$B$5,$B$6,$B$7,$B$9,AD$16,AD$17,AD$18),"")))</f>
        <v/>
      </c>
      <c r="AF53" s="220">
        <f t="shared" si="14"/>
        <v>0</v>
      </c>
      <c r="AG53" s="217"/>
      <c r="AH53" s="219" t="str">
        <f>IF(_epmOfflineCondition_,"",IF(AG53=0,"",IFERROR(AG53/_xll.EVGTS($B$1,1,_xll.EVPRO($B$1,$H53,"COSBASIS"),$B$3,$B$5,$B$6,$B$7,$B$9,AG$16,AG$17,AG$18),"")))</f>
        <v/>
      </c>
      <c r="AI53" s="220">
        <f t="shared" si="15"/>
        <v>0</v>
      </c>
      <c r="AJ53" s="449">
        <f t="shared" si="16"/>
        <v>0</v>
      </c>
      <c r="AK53" s="450">
        <f t="shared" si="17"/>
        <v>0</v>
      </c>
      <c r="AL53" s="451">
        <f t="shared" si="18"/>
        <v>0</v>
      </c>
      <c r="AM53" s="452">
        <f t="shared" si="19"/>
        <v>0</v>
      </c>
      <c r="AN53" s="453">
        <f t="shared" si="20"/>
        <v>0</v>
      </c>
      <c r="AO53" s="11"/>
    </row>
    <row r="54" spans="1:41" x14ac:dyDescent="0.35">
      <c r="A54" s="11"/>
      <c r="B54" s="11"/>
      <c r="C54" s="11"/>
      <c r="D54" s="11"/>
      <c r="E54" s="11"/>
      <c r="F54" s="11"/>
      <c r="G54" s="11"/>
      <c r="H54" s="88" t="s">
        <v>289</v>
      </c>
      <c r="I54" s="188" t="str">
        <f>IF(_epmOfflineCondition_,"T3",_xll.EVPRO($B$1,$H54,"STYLE"))</f>
        <v>T3</v>
      </c>
      <c r="J54" s="188" t="str">
        <f>IF(_epmOfflineCondition_,"Y",_xll.EVPRO($B$1,$H54,"CALC"))</f>
        <v>Y</v>
      </c>
      <c r="K54" s="189" t="str">
        <f t="shared" si="12"/>
        <v/>
      </c>
      <c r="L54" s="190" t="str">
        <f>IF(_epmOfflineCondition_,"500001",_xll.EVPRO($B$1,H54,"JDEID"))</f>
        <v>500001</v>
      </c>
      <c r="M54" s="190" t="str">
        <f>IF(_epmOfflineCondition_,"",IF(AND(I54="N",J54="N"),_xll.EVPRO($B$1,H54,"PSFTID"),""))</f>
        <v/>
      </c>
      <c r="N54" s="190" t="str">
        <f>IF(_epmOfflineCondition_,"Total Cost of Sales",IF(_xll.EVDES(H54,$B$1)="#NODATA","",_xll.EVDES(H54,$B$1)))</f>
        <v>Total Cost of Sales</v>
      </c>
      <c r="O54" s="225"/>
      <c r="P54" s="225"/>
      <c r="Q54" s="225"/>
      <c r="R54" s="225"/>
      <c r="S54" s="225"/>
      <c r="T54" s="225"/>
      <c r="U54" s="225"/>
      <c r="V54" s="225"/>
      <c r="W54" s="225"/>
      <c r="X54" s="225"/>
      <c r="Y54" s="225"/>
      <c r="Z54" s="225"/>
      <c r="AA54" s="225">
        <f t="shared" si="13"/>
        <v>0</v>
      </c>
      <c r="AB54" s="226" t="str">
        <f>IF(_epmOfflineCondition_,"",IF(AA54=0,"",IFERROR(AA54/_xll.EVGTS($B$1,1,_xll.EVPRO($B$1,$H54,"COSBASIS"),$B$3,$B$5,$B$6,$B$7,$B$9,AA$16,AA$17,AA$11),"")))</f>
        <v/>
      </c>
      <c r="AC54" s="227"/>
      <c r="AD54" s="225"/>
      <c r="AE54" s="226" t="str">
        <f>IF(_epmOfflineCondition_,"",IF(AD54=0,"",IFERROR(AD54/_xll.EVGTS($B$1,1,_xll.EVPRO($B$1,$H54,"COSBASIS"),$B$3,$B$5,$B$6,$B$7,$B$9,AD$16,AD$17,AD$18),"")))</f>
        <v/>
      </c>
      <c r="AF54" s="228">
        <f t="shared" si="14"/>
        <v>0</v>
      </c>
      <c r="AG54" s="225"/>
      <c r="AH54" s="226" t="str">
        <f>IF(_epmOfflineCondition_,"",IF(AG54=0,"",IFERROR(AG54/_xll.EVGTS($B$1,1,_xll.EVPRO($B$1,$H54,"COSBASIS"),$B$3,$B$5,$B$6,$B$7,$B$9,AG$16,AG$17,AG$18),"")))</f>
        <v/>
      </c>
      <c r="AI54" s="228">
        <f t="shared" si="15"/>
        <v>0</v>
      </c>
      <c r="AJ54" s="229">
        <f t="shared" si="16"/>
        <v>0</v>
      </c>
      <c r="AK54" s="230">
        <f t="shared" si="17"/>
        <v>0</v>
      </c>
      <c r="AL54" s="232">
        <f t="shared" si="18"/>
        <v>0</v>
      </c>
      <c r="AM54" s="427">
        <f t="shared" si="19"/>
        <v>0</v>
      </c>
      <c r="AN54" s="456">
        <f t="shared" si="20"/>
        <v>0</v>
      </c>
      <c r="AO54" s="11"/>
    </row>
    <row r="55" spans="1:41" x14ac:dyDescent="0.35">
      <c r="A55" s="62" t="s">
        <v>9</v>
      </c>
      <c r="B55" s="63" t="s">
        <v>10</v>
      </c>
      <c r="C55" s="11"/>
      <c r="D55" s="11"/>
      <c r="E55" s="11"/>
      <c r="F55" s="11"/>
      <c r="G55" s="11"/>
      <c r="H55" s="185" t="s">
        <v>175</v>
      </c>
      <c r="I55" s="89" t="str">
        <f>IF(_epmOfflineCondition_,"B1",_xll.EVPRO($B$1,$H55,"STYLE"))</f>
        <v>B1</v>
      </c>
      <c r="J55" s="89" t="str">
        <f>IF(_epmOfflineCondition_,"Y",_xll.EVPRO($B$1,$H55,"CALC"))</f>
        <v>Y</v>
      </c>
      <c r="K55" s="265" t="str">
        <f t="shared" si="12"/>
        <v/>
      </c>
      <c r="L55" s="265"/>
      <c r="M55" s="265"/>
      <c r="N55" s="106" t="str">
        <f>IF(_epmOfflineCondition_,"BLANKROW",IF(_xll.EVDES(H55,$B$1)="#NODATA","",_xll.EVDES(H55,$B$1)))</f>
        <v>BLANKROW</v>
      </c>
      <c r="O55" s="205"/>
      <c r="P55" s="205"/>
      <c r="Q55" s="205"/>
      <c r="R55" s="205"/>
      <c r="S55" s="205"/>
      <c r="T55" s="205"/>
      <c r="U55" s="205"/>
      <c r="V55" s="205"/>
      <c r="W55" s="205"/>
      <c r="X55" s="205"/>
      <c r="Y55" s="205"/>
      <c r="Z55" s="205"/>
      <c r="AA55" s="205"/>
      <c r="AB55" s="206" t="str">
        <f>IF(_epmOfflineCondition_,"",IF(O55=0,"",IFERROR(O55/_xll.EVGTS($B$1,1,INDEX($C$143:$C$166,MATCH($H55,$A$143:$A$166,0)),$B$3,$B$5,$B$6,$B$7,$B$9,O$16,O$17,O$18),"")))</f>
        <v/>
      </c>
      <c r="AC55" s="11"/>
      <c r="AD55" s="205"/>
      <c r="AE55" s="206" t="str">
        <f>IF(_epmOfflineCondition_,"",IF(AD55=0,"",IFERROR(AD55/_xll.EVGTS($B$1,1,INDEX($C$143:$C$166,MATCH($H55,$A$143:$A$166,0)),$B$3,$B$5,$B$6,$B$7,$B$9,AD$16,AD$17,AD$18),"")))</f>
        <v/>
      </c>
      <c r="AF55" s="207" t="str">
        <f t="shared" si="14"/>
        <v/>
      </c>
      <c r="AG55" s="205"/>
      <c r="AH55" s="206" t="str">
        <f>IF(_epmOfflineCondition_,"",IF(AG55=0,"",IFERROR(AG55/_xll.EVGTS($B$1,1,INDEX($C$143:$C$166,MATCH($H55,$A$143:$A$166,0)),$B$3,$B$5,$B$6,$B$7,$B$9,AG$16,AG$17,AG$18),"")))</f>
        <v/>
      </c>
      <c r="AI55" s="207" t="str">
        <f t="shared" si="15"/>
        <v/>
      </c>
      <c r="AJ55" s="523">
        <f t="shared" si="16"/>
        <v>0</v>
      </c>
      <c r="AK55" s="524">
        <f t="shared" si="17"/>
        <v>0</v>
      </c>
      <c r="AL55" s="525">
        <f t="shared" si="18"/>
        <v>0</v>
      </c>
      <c r="AM55" s="526">
        <f t="shared" si="19"/>
        <v>0</v>
      </c>
      <c r="AN55" s="527">
        <f t="shared" si="20"/>
        <v>0</v>
      </c>
      <c r="AO55" s="11"/>
    </row>
    <row r="56" spans="1:41" x14ac:dyDescent="0.35">
      <c r="A56" s="65" t="s">
        <v>11</v>
      </c>
      <c r="B56" s="66" t="s">
        <v>21</v>
      </c>
      <c r="C56" s="11"/>
      <c r="D56" s="11"/>
      <c r="E56" s="11"/>
      <c r="F56" s="11"/>
      <c r="G56" s="76"/>
      <c r="H56" s="185" t="s">
        <v>292</v>
      </c>
      <c r="I56" s="89" t="str">
        <f>IF(_epmOfflineCondition_,"T3",_xll.EVPRO($B$1,$H56,"STYLE"))</f>
        <v>T3</v>
      </c>
      <c r="J56" s="89" t="str">
        <f>IF(_epmOfflineCondition_,"Y",_xll.EVPRO($B$1,$H56,"CALC"))</f>
        <v>Y</v>
      </c>
      <c r="K56" s="265" t="str">
        <f t="shared" si="12"/>
        <v/>
      </c>
      <c r="L56" s="265"/>
      <c r="M56" s="265"/>
      <c r="N56" s="106" t="str">
        <f>IF(_epmOfflineCondition_,"Gross Profit",IF(_xll.EVDES(H56,$B$1)="#NODATA","",_xll.EVDES(H56,$B$1)))</f>
        <v>Gross Profit</v>
      </c>
      <c r="O56" s="123">
        <f t="shared" ref="O56:Z56" si="21">SUMIF($H$34:$H$54,"400000",O34:O54)-SUMIF($H$34:$H$54,"500001",O34:O54)</f>
        <v>0</v>
      </c>
      <c r="P56" s="123">
        <f t="shared" si="21"/>
        <v>0</v>
      </c>
      <c r="Q56" s="123">
        <f t="shared" si="21"/>
        <v>0</v>
      </c>
      <c r="R56" s="123">
        <f t="shared" si="21"/>
        <v>0</v>
      </c>
      <c r="S56" s="123">
        <f t="shared" si="21"/>
        <v>0</v>
      </c>
      <c r="T56" s="123">
        <f t="shared" si="21"/>
        <v>0</v>
      </c>
      <c r="U56" s="123">
        <f t="shared" si="21"/>
        <v>0</v>
      </c>
      <c r="V56" s="123">
        <f t="shared" si="21"/>
        <v>0</v>
      </c>
      <c r="W56" s="123">
        <f t="shared" si="21"/>
        <v>0</v>
      </c>
      <c r="X56" s="123">
        <f t="shared" si="21"/>
        <v>0</v>
      </c>
      <c r="Y56" s="123">
        <f t="shared" si="21"/>
        <v>0</v>
      </c>
      <c r="Z56" s="123">
        <f t="shared" si="21"/>
        <v>0</v>
      </c>
      <c r="AA56" s="123">
        <f>IF($I56="B1","",SUM(O56:Z56))</f>
        <v>0</v>
      </c>
      <c r="AB56" s="192" t="str">
        <f>IF(AA56=0,"",IFERROR(AA56/AA$19,""))</f>
        <v/>
      </c>
      <c r="AC56" s="11"/>
      <c r="AD56" s="123">
        <f>SUMIF($H$34:$H$54,"400000",AD34:AD54)-SUMIF($H$34:$H$54,"500001",AD34:AD54)</f>
        <v>0</v>
      </c>
      <c r="AE56" s="192" t="str">
        <f>IF(AD56=0,"",IFERROR(AD56/AD$19,""))</f>
        <v/>
      </c>
      <c r="AF56" s="125">
        <f t="shared" si="14"/>
        <v>0</v>
      </c>
      <c r="AG56" s="123">
        <f>SUMIF($H$34:$H$54,"400000",AG34:AG54)-SUMIF($H$34:$H$54,"500001",AG34:AG54)</f>
        <v>0</v>
      </c>
      <c r="AH56" s="192" t="str">
        <f>IF(AG56=0,"",IFERROR(AG56/AG$19,""))</f>
        <v/>
      </c>
      <c r="AI56" s="125">
        <f t="shared" si="15"/>
        <v>0</v>
      </c>
      <c r="AJ56" s="388">
        <f t="shared" si="16"/>
        <v>0</v>
      </c>
      <c r="AK56" s="389">
        <f t="shared" si="17"/>
        <v>0</v>
      </c>
      <c r="AL56" s="390">
        <f t="shared" si="18"/>
        <v>0</v>
      </c>
      <c r="AM56" s="391">
        <f t="shared" si="19"/>
        <v>0</v>
      </c>
      <c r="AN56" s="544">
        <f t="shared" si="20"/>
        <v>0</v>
      </c>
      <c r="AO56" s="11"/>
    </row>
    <row r="57" spans="1:41" x14ac:dyDescent="0.35">
      <c r="A57" s="65" t="s">
        <v>12</v>
      </c>
      <c r="B57" s="66" t="s">
        <v>22</v>
      </c>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393"/>
      <c r="AE57" s="204"/>
      <c r="AF57" s="118"/>
      <c r="AG57" s="204"/>
      <c r="AH57" s="204"/>
      <c r="AI57" s="118"/>
      <c r="AJ57" s="11"/>
      <c r="AK57" s="11"/>
      <c r="AL57" s="11"/>
      <c r="AM57" s="11"/>
      <c r="AN57" s="11"/>
      <c r="AO57" s="11"/>
    </row>
    <row r="58" spans="1:41" x14ac:dyDescent="0.35">
      <c r="A58" s="65" t="s">
        <v>13</v>
      </c>
      <c r="B58" s="66" t="str">
        <f>"DEP(569000) AND "&amp;$E$6&amp;"=Y,500001"</f>
        <v>DEP(569000) AND D2149=Y,500001</v>
      </c>
      <c r="C58" s="11"/>
      <c r="D58" s="11"/>
      <c r="E58" s="11"/>
      <c r="F58" s="11"/>
      <c r="G58" s="11"/>
      <c r="H58" s="11" t="s">
        <v>73</v>
      </c>
      <c r="I58" s="59" t="str">
        <f>IF(_epmOfflineCondition_,"B1",_xll.EVPRO($B$1,$H58,"STYLE"))</f>
        <v>B1</v>
      </c>
      <c r="J58" s="59" t="str">
        <f>IF(_epmOfflineCondition_,"Y",_xll.EVPRO($B$1,$H58,"CALC"))</f>
        <v>Y</v>
      </c>
      <c r="K58" s="11"/>
      <c r="L58" s="11"/>
      <c r="M58" s="11"/>
      <c r="N58" s="105" t="str">
        <f>IF(_epmOfflineCondition_,"Labor &amp; Related Expenses",IF(_xll.EVDES(H58,$B$1)="#NODATA","",_xll.EVDES(H58,$B$1)))</f>
        <v>Labor &amp; Related Expenses</v>
      </c>
      <c r="O58" s="203"/>
      <c r="P58" s="204"/>
      <c r="Q58" s="204"/>
      <c r="R58" s="204"/>
      <c r="S58" s="204"/>
      <c r="T58" s="204"/>
      <c r="U58" s="204"/>
      <c r="V58" s="204"/>
      <c r="W58" s="204"/>
      <c r="X58" s="204"/>
      <c r="Y58" s="204"/>
      <c r="Z58" s="204"/>
      <c r="AA58" s="204"/>
      <c r="AB58" s="410"/>
      <c r="AC58" s="11"/>
      <c r="AD58" s="411"/>
      <c r="AE58" s="412"/>
      <c r="AF58" s="118"/>
      <c r="AG58" s="204"/>
      <c r="AH58" s="412"/>
      <c r="AI58" s="118"/>
      <c r="AJ58" s="11"/>
      <c r="AK58" s="11"/>
      <c r="AL58" s="11"/>
      <c r="AM58" s="11"/>
      <c r="AN58" s="11"/>
      <c r="AO58" s="11"/>
    </row>
    <row r="59" spans="1:41" x14ac:dyDescent="0.35">
      <c r="A59" s="65" t="s">
        <v>14</v>
      </c>
      <c r="B59" s="66"/>
      <c r="C59" s="11"/>
      <c r="D59" s="11"/>
      <c r="E59" s="11"/>
      <c r="F59" s="11"/>
      <c r="G59" s="11"/>
      <c r="H59" s="11" t="s">
        <v>74</v>
      </c>
      <c r="I59" s="59" t="str">
        <f>IF(_epmOfflineCondition_,"B1",_xll.EVPRO($B$1,$H59,"STYLE"))</f>
        <v>B1</v>
      </c>
      <c r="J59" s="59" t="str">
        <f>IF(_epmOfflineCondition_,"Y",_xll.EVPRO($B$1,$H59,"CALC"))</f>
        <v>Y</v>
      </c>
      <c r="K59" s="11"/>
      <c r="L59" s="11"/>
      <c r="M59" s="11"/>
      <c r="N59" s="53" t="str">
        <f>IF(_epmOfflineCondition_,"Salaries &amp; Wages",IF(_xll.EVDES(H59,$B$1)="#NODATA","",_xll.EVDES(H59,$B$1)))</f>
        <v>Salaries &amp; Wages</v>
      </c>
      <c r="O59" s="119"/>
      <c r="P59" s="120"/>
      <c r="Q59" s="120"/>
      <c r="R59" s="120"/>
      <c r="S59" s="120"/>
      <c r="T59" s="120"/>
      <c r="U59" s="120"/>
      <c r="V59" s="120"/>
      <c r="W59" s="120"/>
      <c r="X59" s="120"/>
      <c r="Y59" s="120"/>
      <c r="Z59" s="120"/>
      <c r="AA59" s="120"/>
      <c r="AB59" s="121"/>
      <c r="AC59" s="11"/>
      <c r="AD59" s="119"/>
      <c r="AE59" s="120"/>
      <c r="AF59" s="121"/>
      <c r="AG59" s="120"/>
      <c r="AH59" s="120"/>
      <c r="AI59" s="121"/>
      <c r="AJ59" s="11"/>
      <c r="AK59" s="11"/>
      <c r="AL59" s="11"/>
      <c r="AM59" s="11"/>
      <c r="AN59" s="11"/>
      <c r="AO59" s="11"/>
    </row>
    <row r="60" spans="1:41" hidden="1" x14ac:dyDescent="0.35">
      <c r="A60" s="65" t="s">
        <v>15</v>
      </c>
      <c r="B60" s="66"/>
      <c r="C60" s="11"/>
      <c r="D60" s="11"/>
      <c r="E60" s="11"/>
      <c r="F60" s="11"/>
      <c r="G60" s="11"/>
      <c r="H60" s="88" t="s">
        <v>667</v>
      </c>
      <c r="I60" s="122" t="str">
        <f>IF(_epmOfflineCondition_,"",_xll.EVPRO($B$1,$H60,"STYLE"))</f>
        <v/>
      </c>
      <c r="J60" s="122" t="str">
        <f>IF(_epmOfflineCondition_,"",_xll.EVPRO($B$1,$H60,"CALC"))</f>
        <v/>
      </c>
      <c r="K60" s="179" t="str">
        <f>IF(AND(I60&gt;="T3"),"&gt;","")</f>
        <v/>
      </c>
      <c r="L60" s="90" t="str">
        <f>IF(_epmOfflineCondition_,"",_xll.EVPRO($B$1,H60,"JDEID"))</f>
        <v/>
      </c>
      <c r="M60" s="90" t="str">
        <f>IF(_epmOfflineCondition_,"",IF(AND(I60="N",J60="N"),_xll.EVPRO($B$1,H60,"PSFTID"),""))</f>
        <v/>
      </c>
      <c r="N60" s="90" t="str">
        <f>IF(_epmOfflineCondition_,"",IF(_xll.EVDES(H60,$B$1)="#NODATA","",_xll.EVDES(H60,$B$1)))</f>
        <v/>
      </c>
      <c r="O60" s="210"/>
      <c r="P60" s="210"/>
      <c r="Q60" s="210"/>
      <c r="R60" s="210"/>
      <c r="S60" s="210"/>
      <c r="T60" s="210"/>
      <c r="U60" s="210"/>
      <c r="V60" s="210"/>
      <c r="W60" s="210"/>
      <c r="X60" s="210"/>
      <c r="Y60" s="210"/>
      <c r="Z60" s="210"/>
      <c r="AA60" s="210">
        <f>IF($I60="B1","",SUM(O60:Z60))</f>
        <v>0</v>
      </c>
      <c r="AB60" s="211" t="str">
        <f>IF(AA60=0,"",IFERROR(AA60/AA$19,""))</f>
        <v/>
      </c>
      <c r="AC60" s="140"/>
      <c r="AD60" s="210"/>
      <c r="AE60" s="211" t="str">
        <f>IF(AD60=0,"",IFERROR(AD60/AD$19,""))</f>
        <v/>
      </c>
      <c r="AF60" s="253">
        <f>IF(AND($AA60="",AD60=""),"",$AA60-AD60)</f>
        <v>0</v>
      </c>
      <c r="AG60" s="210"/>
      <c r="AH60" s="211" t="str">
        <f>IF(AG60=0,"",IFERROR(AG60/AG$19,""))</f>
        <v/>
      </c>
      <c r="AI60" s="253">
        <f>IF(AND($AA60="",AG60=""),"",$AA60-AG60)</f>
        <v>0</v>
      </c>
      <c r="AJ60" s="440">
        <f>IFERROR(AA60/AA$20,0)</f>
        <v>0</v>
      </c>
      <c r="AK60" s="441">
        <f>IFERROR(AD60/AD$20,0)</f>
        <v>0</v>
      </c>
      <c r="AL60" s="442">
        <f>IFERROR(AG60/AG$20,0)</f>
        <v>0</v>
      </c>
      <c r="AM60" s="443">
        <f>+IFERROR(ROUND(($AB60-AE60)*100,2)&amp;" pts.",0)</f>
        <v>0</v>
      </c>
      <c r="AN60" s="444">
        <f>+IFERROR(ROUND(($AB60-AH60)*100,2)&amp;" pts.",0)</f>
        <v>0</v>
      </c>
      <c r="AO60" s="11"/>
    </row>
    <row r="61" spans="1:41" hidden="1" x14ac:dyDescent="0.35">
      <c r="A61" s="65" t="s">
        <v>16</v>
      </c>
      <c r="B61" s="66"/>
      <c r="C61" s="11"/>
      <c r="D61" s="11"/>
      <c r="E61" s="11"/>
      <c r="F61" s="11"/>
      <c r="G61" s="11"/>
      <c r="H61" s="88"/>
      <c r="I61" s="122" t="str">
        <f>IF(_epmOfflineCondition_,"",_xll.EVPRO($B$1,$H61,"STYLE"))</f>
        <v/>
      </c>
      <c r="J61" s="122" t="str">
        <f>IF(_epmOfflineCondition_,"",_xll.EVPRO($B$1,$H61,"CALC"))</f>
        <v/>
      </c>
      <c r="K61" s="179" t="str">
        <f>IF(AND(I61&gt;="T3"),"&gt;","")</f>
        <v/>
      </c>
      <c r="L61" s="90" t="str">
        <f>IF(_epmOfflineCondition_,"",_xll.EVPRO($B$1,H61,"JDEID"))</f>
        <v/>
      </c>
      <c r="M61" s="90" t="str">
        <f>IF(_epmOfflineCondition_,"",IF(AND(I61="N",J61="N"),_xll.EVPRO($B$1,H61,"PSFTID"),""))</f>
        <v/>
      </c>
      <c r="N61" s="90" t="str">
        <f>IF(_epmOfflineCondition_,"",IF(_xll.EVDES(H61,$B$1)="#NODATA","",_xll.EVDES(H61,$B$1)))</f>
        <v/>
      </c>
      <c r="O61" s="210"/>
      <c r="P61" s="210"/>
      <c r="Q61" s="210"/>
      <c r="R61" s="210"/>
      <c r="S61" s="210"/>
      <c r="T61" s="210"/>
      <c r="U61" s="210"/>
      <c r="V61" s="210"/>
      <c r="W61" s="210"/>
      <c r="X61" s="210"/>
      <c r="Y61" s="210"/>
      <c r="Z61" s="210"/>
      <c r="AA61" s="210">
        <f>IF($I61="B1","",SUM(O61:Z61))</f>
        <v>0</v>
      </c>
      <c r="AB61" s="211" t="str">
        <f>IF(AA61=0,"",IFERROR(AA61/AA$19,""))</f>
        <v/>
      </c>
      <c r="AC61" s="140"/>
      <c r="AD61" s="210"/>
      <c r="AE61" s="211" t="str">
        <f>IF(AD61=0,"",IFERROR(AD61/AD$19,""))</f>
        <v/>
      </c>
      <c r="AF61" s="253">
        <f>IF(AND($AA61="",AD61=""),"",$AA61-AD61)</f>
        <v>0</v>
      </c>
      <c r="AG61" s="210"/>
      <c r="AH61" s="211" t="str">
        <f>IF(AG61=0,"",IFERROR(AG61/AG$19,""))</f>
        <v/>
      </c>
      <c r="AI61" s="253">
        <f>IF(AND($AA61="",AG61=""),"",$AA61-AG61)</f>
        <v>0</v>
      </c>
      <c r="AJ61" s="440">
        <f>IFERROR(AA61/AA$20,0)</f>
        <v>0</v>
      </c>
      <c r="AK61" s="441">
        <f>IFERROR(AD61/AD$20,0)</f>
        <v>0</v>
      </c>
      <c r="AL61" s="442">
        <f>IFERROR(AG61/AG$20,0)</f>
        <v>0</v>
      </c>
      <c r="AM61" s="443">
        <f>+IFERROR(ROUND(($AB61-AE61)*100,2)&amp;" pts.",0)</f>
        <v>0</v>
      </c>
      <c r="AN61" s="444">
        <f>+IFERROR(ROUND(($AB61-AH61)*100,2)&amp;" pts.",0)</f>
        <v>0</v>
      </c>
      <c r="AO61" s="11"/>
    </row>
    <row r="62" spans="1:41" x14ac:dyDescent="0.35">
      <c r="A62" s="65" t="s">
        <v>17</v>
      </c>
      <c r="B62" s="66"/>
      <c r="C62" s="11"/>
      <c r="D62" s="11"/>
      <c r="E62" s="11"/>
      <c r="F62" s="11"/>
      <c r="G62" s="11"/>
      <c r="H62" s="88" t="s">
        <v>75</v>
      </c>
      <c r="I62" s="89" t="str">
        <f>IF(_epmOfflineCondition_,"B1",_xll.EVPRO($B$1,$H62,"STYLE"))</f>
        <v>B1</v>
      </c>
      <c r="J62" s="89" t="str">
        <f>IF(_epmOfflineCondition_,"Y",_xll.EVPRO($B$1,$H62,"CALC"))</f>
        <v>Y</v>
      </c>
      <c r="K62" s="265" t="str">
        <f>IF(AND(I62&gt;="T3"),"&gt;","")</f>
        <v/>
      </c>
      <c r="L62" s="106" t="str">
        <f>IF(_epmOfflineCondition_,"",_xll.EVPRO($B$1,H62,"JDEID"))</f>
        <v/>
      </c>
      <c r="M62" s="90" t="str">
        <f>IF(_epmOfflineCondition_,"",IF(AND(I62="N",J62="N"),_xll.EVPRO($B$1,H62,"PSFTID"),""))</f>
        <v/>
      </c>
      <c r="N62" s="106" t="str">
        <f>IF(_epmOfflineCondition_,"Non-Management",IF(_xll.EVDES(H62,$B$1)="#NODATA","",_xll.EVDES(H62,$B$1)))</f>
        <v>Non-Management</v>
      </c>
      <c r="O62" s="197"/>
      <c r="P62" s="197"/>
      <c r="Q62" s="197"/>
      <c r="R62" s="197"/>
      <c r="S62" s="197"/>
      <c r="T62" s="197"/>
      <c r="U62" s="197"/>
      <c r="V62" s="197"/>
      <c r="W62" s="197"/>
      <c r="X62" s="197"/>
      <c r="Y62" s="197"/>
      <c r="Z62" s="197"/>
      <c r="AA62" s="197" t="str">
        <f>IF($I62="B1","",SUM(O62:Z62))</f>
        <v/>
      </c>
      <c r="AB62" s="198" t="str">
        <f>IF(AA62=0,"",IFERROR(AA62/AA$19,""))</f>
        <v/>
      </c>
      <c r="AC62" s="11"/>
      <c r="AD62" s="197"/>
      <c r="AE62" s="198" t="str">
        <f>IF(AD62=0,"",IFERROR(AD62/AD$19,""))</f>
        <v/>
      </c>
      <c r="AF62" s="199" t="str">
        <f>IF(AND($AA62="",AD62=""),"",$AA62-AD62)</f>
        <v/>
      </c>
      <c r="AG62" s="197"/>
      <c r="AH62" s="198" t="str">
        <f>IF(AG62=0,"",IFERROR(AG62/AG$19,""))</f>
        <v/>
      </c>
      <c r="AI62" s="199" t="str">
        <f>IF(AND($AA62="",AG62=""),"",$AA62-AG62)</f>
        <v/>
      </c>
      <c r="AJ62" s="397">
        <f>IFERROR(AA62/AA$20,0)</f>
        <v>0</v>
      </c>
      <c r="AK62" s="398">
        <f>IFERROR(AD62/AD$20,0)</f>
        <v>0</v>
      </c>
      <c r="AL62" s="399">
        <f>IFERROR(AG62/AG$20,0)</f>
        <v>0</v>
      </c>
      <c r="AM62" s="400">
        <f>+IFERROR(ROUND(($AB62-AE62)*100,2)&amp;" pts.",0)</f>
        <v>0</v>
      </c>
      <c r="AN62" s="401">
        <f>+IFERROR(ROUND(($AB62-AH62)*100,2)&amp;" pts.",0)</f>
        <v>0</v>
      </c>
      <c r="AO62" s="11"/>
    </row>
    <row r="63" spans="1:41" hidden="1" x14ac:dyDescent="0.35">
      <c r="A63" s="11"/>
      <c r="B63" s="11"/>
      <c r="C63" s="11"/>
      <c r="D63" s="11"/>
      <c r="E63" s="11"/>
      <c r="F63" s="11"/>
      <c r="G63" s="11"/>
      <c r="H63" s="88" t="s">
        <v>667</v>
      </c>
      <c r="I63" s="122" t="str">
        <f>IF(_epmOfflineCondition_,"",_xll.EVPRO($B$1,$H63,"STYLE"))</f>
        <v/>
      </c>
      <c r="J63" s="122" t="str">
        <f>IF(_epmOfflineCondition_,"",_xll.EVPRO($B$1,$H63,"CALC"))</f>
        <v/>
      </c>
      <c r="K63" s="179" t="str">
        <f>IF(AND(I63&gt;="T3"),"&gt;","")</f>
        <v/>
      </c>
      <c r="L63" s="90" t="str">
        <f>IF(_epmOfflineCondition_,"",_xll.EVPRO($B$1,H63,"JDEID"))</f>
        <v/>
      </c>
      <c r="M63" s="90" t="str">
        <f>IF(_epmOfflineCondition_,"",IF(AND(I63="N",J63="N"),_xll.EVPRO($B$1,H63,"PSFTID"),""))</f>
        <v/>
      </c>
      <c r="N63" s="90" t="str">
        <f>IF(_epmOfflineCondition_,"",IF(_xll.EVDES(H63,$B$1)="#NODATA","",_xll.EVDES(H63,$B$1)))</f>
        <v/>
      </c>
      <c r="O63" s="216"/>
      <c r="P63" s="216"/>
      <c r="Q63" s="216"/>
      <c r="R63" s="216"/>
      <c r="S63" s="216"/>
      <c r="T63" s="216"/>
      <c r="U63" s="216"/>
      <c r="V63" s="216"/>
      <c r="W63" s="216"/>
      <c r="X63" s="216"/>
      <c r="Y63" s="216"/>
      <c r="Z63" s="216"/>
      <c r="AA63" s="216">
        <f>IF($I63="B1","",SUM(O63:Z63))</f>
        <v>0</v>
      </c>
      <c r="AB63" s="218" t="str">
        <f>IF(AA63=0,"",IFERROR(AA63/AA$19,""))</f>
        <v/>
      </c>
      <c r="AC63" s="140"/>
      <c r="AD63" s="216"/>
      <c r="AE63" s="218" t="str">
        <f>IF(AD63=0,"",IFERROR(AD63/AD$19,""))</f>
        <v/>
      </c>
      <c r="AF63" s="233">
        <f>IF(AND($AA63="",AD63=""),"",$AA63-AD63)</f>
        <v>0</v>
      </c>
      <c r="AG63" s="216"/>
      <c r="AH63" s="218" t="str">
        <f>IF(AG63=0,"",IFERROR(AG63/AG$19,""))</f>
        <v/>
      </c>
      <c r="AI63" s="233">
        <f>IF(AND($AA63="",AG63=""),"",$AA63-AG63)</f>
        <v>0</v>
      </c>
      <c r="AJ63" s="440">
        <f>IFERROR(AA63/AA$20,0)</f>
        <v>0</v>
      </c>
      <c r="AK63" s="441">
        <f>IFERROR(AD63/AD$20,0)</f>
        <v>0</v>
      </c>
      <c r="AL63" s="442">
        <f>IFERROR(AG63/AG$20,0)</f>
        <v>0</v>
      </c>
      <c r="AM63" s="443">
        <f>+IFERROR(ROUND(($AB63-AE63)*100,2)&amp;" pts.",0)</f>
        <v>0</v>
      </c>
      <c r="AN63" s="444">
        <f>+IFERROR(ROUND(($AB63-AH63)*100,2)&amp;" pts.",0)</f>
        <v>0</v>
      </c>
      <c r="AO63" s="11"/>
    </row>
    <row r="64" spans="1:41" hidden="1" x14ac:dyDescent="0.35">
      <c r="A64" s="97" t="s">
        <v>92</v>
      </c>
      <c r="B64" s="98" t="s">
        <v>93</v>
      </c>
      <c r="C64" s="98" t="s">
        <v>94</v>
      </c>
      <c r="D64" s="98" t="s">
        <v>95</v>
      </c>
      <c r="E64" s="98" t="s">
        <v>96</v>
      </c>
      <c r="F64" s="99" t="s">
        <v>97</v>
      </c>
      <c r="G64" s="11"/>
      <c r="H64" s="88"/>
      <c r="I64" s="122" t="str">
        <f>IF(_epmOfflineCondition_,"",_xll.EVPRO($B$1,$H64,"STYLE"))</f>
        <v/>
      </c>
      <c r="J64" s="122" t="str">
        <f>IF(_epmOfflineCondition_,"",_xll.EVPRO($B$1,$H64,"CALC"))</f>
        <v/>
      </c>
      <c r="K64" s="179" t="str">
        <f>IF(AND(I64&gt;="T3"),"&gt;","")</f>
        <v/>
      </c>
      <c r="L64" s="90" t="str">
        <f>IF(_epmOfflineCondition_,"",_xll.EVPRO($B$1,H64,"JDEID"))</f>
        <v/>
      </c>
      <c r="M64" s="90" t="str">
        <f>IF(_epmOfflineCondition_,"",IF(AND(I64="N",J64="N"),_xll.EVPRO($B$1,H64,"PSFTID"),""))</f>
        <v/>
      </c>
      <c r="N64" s="90" t="str">
        <f>IF(_epmOfflineCondition_,"",IF(_xll.EVDES(H64,$B$1)="#NODATA","",_xll.EVDES(H64,$B$1)))</f>
        <v/>
      </c>
      <c r="O64" s="216"/>
      <c r="P64" s="216"/>
      <c r="Q64" s="216"/>
      <c r="R64" s="216"/>
      <c r="S64" s="216"/>
      <c r="T64" s="216"/>
      <c r="U64" s="216"/>
      <c r="V64" s="216"/>
      <c r="W64" s="216"/>
      <c r="X64" s="216"/>
      <c r="Y64" s="216"/>
      <c r="Z64" s="216"/>
      <c r="AA64" s="216">
        <f>IF($I64="B1","",SUM(O64:Z64))</f>
        <v>0</v>
      </c>
      <c r="AB64" s="218" t="str">
        <f>IF(AA64=0,"",IFERROR(AA64/AA$19,""))</f>
        <v/>
      </c>
      <c r="AC64" s="140"/>
      <c r="AD64" s="216"/>
      <c r="AE64" s="218" t="str">
        <f>IF(AD64=0,"",IFERROR(AD64/AD$19,""))</f>
        <v/>
      </c>
      <c r="AF64" s="233">
        <f>IF(AND($AA64="",AD64=""),"",$AA64-AD64)</f>
        <v>0</v>
      </c>
      <c r="AG64" s="216"/>
      <c r="AH64" s="218" t="str">
        <f>IF(AG64=0,"",IFERROR(AG64/AG$19,""))</f>
        <v/>
      </c>
      <c r="AI64" s="233">
        <f>IF(AND($AA64="",AG64=""),"",$AA64-AG64)</f>
        <v>0</v>
      </c>
      <c r="AJ64" s="440">
        <f>IFERROR(AA64/AA$20,0)</f>
        <v>0</v>
      </c>
      <c r="AK64" s="441">
        <f>IFERROR(AD64/AD$20,0)</f>
        <v>0</v>
      </c>
      <c r="AL64" s="442">
        <f>IFERROR(AG64/AG$20,0)</f>
        <v>0</v>
      </c>
      <c r="AM64" s="443">
        <f>+IFERROR(ROUND(($AB64-AE64)*100,2)&amp;" pts.",0)</f>
        <v>0</v>
      </c>
      <c r="AN64" s="444">
        <f>+IFERROR(ROUND(($AB64-AH64)*100,2)&amp;" pts.",0)</f>
        <v>0</v>
      </c>
      <c r="AO64" s="11"/>
    </row>
    <row r="65" spans="1:41" x14ac:dyDescent="0.35">
      <c r="A65" s="11"/>
      <c r="B65" s="11"/>
      <c r="C65" s="11"/>
      <c r="D65" s="11"/>
      <c r="E65" s="11"/>
      <c r="F65" s="11"/>
      <c r="G65" s="11"/>
      <c r="H65" s="11"/>
      <c r="I65" s="59"/>
      <c r="J65" s="59"/>
      <c r="K65" s="11"/>
      <c r="L65" s="11"/>
      <c r="M65" s="11"/>
      <c r="N65" s="11"/>
      <c r="O65" s="129"/>
      <c r="P65" s="130"/>
      <c r="Q65" s="130"/>
      <c r="R65" s="130"/>
      <c r="S65" s="130"/>
      <c r="T65" s="130"/>
      <c r="U65" s="130"/>
      <c r="V65" s="130"/>
      <c r="W65" s="130"/>
      <c r="X65" s="130"/>
      <c r="Y65" s="130"/>
      <c r="Z65" s="130"/>
      <c r="AA65" s="130"/>
      <c r="AB65" s="131"/>
      <c r="AC65" s="11"/>
      <c r="AD65" s="129"/>
      <c r="AE65" s="130"/>
      <c r="AF65" s="131"/>
      <c r="AG65" s="129"/>
      <c r="AH65" s="130"/>
      <c r="AI65" s="131"/>
      <c r="AJ65" s="11"/>
      <c r="AK65" s="11"/>
      <c r="AL65" s="11"/>
      <c r="AM65" s="11"/>
      <c r="AN65" s="11"/>
      <c r="AO65" s="11"/>
    </row>
    <row r="66" spans="1:41" x14ac:dyDescent="0.35">
      <c r="A66" s="11" t="s">
        <v>105</v>
      </c>
      <c r="B66" s="11"/>
      <c r="C66" s="104" t="s">
        <v>101</v>
      </c>
      <c r="D66" s="11" t="s">
        <v>106</v>
      </c>
      <c r="E66" s="11"/>
      <c r="F66" s="11" t="s">
        <v>98</v>
      </c>
      <c r="G66" s="11"/>
      <c r="H66" s="11" t="s">
        <v>82</v>
      </c>
      <c r="I66" s="59" t="str">
        <f>IF(_epmOfflineCondition_,"B1",_xll.EVPRO($B$1,$H66,"STYLE"))</f>
        <v>B1</v>
      </c>
      <c r="J66" s="59" t="str">
        <f>IF(_epmOfflineCondition_,"Y",_xll.EVPRO($B$1,$H66,"CALC"))</f>
        <v>Y</v>
      </c>
      <c r="K66" s="11"/>
      <c r="L66" s="11"/>
      <c r="M66" s="11"/>
      <c r="N66" s="105" t="str">
        <f>IF(_epmOfflineCondition_,"Other Expenses",IF(_xll.EVDES(H66,$B$1)="#NODATA","",_xll.EVDES(H66,$B$1)))</f>
        <v>Other Expenses</v>
      </c>
      <c r="O66" s="119"/>
      <c r="P66" s="120"/>
      <c r="Q66" s="120"/>
      <c r="R66" s="120"/>
      <c r="S66" s="120"/>
      <c r="T66" s="120"/>
      <c r="U66" s="120"/>
      <c r="V66" s="120"/>
      <c r="W66" s="120"/>
      <c r="X66" s="120"/>
      <c r="Y66" s="120"/>
      <c r="Z66" s="120"/>
      <c r="AA66" s="120"/>
      <c r="AB66" s="121"/>
      <c r="AC66" s="11"/>
      <c r="AD66" s="119"/>
      <c r="AE66" s="120"/>
      <c r="AF66" s="121"/>
      <c r="AG66" s="119"/>
      <c r="AH66" s="120"/>
      <c r="AI66" s="121"/>
      <c r="AJ66" s="11"/>
      <c r="AK66" s="11"/>
      <c r="AL66" s="11"/>
      <c r="AM66" s="11"/>
      <c r="AN66" s="11"/>
      <c r="AO66" s="11"/>
    </row>
    <row r="67" spans="1:41" hidden="1" x14ac:dyDescent="0.35">
      <c r="A67" s="11" t="s">
        <v>108</v>
      </c>
      <c r="B67" s="11"/>
      <c r="C67" s="106" t="s">
        <v>101</v>
      </c>
      <c r="D67" s="11" t="s">
        <v>106</v>
      </c>
      <c r="E67" s="11"/>
      <c r="F67" s="11" t="s">
        <v>98</v>
      </c>
      <c r="G67" s="11"/>
      <c r="H67" s="88" t="s">
        <v>667</v>
      </c>
      <c r="I67" s="122" t="str">
        <f>IF(_epmOfflineCondition_,"",_xll.EVPRO($B$1,$H67,"STYLE"))</f>
        <v/>
      </c>
      <c r="J67" s="122" t="str">
        <f>IF(_epmOfflineCondition_,"",_xll.EVPRO($B$1,$H67,"CALC"))</f>
        <v/>
      </c>
      <c r="K67" s="179" t="str">
        <f>IF(AND(I67&lt;&gt;"B1",J67="Y"),"&gt;","")</f>
        <v/>
      </c>
      <c r="L67" s="90" t="str">
        <f>IF(_epmOfflineCondition_,"",_xll.EVPRO($B$1,H67,"JDEID"))</f>
        <v/>
      </c>
      <c r="M67" s="90" t="str">
        <f>IF(_epmOfflineCondition_,"",IF(AND(I67="N",J67="N"),_xll.EVPRO($B$1,H67,"PSFTID"),""))</f>
        <v/>
      </c>
      <c r="N67" s="90" t="str">
        <f>IF(_epmOfflineCondition_,"",IF(_xll.EVDES(H67,$B$1)="#NODATA","",_xll.EVDES(H67,$B$1)))</f>
        <v/>
      </c>
      <c r="O67" s="143"/>
      <c r="P67" s="143"/>
      <c r="Q67" s="143"/>
      <c r="R67" s="143"/>
      <c r="S67" s="143"/>
      <c r="T67" s="143"/>
      <c r="U67" s="143"/>
      <c r="V67" s="143"/>
      <c r="W67" s="143"/>
      <c r="X67" s="143"/>
      <c r="Y67" s="143"/>
      <c r="Z67" s="143"/>
      <c r="AA67" s="143">
        <f>IF($I67="B1","",SUM(O67:Z67))</f>
        <v>0</v>
      </c>
      <c r="AB67" s="144" t="str">
        <f>IF(AA67=0,"",IFERROR(AA67/AA$19,""))</f>
        <v/>
      </c>
      <c r="AC67" s="140"/>
      <c r="AD67" s="143"/>
      <c r="AE67" s="144" t="str">
        <f>IF(AD67=0,"",IFERROR(AD67/AD$19,""))</f>
        <v/>
      </c>
      <c r="AF67" s="145">
        <f>IF(AND($AA67="",AD67=""),"",$AA67-AD67)</f>
        <v>0</v>
      </c>
      <c r="AG67" s="143"/>
      <c r="AH67" s="144" t="str">
        <f>IF(AG67=0,"",IFERROR(AG67/AG$19,""))</f>
        <v/>
      </c>
      <c r="AI67" s="145">
        <f>IF(AND($AA67="",AG67=""),"",$AA67-AG67)</f>
        <v>0</v>
      </c>
      <c r="AJ67" s="440">
        <f>IFERROR(AA67/AA$20,0)</f>
        <v>0</v>
      </c>
      <c r="AK67" s="441">
        <f>IFERROR(AD67/AD$20,0)</f>
        <v>0</v>
      </c>
      <c r="AL67" s="442">
        <f>IFERROR(AG67/AG$20,0)</f>
        <v>0</v>
      </c>
      <c r="AM67" s="443">
        <f>+IFERROR(ROUND(($AB67-AE67)*100,2)&amp;" pts.",0)</f>
        <v>0</v>
      </c>
      <c r="AN67" s="444">
        <f>+IFERROR(ROUND(($AB67-AH67)*100,2)&amp;" pts.",0)</f>
        <v>0</v>
      </c>
      <c r="AO67" s="11"/>
    </row>
    <row r="68" spans="1:41" hidden="1" x14ac:dyDescent="0.35">
      <c r="A68" s="11" t="s">
        <v>108</v>
      </c>
      <c r="B68" s="11"/>
      <c r="C68" s="196" t="s">
        <v>101</v>
      </c>
      <c r="D68" s="11" t="s">
        <v>107</v>
      </c>
      <c r="E68" s="11"/>
      <c r="F68" s="11" t="s">
        <v>99</v>
      </c>
      <c r="G68" s="11"/>
      <c r="H68" s="88"/>
      <c r="I68" s="122" t="str">
        <f>IF(_epmOfflineCondition_,"",_xll.EVPRO($B$1,$H68,"STYLE"))</f>
        <v/>
      </c>
      <c r="J68" s="122" t="str">
        <f>IF(_epmOfflineCondition_,"",_xll.EVPRO($B$1,$H68,"CALC"))</f>
        <v/>
      </c>
      <c r="K68" s="179" t="str">
        <f>IF(AND(I68&lt;&gt;"B1",J68="Y"),"&gt;","")</f>
        <v/>
      </c>
      <c r="L68" s="90" t="str">
        <f>IF(_epmOfflineCondition_,"",_xll.EVPRO($B$1,H68,"JDEID"))</f>
        <v/>
      </c>
      <c r="M68" s="90" t="str">
        <f>IF(_epmOfflineCondition_,"",IF(AND(I68="N",J68="N"),_xll.EVPRO($B$1,H68,"PSFTID"),""))</f>
        <v/>
      </c>
      <c r="N68" s="90" t="str">
        <f>IF(_epmOfflineCondition_,"",IF(_xll.EVDES(H68,$B$1)="#NODATA","",_xll.EVDES(H68,$B$1)))</f>
        <v/>
      </c>
      <c r="O68" s="143"/>
      <c r="P68" s="143"/>
      <c r="Q68" s="143"/>
      <c r="R68" s="143"/>
      <c r="S68" s="143"/>
      <c r="T68" s="143"/>
      <c r="U68" s="143"/>
      <c r="V68" s="143"/>
      <c r="W68" s="143"/>
      <c r="X68" s="143"/>
      <c r="Y68" s="143"/>
      <c r="Z68" s="143"/>
      <c r="AA68" s="143">
        <f>IF($I68="B1","",SUM(O68:Z68))</f>
        <v>0</v>
      </c>
      <c r="AB68" s="144" t="str">
        <f>IF(AA68=0,"",IFERROR(AA68/AA$19,""))</f>
        <v/>
      </c>
      <c r="AC68" s="140"/>
      <c r="AD68" s="143"/>
      <c r="AE68" s="144" t="str">
        <f>IF(AD68=0,"",IFERROR(AD68/AD$19,""))</f>
        <v/>
      </c>
      <c r="AF68" s="145">
        <f>IF(AND($AA68="",AD68=""),"",$AA68-AD68)</f>
        <v>0</v>
      </c>
      <c r="AG68" s="143"/>
      <c r="AH68" s="144" t="str">
        <f>IF(AG68=0,"",IFERROR(AG68/AG$19,""))</f>
        <v/>
      </c>
      <c r="AI68" s="145">
        <f>IF(AND($AA68="",AG68=""),"",$AA68-AG68)</f>
        <v>0</v>
      </c>
      <c r="AJ68" s="440">
        <f>IFERROR(AA68/AA$20,0)</f>
        <v>0</v>
      </c>
      <c r="AK68" s="441">
        <f>IFERROR(AD68/AD$20,0)</f>
        <v>0</v>
      </c>
      <c r="AL68" s="442">
        <f>IFERROR(AG68/AG$20,0)</f>
        <v>0</v>
      </c>
      <c r="AM68" s="443">
        <f>+IFERROR(ROUND(($AB68-AE68)*100,2)&amp;" pts.",0)</f>
        <v>0</v>
      </c>
      <c r="AN68" s="444">
        <f>+IFERROR(ROUND(($AB68-AH68)*100,2)&amp;" pts.",0)</f>
        <v>0</v>
      </c>
      <c r="AO68" s="11"/>
    </row>
    <row r="69" spans="1:41" x14ac:dyDescent="0.35">
      <c r="A69" s="11"/>
      <c r="B69" s="11"/>
      <c r="C69" s="11"/>
      <c r="D69" s="11"/>
      <c r="E69" s="11"/>
      <c r="F69" s="11"/>
      <c r="G69" s="11"/>
      <c r="H69" s="88" t="s">
        <v>79</v>
      </c>
      <c r="I69" s="136" t="str">
        <f>IF(_epmOfflineCondition_,"T3",_xll.EVPRO($B$1,$H69,"STYLE"))</f>
        <v>T3</v>
      </c>
      <c r="J69" s="136" t="str">
        <f>IF(_epmOfflineCondition_,"Y",_xll.EVPRO($B$1,$H69,"CALC"))</f>
        <v>Y</v>
      </c>
      <c r="K69" s="104"/>
      <c r="L69" s="104"/>
      <c r="M69" s="104"/>
      <c r="N69" s="106" t="str">
        <f>IF(_epmOfflineCondition_,"Total Operations Expense",IF(_xll.EVDES(H69,$B$1)="#NODATA","",_xll.EVDES(H69,$B$1)))</f>
        <v>Total Operations Expense</v>
      </c>
      <c r="O69" s="154"/>
      <c r="P69" s="154"/>
      <c r="Q69" s="154"/>
      <c r="R69" s="154"/>
      <c r="S69" s="154"/>
      <c r="T69" s="154"/>
      <c r="U69" s="154"/>
      <c r="V69" s="154"/>
      <c r="W69" s="154"/>
      <c r="X69" s="154"/>
      <c r="Y69" s="154"/>
      <c r="Z69" s="154"/>
      <c r="AA69" s="154">
        <f>IF($I69="B1","",SUM(O69:Z69))</f>
        <v>0</v>
      </c>
      <c r="AB69" s="155" t="str">
        <f>IF(AA69=0,"",IFERROR(AA69/AA$19,""))</f>
        <v/>
      </c>
      <c r="AC69" s="140"/>
      <c r="AD69" s="154"/>
      <c r="AE69" s="155" t="str">
        <f>IF(AD69=0,"",IFERROR(AD69/AD$19,""))</f>
        <v/>
      </c>
      <c r="AF69" s="156">
        <f>IF(AND($AA69="",AD69=""),"",$AA69-AD69)</f>
        <v>0</v>
      </c>
      <c r="AG69" s="154"/>
      <c r="AH69" s="155" t="str">
        <f>IF(AG69=0,"",IFERROR(AG69/AG$19,""))</f>
        <v/>
      </c>
      <c r="AI69" s="156">
        <f>IF(AND($AA69="",AG69=""),"",$AA69-AG69)</f>
        <v>0</v>
      </c>
      <c r="AJ69" s="477">
        <f>IFERROR(AA69/AA$20,0)</f>
        <v>0</v>
      </c>
      <c r="AK69" s="478">
        <f>IFERROR(AD69/AD$20,0)</f>
        <v>0</v>
      </c>
      <c r="AL69" s="479">
        <f>IFERROR(AG69/AG$20,0)</f>
        <v>0</v>
      </c>
      <c r="AM69" s="480">
        <f>+IFERROR(ROUND(($AB69-AE69)*100,2)&amp;" pts.",0)</f>
        <v>0</v>
      </c>
      <c r="AN69" s="555">
        <f>+IFERROR(ROUND(($AB69-AH69)*100,2)&amp;" pts.",0)</f>
        <v>0</v>
      </c>
      <c r="AO69" s="11"/>
    </row>
    <row r="70" spans="1:41" x14ac:dyDescent="0.35">
      <c r="A70" s="11"/>
      <c r="B70" s="11"/>
      <c r="C70" s="208"/>
      <c r="D70" s="11"/>
      <c r="E70" s="11"/>
      <c r="F70" s="11"/>
      <c r="G70" s="11"/>
      <c r="H70" s="11"/>
      <c r="I70" s="59"/>
      <c r="J70" s="59"/>
      <c r="K70" s="11"/>
      <c r="L70" s="11"/>
      <c r="M70" s="11"/>
      <c r="N70" s="11"/>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1"/>
    </row>
    <row r="71" spans="1:41" x14ac:dyDescent="0.35">
      <c r="A71" s="61" t="str">
        <f>IF(_epmOfflineCondition_,"Evdre:Ok",_xll.EVDRE($B$1,A74:B81,A84:B90))</f>
        <v>Evdre:Ok</v>
      </c>
      <c r="B71" s="11"/>
      <c r="C71" s="11"/>
      <c r="D71" s="11"/>
      <c r="E71" s="11"/>
      <c r="F71" s="11"/>
      <c r="G71" s="11"/>
      <c r="H71" s="88" t="s">
        <v>80</v>
      </c>
      <c r="I71" s="136" t="str">
        <f>IF(_epmOfflineCondition_,"T3",_xll.EVPRO($B$1,$H71,"STYLE"))</f>
        <v>T3</v>
      </c>
      <c r="J71" s="136" t="str">
        <f>IF(_epmOfflineCondition_,"Y",_xll.EVPRO($B$1,$H71,"CALC"))</f>
        <v>Y</v>
      </c>
      <c r="K71" s="106"/>
      <c r="L71" s="106"/>
      <c r="M71" s="106"/>
      <c r="N71" s="106" t="str">
        <f>IF(_epmOfflineCondition_,"Total Expenses",IF(_xll.EVDES(H71,$B$1)="#NODATA","",_xll.EVDES(H71,$B$1)))</f>
        <v>Total Expenses</v>
      </c>
      <c r="O71" s="238"/>
      <c r="P71" s="238"/>
      <c r="Q71" s="238"/>
      <c r="R71" s="238"/>
      <c r="S71" s="238"/>
      <c r="T71" s="238"/>
      <c r="U71" s="238"/>
      <c r="V71" s="238"/>
      <c r="W71" s="238"/>
      <c r="X71" s="238"/>
      <c r="Y71" s="238"/>
      <c r="Z71" s="238"/>
      <c r="AA71" s="238">
        <f>IF($I71="B1","",SUM(O71:Z71))</f>
        <v>0</v>
      </c>
      <c r="AB71" s="239" t="str">
        <f>IF(AA71=0,"",IFERROR(AA71/AA$19,""))</f>
        <v/>
      </c>
      <c r="AC71" s="140"/>
      <c r="AD71" s="238"/>
      <c r="AE71" s="239" t="str">
        <f>IF(AD71=0,"",IFERROR(AD71/AD$19,""))</f>
        <v/>
      </c>
      <c r="AF71" s="254">
        <f>IF(AND($AA71="",AD71=""),"",$AA71-AD71)</f>
        <v>0</v>
      </c>
      <c r="AG71" s="255"/>
      <c r="AH71" s="256" t="str">
        <f>IF(AG71=0,"",IFERROR(AG71/AG$19,""))</f>
        <v/>
      </c>
      <c r="AI71" s="254">
        <f>IF(AND($AA71="",AG71=""),"",$AA71-AG71)</f>
        <v>0</v>
      </c>
      <c r="AJ71" s="466">
        <f>IFERROR(AA71/AA$20,0)</f>
        <v>0</v>
      </c>
      <c r="AK71" s="467">
        <f>IFERROR(AD71/AD$20,0)</f>
        <v>0</v>
      </c>
      <c r="AL71" s="468">
        <f>IFERROR(AG71/AG$20,0)</f>
        <v>0</v>
      </c>
      <c r="AM71" s="469">
        <f>+IFERROR(ROUND(($AB71-AE71)*100,2)&amp;" pts.",0)</f>
        <v>0</v>
      </c>
      <c r="AN71" s="556">
        <f>+IFERROR(ROUND(($AB71-AH71)*100,2)&amp;" pts.",0)</f>
        <v>0</v>
      </c>
      <c r="AO71" s="11"/>
    </row>
    <row r="72" spans="1:41" ht="15" thickBot="1" x14ac:dyDescent="0.4">
      <c r="A72" s="11"/>
      <c r="B72" s="11"/>
      <c r="C72" s="11"/>
      <c r="D72" s="11"/>
      <c r="E72" s="11"/>
      <c r="F72" s="11"/>
      <c r="G72" s="11"/>
      <c r="H72" s="88" t="s">
        <v>81</v>
      </c>
      <c r="I72" s="136" t="str">
        <f>IF(_epmOfflineCondition_,"T3",_xll.EVPRO($B$1,$H72,"STYLE"))</f>
        <v>T3</v>
      </c>
      <c r="J72" s="136" t="str">
        <f>IF(_epmOfflineCondition_,"Y",_xll.EVPRO($B$1,$H72,"CALC"))</f>
        <v>Y</v>
      </c>
      <c r="K72" s="106"/>
      <c r="L72" s="106"/>
      <c r="M72" s="106"/>
      <c r="N72" s="106" t="str">
        <f>IF(_epmOfflineCondition_,"Department Profit (Loss)",IF(_xll.EVDES(H72,$B$1)="#NODATA","",_xll.EVDES(H72,$B$1)))</f>
        <v>Department Profit (Loss)</v>
      </c>
      <c r="O72" s="169"/>
      <c r="P72" s="169"/>
      <c r="Q72" s="169"/>
      <c r="R72" s="169"/>
      <c r="S72" s="169"/>
      <c r="T72" s="169"/>
      <c r="U72" s="169"/>
      <c r="V72" s="169"/>
      <c r="W72" s="169"/>
      <c r="X72" s="169"/>
      <c r="Y72" s="169"/>
      <c r="Z72" s="169"/>
      <c r="AA72" s="169">
        <f>IF($I72="B1","",SUM(O72:Z72))</f>
        <v>0</v>
      </c>
      <c r="AB72" s="170" t="str">
        <f>IF(AA72=0,"",IFERROR(AA72/AA$19,""))</f>
        <v/>
      </c>
      <c r="AC72" s="140"/>
      <c r="AD72" s="169"/>
      <c r="AE72" s="170" t="str">
        <f>IF(AD72=0,"",IFERROR(AD72/AD$19,""))</f>
        <v/>
      </c>
      <c r="AF72" s="171">
        <f>IF(AND($AA72="",AD72=""),"",$AA72-AD72)</f>
        <v>0</v>
      </c>
      <c r="AG72" s="169"/>
      <c r="AH72" s="170" t="str">
        <f>IF(AG72=0,"",IFERROR(AG72/AG$19,""))</f>
        <v/>
      </c>
      <c r="AI72" s="171">
        <f>IF(AND($AA72="",AG72=""),"",$AA72-AG72)</f>
        <v>0</v>
      </c>
      <c r="AJ72" s="483">
        <f>IFERROR(AA72/AA$20,0)</f>
        <v>0</v>
      </c>
      <c r="AK72" s="484">
        <f>IFERROR(AD72/AD$20,0)</f>
        <v>0</v>
      </c>
      <c r="AL72" s="485">
        <f>IFERROR(AG72/AG$20,0)</f>
        <v>0</v>
      </c>
      <c r="AM72" s="486">
        <f>+IFERROR(ROUND(($AB72-AE72)*100,2)&amp;" pts.",0)</f>
        <v>0</v>
      </c>
      <c r="AN72" s="557">
        <f>+IFERROR(ROUND(($AB72-AH72)*100,2)&amp;" pts.",0)</f>
        <v>0</v>
      </c>
      <c r="AO72" s="11"/>
    </row>
    <row r="73" spans="1:41" ht="15" thickTop="1" x14ac:dyDescent="0.35">
      <c r="A73" s="62" t="s">
        <v>0</v>
      </c>
      <c r="B73" s="63" t="s">
        <v>1</v>
      </c>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2</v>
      </c>
      <c r="B74" s="66" t="str">
        <f>IF(_epmOfflineCondition_,"'FB_Retail'!$B$2:$B$10",_xll.EVRNG($B$2:$B$10))</f>
        <v>'FB_Retail'!$B$2:$B$10</v>
      </c>
      <c r="C74" s="11"/>
      <c r="D74" s="11"/>
      <c r="E74" s="11"/>
      <c r="F74" s="11"/>
      <c r="G74" s="11"/>
      <c r="H74" s="11"/>
      <c r="I74" s="59"/>
      <c r="J74" s="59"/>
      <c r="K74" s="11"/>
      <c r="L74" s="11"/>
      <c r="M74" s="11"/>
      <c r="N74" s="104" t="str">
        <f>N71&amp;" - Check"</f>
        <v>Total Expenses - Check</v>
      </c>
      <c r="O74" s="209">
        <f t="shared" ref="O74:AA74" si="22">SUMIF($H$34:$H$72,"600000",O$34:O$72)+SUMIF($H$34:$H$72,"700000",O$34:O$72)-SUMIF($H$34:$H$72,"TOTDEPTEXP",O$34:O$72)</f>
        <v>0</v>
      </c>
      <c r="P74" s="209">
        <f t="shared" si="22"/>
        <v>0</v>
      </c>
      <c r="Q74" s="209">
        <f t="shared" si="22"/>
        <v>0</v>
      </c>
      <c r="R74" s="209">
        <f t="shared" si="22"/>
        <v>0</v>
      </c>
      <c r="S74" s="209">
        <f t="shared" si="22"/>
        <v>0</v>
      </c>
      <c r="T74" s="209">
        <f t="shared" si="22"/>
        <v>0</v>
      </c>
      <c r="U74" s="209">
        <f t="shared" si="22"/>
        <v>0</v>
      </c>
      <c r="V74" s="209">
        <f t="shared" si="22"/>
        <v>0</v>
      </c>
      <c r="W74" s="209">
        <f t="shared" si="22"/>
        <v>0</v>
      </c>
      <c r="X74" s="209">
        <f t="shared" si="22"/>
        <v>0</v>
      </c>
      <c r="Y74" s="209">
        <f t="shared" si="22"/>
        <v>0</v>
      </c>
      <c r="Z74" s="209">
        <f t="shared" si="22"/>
        <v>0</v>
      </c>
      <c r="AA74" s="209">
        <f t="shared" si="22"/>
        <v>0</v>
      </c>
      <c r="AB74" s="100"/>
      <c r="AC74" s="11"/>
      <c r="AD74" s="209">
        <f>SUMIF($H$34:$H$72,"600000",AD$34:AD$72)+SUMIF($H$34:$H$72,"700000",AD$34:AD$72)-SUMIF($H$34:$H$72,"TOTDEPTEXP",AD$34:AD$72)</f>
        <v>0</v>
      </c>
      <c r="AE74" s="100"/>
      <c r="AF74" s="91"/>
      <c r="AG74" s="209">
        <f>SUMIF($H$34:$H$72,"600000",AG$34:AG$72)+SUMIF($H$34:$H$72,"700000",AG$34:AG$72)-SUMIF($H$34:$H$72,"TOTDEPTEXP",AG$34:AG$72)</f>
        <v>0</v>
      </c>
      <c r="AH74" s="100"/>
      <c r="AI74" s="91"/>
      <c r="AJ74" s="11"/>
      <c r="AK74" s="11"/>
      <c r="AL74" s="11"/>
      <c r="AM74" s="11"/>
      <c r="AN74" s="11"/>
      <c r="AO74" s="11"/>
    </row>
    <row r="75" spans="1:41" x14ac:dyDescent="0.35">
      <c r="A75" s="65" t="s">
        <v>3</v>
      </c>
      <c r="B75" s="66" t="str">
        <f>IF(_epmOfflineCondition_,"'FB_Retail'!$O$16:$AN$18",_xll.EVRNG($O$16:$AN$18))</f>
        <v>'FB_Retail'!$O$16:$AN$18</v>
      </c>
      <c r="C75" s="11"/>
      <c r="D75" s="11"/>
      <c r="E75" s="11"/>
      <c r="F75" s="11"/>
      <c r="G75" s="11"/>
      <c r="H75" s="11"/>
      <c r="I75" s="59"/>
      <c r="J75" s="59"/>
      <c r="K75" s="11"/>
      <c r="L75" s="11"/>
      <c r="M75" s="11"/>
      <c r="N75" s="104" t="str">
        <f>N72&amp;" - Check"</f>
        <v>Department Profit (Loss) - Check</v>
      </c>
      <c r="O75" s="209">
        <f t="shared" ref="O75:AA75" si="23">SUMIF($H$34:$H$72,"KPI_GP",O$34:O$72)-SUMIF($H$34:$H$72,"TOTDEPTEXP",O$34:O$72)-SUMIF($H$34:$H$72,"TOTDEPTPL",O$34:O$72)</f>
        <v>0</v>
      </c>
      <c r="P75" s="209">
        <f t="shared" si="23"/>
        <v>0</v>
      </c>
      <c r="Q75" s="209">
        <f t="shared" si="23"/>
        <v>0</v>
      </c>
      <c r="R75" s="209">
        <f t="shared" si="23"/>
        <v>0</v>
      </c>
      <c r="S75" s="209">
        <f t="shared" si="23"/>
        <v>0</v>
      </c>
      <c r="T75" s="209">
        <f t="shared" si="23"/>
        <v>0</v>
      </c>
      <c r="U75" s="209">
        <f t="shared" si="23"/>
        <v>0</v>
      </c>
      <c r="V75" s="209">
        <f t="shared" si="23"/>
        <v>0</v>
      </c>
      <c r="W75" s="209">
        <f t="shared" si="23"/>
        <v>0</v>
      </c>
      <c r="X75" s="209">
        <f t="shared" si="23"/>
        <v>0</v>
      </c>
      <c r="Y75" s="209">
        <f t="shared" si="23"/>
        <v>0</v>
      </c>
      <c r="Z75" s="209">
        <f t="shared" si="23"/>
        <v>0</v>
      </c>
      <c r="AA75" s="209">
        <f t="shared" si="23"/>
        <v>0</v>
      </c>
      <c r="AB75" s="100"/>
      <c r="AC75" s="11"/>
      <c r="AD75" s="209">
        <f>SUMIF($H$34:$H$72,"KPI_GP",AD$34:AD$72)-SUMIF($H$34:$H$72,"TOTDEPTEXP",AD$34:AD$72)-SUMIF($H$34:$H$72,"TOTDEPTPL",AD$34:AD$72)</f>
        <v>0</v>
      </c>
      <c r="AE75" s="100"/>
      <c r="AF75" s="91"/>
      <c r="AG75" s="209">
        <f>SUMIF($H$34:$H$72,"KPI_GP",AG$34:AG$72)-SUMIF($H$34:$H$72,"TOTDEPTEXP",AG$34:AG$72)-SUMIF($H$34:$H$72,"TOTDEPTPL",AG$34:AG$72)</f>
        <v>0</v>
      </c>
      <c r="AH75" s="100"/>
      <c r="AI75" s="91"/>
      <c r="AJ75" s="11"/>
      <c r="AK75" s="11"/>
      <c r="AL75" s="11"/>
      <c r="AM75" s="11"/>
      <c r="AN75" s="11"/>
      <c r="AO75" s="11"/>
    </row>
    <row r="76" spans="1:41" x14ac:dyDescent="0.35">
      <c r="A76" s="65" t="s">
        <v>4</v>
      </c>
      <c r="B76" s="66" t="str">
        <f>IF(_epmOfflineCondition_,"'FB_Retail'!$H$60:$H$61,'FB_Retail'!$H$63:$H$64,'FB_Retail'!$H$67:$H$68",_xll.EVRNG(H60:H61,H63:H64,H67:H68))</f>
        <v>'FB_Retail'!$H$60:$H$61,'FB_Retail'!$H$63:$H$64,'FB_Retail'!$H$67:$H$68</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5</v>
      </c>
      <c r="B77" s="66"/>
      <c r="C77" s="11"/>
      <c r="D77" s="11"/>
      <c r="E77" s="11"/>
      <c r="F77" s="11"/>
      <c r="G77" s="11"/>
      <c r="H77" s="11"/>
      <c r="I77" s="59"/>
      <c r="J77" s="59"/>
      <c r="K77" s="11"/>
      <c r="L77" s="11"/>
      <c r="M77" s="11"/>
      <c r="N77" s="11"/>
      <c r="O77" s="137"/>
      <c r="P77" s="137"/>
      <c r="Q77" s="137"/>
      <c r="R77" s="137"/>
      <c r="S77" s="137"/>
      <c r="T77" s="137"/>
      <c r="U77" s="137"/>
      <c r="V77" s="137"/>
      <c r="W77" s="137"/>
      <c r="X77" s="137"/>
      <c r="Y77" s="137"/>
      <c r="Z77" s="137"/>
      <c r="AA77" s="137"/>
      <c r="AB77" s="11"/>
      <c r="AC77" s="11"/>
      <c r="AD77" s="137"/>
      <c r="AE77" s="11"/>
      <c r="AF77" s="11"/>
      <c r="AG77" s="137"/>
      <c r="AH77" s="11"/>
      <c r="AI77" s="11"/>
      <c r="AJ77" s="11"/>
      <c r="AK77" s="11"/>
      <c r="AL77" s="11"/>
      <c r="AM77" s="11"/>
      <c r="AN77" s="11"/>
      <c r="AO77" s="11"/>
    </row>
    <row r="78" spans="1:41" x14ac:dyDescent="0.35">
      <c r="A78" s="65" t="s">
        <v>6</v>
      </c>
      <c r="B78" s="66"/>
      <c r="C78" s="11"/>
      <c r="D78" s="11"/>
      <c r="E78" s="11"/>
      <c r="F78" s="11"/>
      <c r="G78" s="11"/>
      <c r="H78" s="11"/>
      <c r="I78" s="59"/>
      <c r="J78" s="59"/>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7</v>
      </c>
      <c r="B79" s="66" t="str">
        <f>IF(_epmOfflineCondition_,"'FB_Retail'!$A$93:$F$99",_xll.EVRNG(A93:F99))</f>
        <v>'FB_Retail'!$A$93:$F$99</v>
      </c>
      <c r="C79" s="11"/>
      <c r="D79" s="11"/>
      <c r="E79" s="11"/>
      <c r="F79" s="11"/>
      <c r="G79" s="11"/>
      <c r="H79" s="11"/>
      <c r="I79" s="59"/>
      <c r="J79" s="59"/>
      <c r="K79" s="11"/>
      <c r="L79" s="11"/>
      <c r="M79" s="11"/>
      <c r="N79" s="11"/>
      <c r="O79" s="137"/>
      <c r="P79" s="137"/>
      <c r="Q79" s="137"/>
      <c r="R79" s="137"/>
      <c r="S79" s="137"/>
      <c r="T79" s="137"/>
      <c r="U79" s="137"/>
      <c r="V79" s="137"/>
      <c r="W79" s="137"/>
      <c r="X79" s="137"/>
      <c r="Y79" s="137"/>
      <c r="Z79" s="137"/>
      <c r="AA79" s="137"/>
      <c r="AB79" s="11"/>
      <c r="AC79" s="11"/>
      <c r="AD79" s="137"/>
      <c r="AE79" s="11"/>
      <c r="AF79" s="11"/>
      <c r="AG79" s="137"/>
      <c r="AH79" s="11"/>
      <c r="AI79" s="11"/>
      <c r="AJ79" s="11"/>
      <c r="AK79" s="11"/>
      <c r="AL79" s="11"/>
      <c r="AM79" s="11"/>
      <c r="AN79" s="11"/>
      <c r="AO79" s="11"/>
    </row>
    <row r="80" spans="1:41" x14ac:dyDescent="0.35">
      <c r="A80" s="65" t="s">
        <v>47</v>
      </c>
      <c r="B80" s="66" t="str">
        <f>IF(_epmOfflineCondition_,"'FB_Retail'!$A$116:$B$137",_xll.EVRNG($A$116:$B$137))</f>
        <v>'FB_Retail'!$A$116:$B$137</v>
      </c>
      <c r="C80" s="11"/>
      <c r="D80" s="11"/>
      <c r="E80" s="11"/>
      <c r="F80" s="11"/>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8</v>
      </c>
      <c r="B81" s="66"/>
      <c r="C81" s="11"/>
      <c r="D81" s="11"/>
      <c r="E81" s="11"/>
      <c r="F81" s="11"/>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208"/>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1" t="str">
        <f>IF(_epmOfflineCondition_,"Evdre:Ok",_xll.EVDRE($B$1,A105:B112))</f>
        <v>Evdre:Ok</v>
      </c>
      <c r="B102" s="11" t="s">
        <v>736</v>
      </c>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76"/>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0</v>
      </c>
      <c r="B104" s="63" t="s">
        <v>1</v>
      </c>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v>
      </c>
      <c r="B105" s="66" t="str">
        <f>IF(_epmOfflineCondition_,"'FB_Retail'!$B$2:$B$10",_xll.EVRNG($B$2:$B$10))</f>
        <v>'FB_Retail'!$B$2:$B$10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3</v>
      </c>
      <c r="B106" s="66" t="str">
        <f>IF(_epmOfflineCondition_,"'FB_Retail'!$O$16:$AN$18",_xll.EVRNG($O$16:$AN$18))</f>
        <v>'FB_Retail'!$O$16:$AN$18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v>
      </c>
      <c r="B107" s="66" t="str">
        <f>IF(_epmOfflineCondition_,"'FB_Retail'!$H$69:$H$72",_xll.EVRNG(H69:H72))</f>
        <v>'FB_Retail'!$H$69:$H$72</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6</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47</v>
      </c>
      <c r="B111" s="66" t="str">
        <f>IF(_epmOfflineCondition_,"'FB_Retail'!$A$116:$B$137",_xll.EVRNG($A$116:$B$137))</f>
        <v>'FB_Retail'!$A$116:$B$137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267"/>
      <c r="J145" s="11"/>
      <c r="K145" s="267"/>
      <c r="L145" s="267"/>
      <c r="M145" s="267"/>
      <c r="N145" s="11"/>
      <c r="O145" s="267"/>
      <c r="P145" s="267"/>
      <c r="Q145" s="267"/>
      <c r="R145" s="267"/>
      <c r="S145" s="267"/>
      <c r="T145" s="267"/>
      <c r="U145" s="267"/>
      <c r="V145" s="267"/>
      <c r="W145" s="267"/>
      <c r="X145" s="267"/>
      <c r="Y145" s="267"/>
      <c r="Z145" s="267"/>
      <c r="AA145" s="267"/>
      <c r="AB145" s="11"/>
      <c r="AC145" s="11"/>
      <c r="AD145" s="267"/>
      <c r="AE145" s="11"/>
      <c r="AF145" s="267"/>
      <c r="AG145" s="11"/>
      <c r="AH145" s="267"/>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267"/>
      <c r="J149" s="11"/>
      <c r="K149" s="267"/>
      <c r="L149" s="267"/>
      <c r="M149" s="267"/>
      <c r="N149" s="11"/>
      <c r="O149" s="267"/>
      <c r="P149" s="267"/>
      <c r="Q149" s="267"/>
      <c r="R149" s="267"/>
      <c r="S149" s="267"/>
      <c r="T149" s="267"/>
      <c r="U149" s="267"/>
      <c r="V149" s="267"/>
      <c r="W149" s="267"/>
      <c r="X149" s="267"/>
      <c r="Y149" s="267"/>
      <c r="Z149" s="267"/>
      <c r="AA149" s="267"/>
      <c r="AB149" s="11"/>
      <c r="AC149" s="11"/>
      <c r="AD149" s="267"/>
      <c r="AE149" s="11"/>
      <c r="AF149" s="267"/>
      <c r="AG149" s="11"/>
      <c r="AH149" s="267"/>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6I7351buxxlEs9v2XCpkS7T8woIF7zzhPGIcf++3kN9u4DSMt3xvMktGWk+wn3f2dIxhi7yuAcSjgC1lTjOZFw==" saltValue="oG0mXUz/nJtPNtabWdW5ww==" spinCount="100000" sheet="1" scenarios="1"/>
  <mergeCells count="2">
    <mergeCell ref="AD31:AE31"/>
    <mergeCell ref="AG31:AH31"/>
  </mergeCells>
  <dataValidations disablePrompts="1" count="2">
    <dataValidation type="list" allowBlank="1" sqref="B57 B28 B85" xr:uid="{00000000-0002-0000-2300-000000000000}">
      <formula1>"ACCOUNT,BUSINESSUNIT,CATEGORY,DATASRC,DEPARTMENT,INTCO,MEASURES,RPTCURRENCY,TIME"</formula1>
    </dataValidation>
    <dataValidation type="list" allowBlank="1" sqref="B58 B29 B86" xr:uid="{00000000-0002-0000-23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8920"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8920" r:id="rId7" name="FPMExcelClientSheetOptionstb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0">
    <tabColor theme="9"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8.4531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423</v>
      </c>
      <c r="C6" s="11" t="str">
        <f>IF(_epmOfflineCondition_,"Minor Operated Departments",_xll.EVDES(B6,$B$1))</f>
        <v>Minor Operated Departments</v>
      </c>
      <c r="D6" s="11"/>
      <c r="E6" s="58" t="str">
        <f>IF(_epmOfflineCondition_,"D1138",_xll.EVPRO($B$1,$B$6,$F$6))</f>
        <v>D1138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IF(_epmOfflineCondition_,"'Minor_Op'!$B$2:$B$10",_xll.EVRNG($B$2:$B$10))</f>
        <v>'Minor_Op'!$B$2:$B$10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IF(_epmOfflineCondition_,"'Minor_Op'!$O$16:$AN$18",_xll.EVRNG($O$16:$AN$18))</f>
        <v>'Minor_Op'!$O$16:$AN$18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IF(SetUp!$O$1=TRUE,"TRAILING12",IF(Z17="CURRENT","ROLLINGFORECAST","PERIODIC"))</f>
        <v>PERIODIC</v>
      </c>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IF(_epmOfflineCondition_,"'Minor_Op'!$H$34:$H$53,'Minor_Op'!$H$56:$H$74",_xll.EVRNG(H34:H53,H56:H74))</f>
        <v>'Minor_Op'!$H$34:$H$53,'Minor_Op'!$H$56:$H$74</v>
      </c>
      <c r="C19" s="11"/>
      <c r="D19" s="11"/>
      <c r="E19" s="11"/>
      <c r="F19" s="11"/>
      <c r="G19" s="67" t="str">
        <f>$B$6</f>
        <v>D1138</v>
      </c>
      <c r="H19" s="67">
        <v>400000</v>
      </c>
      <c r="I19" s="68"/>
      <c r="J19" s="68"/>
      <c r="K19" s="67"/>
      <c r="L19" s="67"/>
      <c r="M19" s="67"/>
      <c r="N19" s="67" t="str">
        <f>IF(_epmOfflineCondition_,"Total Revenue",_xll.EVDES(H19))</f>
        <v>Total Revenue</v>
      </c>
      <c r="O19" s="69">
        <f>IF(_epmOfflineCondition_,824.59,_xll.EVGTS($B$1,1,$B$3,$B$5,$B$7,$B$9,O$16,O$17,O$18,$G$19,$H$19))</f>
        <v>824.59</v>
      </c>
      <c r="P19" s="69">
        <f>IF(_epmOfflineCondition_,828.99,_xll.EVGTS($B$1,1,$B$3,$B$5,$B$7,$B$9,P$16,P$17,P$18,$G$19,$H$19))</f>
        <v>828.99</v>
      </c>
      <c r="Q19" s="69">
        <f>IF(_epmOfflineCondition_,672.8,_xll.EVGTS($B$1,1,$B$3,$B$5,$B$7,$B$9,Q$16,Q$17,Q$18,$G$19,$H$19))</f>
        <v>672.8</v>
      </c>
      <c r="R19" s="69">
        <f>IF(_epmOfflineCondition_,2811.43,_xll.EVGTS($B$1,1,$B$3,$B$5,$B$7,$B$9,R$16,R$17,R$18,$G$19,$H$19))</f>
        <v>2811.43</v>
      </c>
      <c r="S19" s="69">
        <f>IF(_epmOfflineCondition_,3214.58,_xll.EVGTS($B$1,1,$B$3,$B$5,$B$7,$B$9,S$16,S$17,S$18,$G$19,$H$19))</f>
        <v>3214.58</v>
      </c>
      <c r="T19" s="69">
        <f>IF(_epmOfflineCondition_,1023.07,_xll.EVGTS($B$1,1,$B$3,$B$5,$B$7,$B$9,T$16,T$17,T$18,$G$19,$H$19))</f>
        <v>1023.07</v>
      </c>
      <c r="U19" s="69">
        <f>IF(_epmOfflineCondition_,1081.2,_xll.EVGTS($B$1,1,$B$3,$B$5,$B$7,$B$9,U$16,U$17,U$18,$G$19,$H$19))</f>
        <v>1081.2</v>
      </c>
      <c r="V19" s="69">
        <f>IF(_epmOfflineCondition_,62.99,_xll.EVGTS($B$1,1,$B$3,$B$5,$B$7,$B$9,V$16,V$17,V$18,$G$19,$H$19))</f>
        <v>62.99</v>
      </c>
      <c r="W19" s="69">
        <f>IF(_epmOfflineCondition_,2723.58,_xll.EVGTS($B$1,1,$B$3,$B$5,$B$7,$B$9,W$16,W$17,W$18,$G$19,$H$19))</f>
        <v>2723.58</v>
      </c>
      <c r="X19" s="69">
        <f>IF(_epmOfflineCondition_,1445.04,_xll.EVGTS($B$1,1,$B$3,$B$5,$B$7,$B$9,X$16,X$17,X$18,$G$19,$H$19))</f>
        <v>1445.04</v>
      </c>
      <c r="Y19" s="69">
        <f>IF(_epmOfflineCondition_,1543.33,_xll.EVGTS($B$1,1,$B$3,$B$5,$B$7,$B$9,Y$16,Y$17,Y$18,$G$19,$H$19))</f>
        <v>1543.33</v>
      </c>
      <c r="Z19" s="69">
        <f>IF(_epmOfflineCondition_,3350.25,_xll.EVGTS($B$1,1,$B$3,$B$5,$B$7,$B$9,Z$16,Z$17,Z$18,$G$19,$H$19))</f>
        <v>3350.25</v>
      </c>
      <c r="AA19" s="69">
        <f>SUM(O19:Z19)</f>
        <v>19581.849999999999</v>
      </c>
      <c r="AB19" s="67"/>
      <c r="AC19" s="67"/>
      <c r="AD19" s="69">
        <f>IF(_epmOfflineCondition_,15760.5,_xll.EVGTS($B$1,1,$B$3,$B$5,$B$7,$B$9,AD$16,AD$17,AD$18,$G$19,$H$19))</f>
        <v>15760.5</v>
      </c>
      <c r="AE19" s="67"/>
      <c r="AF19" s="67"/>
      <c r="AG19" s="69">
        <f>IF(_epmOfflineCondition_,7300.81,_xll.EVGTS($B$1,1,$B$3,$B$5,$B$7,$B$9,AG$16,AG$17,AG$18,$G$19,$H$19))</f>
        <v>7300.81</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IF(_epmOfflineCondition_,"'Minor_Op'!$A$58:$F$62",_xll.EVRNG(A58:F62))</f>
        <v>'Minor_Op'!$A$58:$F$62</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IF(_epmOfflineCondition_,"'Minor_Op'!$A$79:$B$100",_xll.EVRNG($A$79:$B$100))</f>
        <v>'Minor_Op'!$A$79:$B$100</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IF(_epmOfflineCondition_,"Minor Operated Departments",IF(_xll.EVDES(B6,$B$1)="#NODATA","",_xll.EVDES(B6,$B$1)))</f>
        <v>Minor Operated Departments</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"DEP(450000) AND "&amp;$E$6&amp;"=Y,400000|DEP(550000) AND "&amp;$E$6&amp;"=Y,500001"</f>
        <v>DEP(450000) AND D1138=Y,400000|DEP(550000) AND D1138=Y,500001</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424</v>
      </c>
      <c r="I34" s="122" t="str">
        <f>IF(_epmOfflineCondition_,"T5",_xll.EVPRO($B$1,$H34,"STYLE"))</f>
        <v>T5</v>
      </c>
      <c r="J34" s="122" t="str">
        <f>IF(_epmOfflineCondition_,"Y",_xll.EVPRO($B$1,$H34,"CALC"))</f>
        <v>Y</v>
      </c>
      <c r="K34" s="179" t="str">
        <f t="shared" ref="K34:K53" si="0">IF(AND(I34&gt;="T5"),"&gt;","")</f>
        <v>&gt;</v>
      </c>
      <c r="L34" s="90" t="str">
        <f>IF(_epmOfflineCondition_,"410000",_xll.EVPRO($B$1,H34,"JDEID"))</f>
        <v>410000</v>
      </c>
      <c r="M34" s="90" t="str">
        <f>IF(_epmOfflineCondition_,"",IF(AND(I34="N",J34="N"),_xll.EVPRO($B$1,H34,"PSFTID"),""))</f>
        <v/>
      </c>
      <c r="N34" s="90" t="str">
        <f>IF(_epmOfflineCondition_,"Total Guest Communication Rev",IF(_xll.EVDES(H34,$B$1)="#NODATA","",_xll.EVDES(H34,$B$1)))</f>
        <v>Total Guest Communication Rev</v>
      </c>
      <c r="O34" s="143">
        <v>244.49</v>
      </c>
      <c r="P34" s="143">
        <v>224.54</v>
      </c>
      <c r="Q34" s="143">
        <v>453.35</v>
      </c>
      <c r="R34" s="143">
        <v>417.12</v>
      </c>
      <c r="S34" s="143">
        <v>737.38</v>
      </c>
      <c r="T34" s="143">
        <v>405.75</v>
      </c>
      <c r="U34" s="143">
        <v>608.98</v>
      </c>
      <c r="V34" s="143">
        <v>241.94</v>
      </c>
      <c r="W34" s="143">
        <v>1801.13</v>
      </c>
      <c r="X34" s="143">
        <v>590.04</v>
      </c>
      <c r="Y34" s="143">
        <v>393.33</v>
      </c>
      <c r="Z34" s="143">
        <v>606.79999999999995</v>
      </c>
      <c r="AA34" s="250">
        <f t="shared" ref="AA34:AA53" si="1">IF($I34="B1","",SUM(O34:Z34))</f>
        <v>6724.85</v>
      </c>
      <c r="AB34" s="144">
        <f t="shared" ref="AB34:AB53" si="2">IF(AA34=0,"",IFERROR(AA34/AA$19,""))</f>
        <v>0.34342260818053455</v>
      </c>
      <c r="AC34" s="140"/>
      <c r="AD34" s="143">
        <v>2626.75</v>
      </c>
      <c r="AE34" s="144">
        <f t="shared" ref="AE34:AE53" si="3">IF(AD34=0,"",IFERROR(AD34/AD$19,""))</f>
        <v>0.16666666666666666</v>
      </c>
      <c r="AF34" s="145">
        <f t="shared" ref="AF34:AF53" si="4">IF(AND($AA34="",AD34=""),"",$AA34-AD34)</f>
        <v>4098.1000000000004</v>
      </c>
      <c r="AG34" s="143">
        <v>1667.63</v>
      </c>
      <c r="AH34" s="144">
        <f t="shared" ref="AH34:AH53" si="5">IF(AG34=0,"",IFERROR(AG34/AG$19,""))</f>
        <v>0.22841712084001639</v>
      </c>
      <c r="AI34" s="145">
        <f t="shared" ref="AI34:AI53" si="6">IF(AND($AA34="",AG34=""),"",$AA34-AG34)</f>
        <v>5057.22</v>
      </c>
      <c r="AJ34" s="440">
        <f t="shared" ref="AJ34:AJ53" si="7">IFERROR(AA34/AA$20,0)</f>
        <v>0.16720579825455631</v>
      </c>
      <c r="AK34" s="441">
        <f t="shared" ref="AK34:AK53" si="8">IFERROR(AD34/AD$20,0)</f>
        <v>7.0000000000000007E-2</v>
      </c>
      <c r="AL34" s="442">
        <f t="shared" ref="AL34:AL53" si="9">IFERROR(AG34/AG$20,0)</f>
        <v>8.3173566084788042E-2</v>
      </c>
      <c r="AM34" s="443" t="str">
        <f t="shared" ref="AM34:AM53" si="10">+IFERROR(ROUND(($AB34-AE34)*100,2)&amp;" pts.",0)</f>
        <v>17.68 pts.</v>
      </c>
      <c r="AN34" s="444" t="str">
        <f t="shared" ref="AN34:AN53" si="11">+IFERROR(ROUND(($AB34-AH34)*100,2)&amp;" pts.",0)</f>
        <v>11.5 pts.</v>
      </c>
      <c r="AO34" s="11"/>
    </row>
    <row r="35" spans="1:41" x14ac:dyDescent="0.35">
      <c r="A35" s="11"/>
      <c r="B35" s="11"/>
      <c r="C35" s="11"/>
      <c r="D35" s="11"/>
      <c r="E35" s="11"/>
      <c r="F35" s="11"/>
      <c r="G35" s="11"/>
      <c r="H35" s="88" t="s">
        <v>425</v>
      </c>
      <c r="I35" s="122" t="str">
        <f>IF(_epmOfflineCondition_,"T5",_xll.EVPRO($B$1,$H35,"STYLE"))</f>
        <v>T5</v>
      </c>
      <c r="J35" s="122" t="str">
        <f>IF(_epmOfflineCondition_,"Y",_xll.EVPRO($B$1,$H35,"CALC"))</f>
        <v>Y</v>
      </c>
      <c r="K35" s="179" t="str">
        <f t="shared" si="0"/>
        <v>&gt;</v>
      </c>
      <c r="L35" s="90" t="str">
        <f>IF(_epmOfflineCondition_,"450100",_xll.EVPRO($B$1,H35,"JDEID"))</f>
        <v>450100</v>
      </c>
      <c r="M35" s="90" t="str">
        <f>IF(_epmOfflineCondition_,"",IF(AND(I35="N",J35="N"),_xll.EVPRO($B$1,H35,"PSFTID"),""))</f>
        <v/>
      </c>
      <c r="N35" s="90" t="str">
        <f>IF(_epmOfflineCondition_,"In Room Movies",IF(_xll.EVDES(H35,$B$1)="#NODATA","",_xll.EVDES(H35,$B$1)))</f>
        <v>In Room Movies</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61" t="str">
        <f>IF(_epmOfflineCondition_,"Evdre:Ok",_xll.EVDRE($B$1,A39:B46,A49:B55))</f>
        <v>Evdre:Ok</v>
      </c>
      <c r="B36" s="11"/>
      <c r="C36" s="11"/>
      <c r="D36" s="11"/>
      <c r="E36" s="11"/>
      <c r="F36" s="11"/>
      <c r="G36" s="11"/>
      <c r="H36" s="88" t="s">
        <v>426</v>
      </c>
      <c r="I36" s="122" t="str">
        <f>IF(_epmOfflineCondition_,"T5",_xll.EVPRO($B$1,$H36,"STYLE"))</f>
        <v>T5</v>
      </c>
      <c r="J36" s="122" t="str">
        <f>IF(_epmOfflineCondition_,"Y",_xll.EVPRO($B$1,$H36,"CALC"))</f>
        <v>Y</v>
      </c>
      <c r="K36" s="179" t="str">
        <f t="shared" si="0"/>
        <v>&gt;</v>
      </c>
      <c r="L36" s="90" t="str">
        <f>IF(_epmOfflineCondition_,"450150",_xll.EVPRO($B$1,H36,"JDEID"))</f>
        <v>450150</v>
      </c>
      <c r="M36" s="90" t="str">
        <f>IF(_epmOfflineCondition_,"",IF(AND(I36="N",J36="N"),_xll.EVPRO($B$1,H36,"PSFTID"),""))</f>
        <v/>
      </c>
      <c r="N36" s="90" t="str">
        <f>IF(_epmOfflineCondition_,"Guest Laundry &amp; Dry Cleaning",IF(_xll.EVDES(H36,$B$1)="#NODATA","",_xll.EVDES(H36,$B$1)))</f>
        <v>Guest Laundry &amp; Dry Cleaning</v>
      </c>
      <c r="O36" s="143">
        <v>485.1</v>
      </c>
      <c r="P36" s="143">
        <v>379.45</v>
      </c>
      <c r="Q36" s="143">
        <v>54.45</v>
      </c>
      <c r="R36" s="143">
        <v>1479.31</v>
      </c>
      <c r="S36" s="143">
        <v>1707.2</v>
      </c>
      <c r="T36" s="143">
        <v>347.32</v>
      </c>
      <c r="U36" s="143">
        <v>-302.77999999999997</v>
      </c>
      <c r="V36" s="143">
        <v>-653.95000000000005</v>
      </c>
      <c r="W36" s="143">
        <v>217.45</v>
      </c>
      <c r="X36" s="143">
        <v>275</v>
      </c>
      <c r="Y36" s="143">
        <v>495</v>
      </c>
      <c r="Z36" s="143">
        <v>2183.4499999999998</v>
      </c>
      <c r="AA36" s="250">
        <f t="shared" si="1"/>
        <v>6667</v>
      </c>
      <c r="AB36" s="144">
        <f t="shared" si="2"/>
        <v>0.34046834185738328</v>
      </c>
      <c r="AC36" s="140"/>
      <c r="AD36" s="143">
        <v>5628.75</v>
      </c>
      <c r="AE36" s="144">
        <f t="shared" si="3"/>
        <v>0.35714285714285715</v>
      </c>
      <c r="AF36" s="145">
        <f t="shared" si="4"/>
        <v>1038.25</v>
      </c>
      <c r="AG36" s="143">
        <v>2894.18</v>
      </c>
      <c r="AH36" s="144">
        <f t="shared" si="5"/>
        <v>0.39641902747777297</v>
      </c>
      <c r="AI36" s="145">
        <f t="shared" si="6"/>
        <v>3772.82</v>
      </c>
      <c r="AJ36" s="440">
        <f t="shared" si="7"/>
        <v>0.16576742335711978</v>
      </c>
      <c r="AK36" s="441">
        <f t="shared" si="8"/>
        <v>0.15</v>
      </c>
      <c r="AL36" s="442">
        <f t="shared" si="9"/>
        <v>0.14434812967581045</v>
      </c>
      <c r="AM36" s="443" t="str">
        <f t="shared" si="10"/>
        <v>-1.67 pts.</v>
      </c>
      <c r="AN36" s="444" t="str">
        <f t="shared" si="11"/>
        <v>-5.6 pts.</v>
      </c>
      <c r="AO36" s="11"/>
    </row>
    <row r="37" spans="1:41" x14ac:dyDescent="0.35">
      <c r="A37" s="11"/>
      <c r="B37" s="11"/>
      <c r="C37" s="11"/>
      <c r="D37" s="11"/>
      <c r="E37" s="11"/>
      <c r="F37" s="11"/>
      <c r="G37" s="11"/>
      <c r="H37" s="88" t="s">
        <v>427</v>
      </c>
      <c r="I37" s="122" t="str">
        <f>IF(_epmOfflineCondition_,"T5",_xll.EVPRO($B$1,$H37,"STYLE"))</f>
        <v>T5</v>
      </c>
      <c r="J37" s="122" t="str">
        <f>IF(_epmOfflineCondition_,"Y",_xll.EVPRO($B$1,$H37,"CALC"))</f>
        <v>Y</v>
      </c>
      <c r="K37" s="179" t="str">
        <f t="shared" si="0"/>
        <v>&gt;</v>
      </c>
      <c r="L37" s="90" t="str">
        <f>IF(_epmOfflineCondition_,"450200",_xll.EVPRO($B$1,H37,"JDEID"))</f>
        <v>450200</v>
      </c>
      <c r="M37" s="90" t="str">
        <f>IF(_epmOfflineCondition_,"",IF(AND(I37="N",J37="N"),_xll.EVPRO($B$1,H37,"PSFTID"),""))</f>
        <v/>
      </c>
      <c r="N37" s="90" t="str">
        <f>IF(_epmOfflineCondition_,"In Room Fax",IF(_xll.EVDES(H37,$B$1)="#NODATA","",_xll.EVDES(H37,$B$1)))</f>
        <v>In Room Fax</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62" t="s">
        <v>0</v>
      </c>
      <c r="B38" s="63" t="s">
        <v>1</v>
      </c>
      <c r="C38" s="11"/>
      <c r="D38" s="11"/>
      <c r="E38" s="11"/>
      <c r="F38" s="11"/>
      <c r="G38" s="11"/>
      <c r="H38" s="88" t="s">
        <v>428</v>
      </c>
      <c r="I38" s="122" t="str">
        <f>IF(_epmOfflineCondition_,"T5",_xll.EVPRO($B$1,$H38,"STYLE"))</f>
        <v>T5</v>
      </c>
      <c r="J38" s="122" t="str">
        <f>IF(_epmOfflineCondition_,"Y",_xll.EVPRO($B$1,$H38,"CALC"))</f>
        <v>Y</v>
      </c>
      <c r="K38" s="179" t="str">
        <f t="shared" si="0"/>
        <v>&gt;</v>
      </c>
      <c r="L38" s="90" t="str">
        <f>IF(_epmOfflineCondition_,"450250",_xll.EVPRO($B$1,H38,"JDEID"))</f>
        <v>450250</v>
      </c>
      <c r="M38" s="90" t="str">
        <f>IF(_epmOfflineCondition_,"",IF(AND(I38="N",J38="N"),_xll.EVPRO($B$1,H38,"PSFTID"),""))</f>
        <v/>
      </c>
      <c r="N38" s="90" t="str">
        <f>IF(_epmOfflineCondition_,"In Room Items",IF(_xll.EVDES(H38,$B$1)="#NODATA","",_xll.EVDES(H38,$B$1)))</f>
        <v>In Room Items</v>
      </c>
      <c r="O38" s="143">
        <v>95</v>
      </c>
      <c r="P38" s="143">
        <v>225</v>
      </c>
      <c r="Q38" s="143">
        <v>165</v>
      </c>
      <c r="R38" s="143">
        <v>915</v>
      </c>
      <c r="S38" s="143">
        <v>770</v>
      </c>
      <c r="T38" s="143">
        <v>270</v>
      </c>
      <c r="U38" s="143">
        <v>775</v>
      </c>
      <c r="V38" s="143">
        <v>475</v>
      </c>
      <c r="W38" s="143">
        <v>705</v>
      </c>
      <c r="X38" s="143">
        <v>580</v>
      </c>
      <c r="Y38" s="143">
        <v>655</v>
      </c>
      <c r="Z38" s="143">
        <v>465</v>
      </c>
      <c r="AA38" s="250">
        <f t="shared" si="1"/>
        <v>6095</v>
      </c>
      <c r="AB38" s="144">
        <f t="shared" si="2"/>
        <v>0.31125761866217955</v>
      </c>
      <c r="AC38" s="140"/>
      <c r="AD38" s="143">
        <v>7505</v>
      </c>
      <c r="AE38" s="144">
        <f t="shared" si="3"/>
        <v>0.47619047619047616</v>
      </c>
      <c r="AF38" s="145">
        <f t="shared" si="4"/>
        <v>-1410</v>
      </c>
      <c r="AG38" s="143">
        <v>2589</v>
      </c>
      <c r="AH38" s="144">
        <f t="shared" si="5"/>
        <v>0.35461818620125712</v>
      </c>
      <c r="AI38" s="145">
        <f t="shared" si="6"/>
        <v>3506</v>
      </c>
      <c r="AJ38" s="440">
        <f t="shared" si="7"/>
        <v>0.15154528953976976</v>
      </c>
      <c r="AK38" s="441">
        <f t="shared" si="8"/>
        <v>0.2</v>
      </c>
      <c r="AL38" s="442">
        <f t="shared" si="9"/>
        <v>0.12912718204488777</v>
      </c>
      <c r="AM38" s="443" t="str">
        <f t="shared" si="10"/>
        <v>-16.49 pts.</v>
      </c>
      <c r="AN38" s="444" t="str">
        <f t="shared" si="11"/>
        <v>-4.34 pts.</v>
      </c>
      <c r="AO38" s="11"/>
    </row>
    <row r="39" spans="1:41" x14ac:dyDescent="0.35">
      <c r="A39" s="65" t="s">
        <v>2</v>
      </c>
      <c r="B39" s="66" t="str">
        <f>IF(_epmOfflineCondition_,"'Minor_Op'!$B$2:$B$10",_xll.EVRNG($B$2:$B$10))</f>
        <v>'Minor_Op'!$B$2:$B$10</v>
      </c>
      <c r="C39" s="11"/>
      <c r="D39" s="11"/>
      <c r="E39" s="11"/>
      <c r="F39" s="11"/>
      <c r="G39" s="11"/>
      <c r="H39" s="88" t="s">
        <v>429</v>
      </c>
      <c r="I39" s="122" t="str">
        <f>IF(_epmOfflineCondition_,"T5",_xll.EVPRO($B$1,$H39,"STYLE"))</f>
        <v>T5</v>
      </c>
      <c r="J39" s="122" t="str">
        <f>IF(_epmOfflineCondition_,"Y",_xll.EVPRO($B$1,$H39,"CALC"))</f>
        <v>Y</v>
      </c>
      <c r="K39" s="179" t="str">
        <f t="shared" si="0"/>
        <v>&gt;</v>
      </c>
      <c r="L39" s="90" t="str">
        <f>IF(_epmOfflineCondition_,"450300",_xll.EVPRO($B$1,H39,"JDEID"))</f>
        <v>450300</v>
      </c>
      <c r="M39" s="90" t="str">
        <f>IF(_epmOfflineCondition_,"",IF(AND(I39="N",J39="N"),_xll.EVPRO($B$1,H39,"PSFTID"),""))</f>
        <v/>
      </c>
      <c r="N39" s="90" t="str">
        <f>IF(_epmOfflineCondition_,"Massage Services",IF(_xll.EVDES(H39,$B$1)="#NODATA","",_xll.EVDES(H39,$B$1)))</f>
        <v>Massage Services</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65" t="s">
        <v>3</v>
      </c>
      <c r="B40" s="66" t="str">
        <f>IF(_epmOfflineCondition_,"'Minor_Op'!$O$16:$AN$18",_xll.EVRNG($O$16:$AN$18))</f>
        <v>'Minor_Op'!$O$16:$AN$18</v>
      </c>
      <c r="C40" s="11"/>
      <c r="D40" s="11"/>
      <c r="E40" s="11"/>
      <c r="F40" s="11"/>
      <c r="G40" s="11"/>
      <c r="H40" s="88" t="s">
        <v>430</v>
      </c>
      <c r="I40" s="122" t="str">
        <f>IF(_epmOfflineCondition_,"T5",_xll.EVPRO($B$1,$H40,"STYLE"))</f>
        <v>T5</v>
      </c>
      <c r="J40" s="122" t="str">
        <f>IF(_epmOfflineCondition_,"Y",_xll.EVPRO($B$1,$H40,"CALC"))</f>
        <v>Y</v>
      </c>
      <c r="K40" s="179" t="str">
        <f t="shared" si="0"/>
        <v>&gt;</v>
      </c>
      <c r="L40" s="90" t="str">
        <f>IF(_epmOfflineCondition_,"450350",_xll.EVPRO($B$1,H40,"JDEID"))</f>
        <v>450350</v>
      </c>
      <c r="M40" s="90" t="str">
        <f>IF(_epmOfflineCondition_,"",IF(AND(I40="N",J40="N"),_xll.EVPRO($B$1,H40,"PSFTID"),""))</f>
        <v/>
      </c>
      <c r="N40" s="90" t="str">
        <f>IF(_epmOfflineCondition_,"Gym Passes",IF(_xll.EVDES(H40,$B$1)="#NODATA","",_xll.EVDES(H40,$B$1)))</f>
        <v>Gym Passes</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65" t="s">
        <v>4</v>
      </c>
      <c r="B41" s="66" t="str">
        <f>IF(_epmOfflineCondition_,"'Minor_Op'!$H$77:$H$94",_xll.EVRNG(H77:H94))</f>
        <v>'Minor_Op'!$H$77:$H$94</v>
      </c>
      <c r="C41" s="11"/>
      <c r="D41" s="11"/>
      <c r="E41" s="11"/>
      <c r="F41" s="11"/>
      <c r="G41" s="11"/>
      <c r="H41" s="88" t="s">
        <v>475</v>
      </c>
      <c r="I41" s="122" t="str">
        <f>IF(_epmOfflineCondition_,"N",_xll.EVPRO($B$1,$H41,"STYLE"))</f>
        <v>N</v>
      </c>
      <c r="J41" s="122" t="str">
        <f>IF(_epmOfflineCondition_,"N",_xll.EVPRO($B$1,$H41,"CALC"))</f>
        <v>N</v>
      </c>
      <c r="K41" s="179" t="str">
        <f t="shared" si="0"/>
        <v/>
      </c>
      <c r="L41" s="90" t="str">
        <f>IF(_epmOfflineCondition_,"450375",_xll.EVPRO($B$1,H41,"JDEID"))</f>
        <v>450375</v>
      </c>
      <c r="M41" s="90" t="str">
        <f>IF(_epmOfflineCondition_,"207005",IF(AND(I41="N",J41="N"),_xll.EVPRO($B$1,H41,"PSFTID"),""))</f>
        <v>207005</v>
      </c>
      <c r="N41" s="90" t="str">
        <f>IF(_epmOfflineCondition_,"Shared Facilities &amp; Services Revenue",IF(_xll.EVDES(H41,$B$1)="#NODATA","",_xll.EVDES(H41,$B$1)))</f>
        <v>Shared Facilities &amp; Services Revenue</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65" t="s">
        <v>5</v>
      </c>
      <c r="B42" s="66"/>
      <c r="C42" s="11"/>
      <c r="D42" s="11"/>
      <c r="E42" s="11"/>
      <c r="F42" s="11"/>
      <c r="G42" s="11"/>
      <c r="H42" s="88" t="s">
        <v>476</v>
      </c>
      <c r="I42" s="122" t="str">
        <f>IF(_epmOfflineCondition_,"T5",_xll.EVPRO($B$1,$H42,"STYLE"))</f>
        <v>T5</v>
      </c>
      <c r="J42" s="122" t="str">
        <f>IF(_epmOfflineCondition_,"Y",_xll.EVPRO($B$1,$H42,"CALC"))</f>
        <v>Y</v>
      </c>
      <c r="K42" s="179" t="str">
        <f t="shared" si="0"/>
        <v>&gt;</v>
      </c>
      <c r="L42" s="90" t="str">
        <f>IF(_epmOfflineCondition_,"450380",_xll.EVPRO($B$1,H42,"JDEID"))</f>
        <v>450380</v>
      </c>
      <c r="M42" s="90" t="str">
        <f>IF(_epmOfflineCondition_,"",IF(AND(I42="N",J42="N"),_xll.EVPRO($B$1,H42,"PSFTID"),""))</f>
        <v/>
      </c>
      <c r="N42" s="90" t="str">
        <f>IF(_epmOfflineCondition_,"Retail Kiosk",IF(_xll.EVDES(H42,$B$1)="#NODATA","",_xll.EVDES(H42,$B$1)))</f>
        <v>Retail Kiosk</v>
      </c>
      <c r="O42" s="143"/>
      <c r="P42" s="143"/>
      <c r="Q42" s="143"/>
      <c r="R42" s="143"/>
      <c r="S42" s="143"/>
      <c r="T42" s="143"/>
      <c r="U42" s="143"/>
      <c r="V42" s="143"/>
      <c r="W42" s="143"/>
      <c r="X42" s="143"/>
      <c r="Y42" s="143"/>
      <c r="Z42" s="143"/>
      <c r="AA42" s="250">
        <f t="shared" si="1"/>
        <v>0</v>
      </c>
      <c r="AB42" s="144" t="str">
        <f t="shared" si="2"/>
        <v/>
      </c>
      <c r="AC42" s="140"/>
      <c r="AD42" s="143"/>
      <c r="AE42" s="144" t="str">
        <f t="shared" si="3"/>
        <v/>
      </c>
      <c r="AF42" s="145">
        <f t="shared" si="4"/>
        <v>0</v>
      </c>
      <c r="AG42" s="143"/>
      <c r="AH42" s="144" t="str">
        <f t="shared" si="5"/>
        <v/>
      </c>
      <c r="AI42" s="145">
        <f t="shared" si="6"/>
        <v>0</v>
      </c>
      <c r="AJ42" s="440">
        <f t="shared" si="7"/>
        <v>0</v>
      </c>
      <c r="AK42" s="441">
        <f t="shared" si="8"/>
        <v>0</v>
      </c>
      <c r="AL42" s="442">
        <f t="shared" si="9"/>
        <v>0</v>
      </c>
      <c r="AM42" s="443">
        <f t="shared" si="10"/>
        <v>0</v>
      </c>
      <c r="AN42" s="444">
        <f t="shared" si="11"/>
        <v>0</v>
      </c>
      <c r="AO42" s="11"/>
    </row>
    <row r="43" spans="1:41" x14ac:dyDescent="0.35">
      <c r="A43" s="65" t="s">
        <v>6</v>
      </c>
      <c r="B43" s="66"/>
      <c r="C43" s="11"/>
      <c r="D43" s="11"/>
      <c r="E43" s="11"/>
      <c r="F43" s="11"/>
      <c r="G43" s="11"/>
      <c r="H43" s="88" t="s">
        <v>477</v>
      </c>
      <c r="I43" s="122" t="str">
        <f>IF(_epmOfflineCondition_,"T5",_xll.EVPRO($B$1,$H43,"STYLE"))</f>
        <v>T5</v>
      </c>
      <c r="J43" s="122" t="str">
        <f>IF(_epmOfflineCondition_,"Y",_xll.EVPRO($B$1,$H43,"CALC"))</f>
        <v>Y</v>
      </c>
      <c r="K43" s="179" t="str">
        <f t="shared" si="0"/>
        <v>&gt;</v>
      </c>
      <c r="L43" s="90" t="str">
        <f>IF(_epmOfflineCondition_,"450385",_xll.EVPRO($B$1,H43,"JDEID"))</f>
        <v>450385</v>
      </c>
      <c r="M43" s="90" t="str">
        <f>IF(_epmOfflineCondition_,"",IF(AND(I43="N",J43="N"),_xll.EVPRO($B$1,H43,"PSFTID"),""))</f>
        <v/>
      </c>
      <c r="N43" s="90" t="str">
        <f>IF(_epmOfflineCondition_,"Vending Machines",IF(_xll.EVDES(H43,$B$1)="#NODATA","",_xll.EVDES(H43,$B$1)))</f>
        <v>Vending Machines</v>
      </c>
      <c r="O43" s="143"/>
      <c r="P43" s="143"/>
      <c r="Q43" s="143"/>
      <c r="R43" s="143"/>
      <c r="S43" s="143"/>
      <c r="T43" s="143"/>
      <c r="U43" s="143"/>
      <c r="V43" s="143"/>
      <c r="W43" s="143"/>
      <c r="X43" s="143"/>
      <c r="Y43" s="143"/>
      <c r="Z43" s="143"/>
      <c r="AA43" s="250">
        <f t="shared" si="1"/>
        <v>0</v>
      </c>
      <c r="AB43" s="144" t="str">
        <f t="shared" si="2"/>
        <v/>
      </c>
      <c r="AC43" s="140"/>
      <c r="AD43" s="143"/>
      <c r="AE43" s="144" t="str">
        <f t="shared" si="3"/>
        <v/>
      </c>
      <c r="AF43" s="145">
        <f t="shared" si="4"/>
        <v>0</v>
      </c>
      <c r="AG43" s="143"/>
      <c r="AH43" s="144" t="str">
        <f t="shared" si="5"/>
        <v/>
      </c>
      <c r="AI43" s="145">
        <f t="shared" si="6"/>
        <v>0</v>
      </c>
      <c r="AJ43" s="440">
        <f t="shared" si="7"/>
        <v>0</v>
      </c>
      <c r="AK43" s="441">
        <f t="shared" si="8"/>
        <v>0</v>
      </c>
      <c r="AL43" s="442">
        <f t="shared" si="9"/>
        <v>0</v>
      </c>
      <c r="AM43" s="443">
        <f t="shared" si="10"/>
        <v>0</v>
      </c>
      <c r="AN43" s="444">
        <f t="shared" si="11"/>
        <v>0</v>
      </c>
      <c r="AO43" s="11"/>
    </row>
    <row r="44" spans="1:41" x14ac:dyDescent="0.35">
      <c r="A44" s="65" t="s">
        <v>7</v>
      </c>
      <c r="B44" s="66" t="str">
        <f>IF(_epmOfflineCondition_,"'Minor_Op'!$A$58:$F$62",_xll.EVRNG(A58:F62))</f>
        <v>'Minor_Op'!$A$58:$F$62</v>
      </c>
      <c r="C44" s="11"/>
      <c r="D44" s="11"/>
      <c r="E44" s="11"/>
      <c r="F44" s="11"/>
      <c r="G44" s="11"/>
      <c r="H44" s="88" t="s">
        <v>478</v>
      </c>
      <c r="I44" s="122" t="str">
        <f>IF(_epmOfflineCondition_,"T5",_xll.EVPRO($B$1,$H44,"STYLE"))</f>
        <v>T5</v>
      </c>
      <c r="J44" s="122" t="str">
        <f>IF(_epmOfflineCondition_,"Y",_xll.EVPRO($B$1,$H44,"CALC"))</f>
        <v>Y</v>
      </c>
      <c r="K44" s="179" t="str">
        <f t="shared" si="0"/>
        <v>&gt;</v>
      </c>
      <c r="L44" s="90" t="str">
        <f>IF(_epmOfflineCondition_,"450390",_xll.EVPRO($B$1,H44,"JDEID"))</f>
        <v>450390</v>
      </c>
      <c r="M44" s="90" t="str">
        <f>IF(_epmOfflineCondition_,"",IF(AND(I44="N",J44="N"),_xll.EVPRO($B$1,H44,"PSFTID"),""))</f>
        <v/>
      </c>
      <c r="N44" s="90" t="str">
        <f>IF(_epmOfflineCondition_,"Laundry Machines",IF(_xll.EVDES(H44,$B$1)="#NODATA","",_xll.EVDES(H44,$B$1)))</f>
        <v>Laundry Machines</v>
      </c>
      <c r="O44" s="143"/>
      <c r="P44" s="143"/>
      <c r="Q44" s="143"/>
      <c r="R44" s="143"/>
      <c r="S44" s="143"/>
      <c r="T44" s="143"/>
      <c r="U44" s="143"/>
      <c r="V44" s="143"/>
      <c r="W44" s="143"/>
      <c r="X44" s="143"/>
      <c r="Y44" s="143"/>
      <c r="Z44" s="143"/>
      <c r="AA44" s="250">
        <f t="shared" si="1"/>
        <v>0</v>
      </c>
      <c r="AB44" s="144" t="str">
        <f t="shared" si="2"/>
        <v/>
      </c>
      <c r="AC44" s="140"/>
      <c r="AD44" s="143"/>
      <c r="AE44" s="144" t="str">
        <f t="shared" si="3"/>
        <v/>
      </c>
      <c r="AF44" s="145">
        <f t="shared" si="4"/>
        <v>0</v>
      </c>
      <c r="AG44" s="143"/>
      <c r="AH44" s="144" t="str">
        <f t="shared" si="5"/>
        <v/>
      </c>
      <c r="AI44" s="145">
        <f t="shared" si="6"/>
        <v>0</v>
      </c>
      <c r="AJ44" s="440">
        <f t="shared" si="7"/>
        <v>0</v>
      </c>
      <c r="AK44" s="441">
        <f t="shared" si="8"/>
        <v>0</v>
      </c>
      <c r="AL44" s="442">
        <f t="shared" si="9"/>
        <v>0</v>
      </c>
      <c r="AM44" s="443">
        <f t="shared" si="10"/>
        <v>0</v>
      </c>
      <c r="AN44" s="444">
        <f t="shared" si="11"/>
        <v>0</v>
      </c>
      <c r="AO44" s="11"/>
    </row>
    <row r="45" spans="1:41" x14ac:dyDescent="0.35">
      <c r="A45" s="65" t="s">
        <v>47</v>
      </c>
      <c r="B45" s="66" t="str">
        <f>IF(_epmOfflineCondition_,"'Minor_Op'!$A$79:$B$100",_xll.EVRNG($A$79:$B$100))</f>
        <v>'Minor_Op'!$A$79:$B$100</v>
      </c>
      <c r="C45" s="11"/>
      <c r="D45" s="11"/>
      <c r="E45" s="11"/>
      <c r="F45" s="11"/>
      <c r="G45" s="11"/>
      <c r="H45" s="88" t="s">
        <v>479</v>
      </c>
      <c r="I45" s="122" t="str">
        <f>IF(_epmOfflineCondition_,"T5",_xll.EVPRO($B$1,$H45,"STYLE"))</f>
        <v>T5</v>
      </c>
      <c r="J45" s="122" t="str">
        <f>IF(_epmOfflineCondition_,"Y",_xll.EVPRO($B$1,$H45,"CALC"))</f>
        <v>Y</v>
      </c>
      <c r="K45" s="179" t="str">
        <f t="shared" si="0"/>
        <v>&gt;</v>
      </c>
      <c r="L45" s="90" t="str">
        <f>IF(_epmOfflineCondition_,"450395",_xll.EVPRO($B$1,H45,"JDEID"))</f>
        <v>450395</v>
      </c>
      <c r="M45" s="90" t="str">
        <f>IF(_epmOfflineCondition_,"",IF(AND(I45="N",J45="N"),_xll.EVPRO($B$1,H45,"PSFTID"),""))</f>
        <v/>
      </c>
      <c r="N45" s="90" t="str">
        <f>IF(_epmOfflineCondition_,"Occasional F&amp;B",IF(_xll.EVDES(H45,$B$1)="#NODATA","",_xll.EVDES(H45,$B$1)))</f>
        <v>Occasional F&amp;B</v>
      </c>
      <c r="O45" s="143"/>
      <c r="P45" s="143"/>
      <c r="Q45" s="143"/>
      <c r="R45" s="143"/>
      <c r="S45" s="143"/>
      <c r="T45" s="143"/>
      <c r="U45" s="143"/>
      <c r="V45" s="143"/>
      <c r="W45" s="143"/>
      <c r="X45" s="143"/>
      <c r="Y45" s="143"/>
      <c r="Z45" s="143"/>
      <c r="AA45" s="250">
        <f t="shared" si="1"/>
        <v>0</v>
      </c>
      <c r="AB45" s="144" t="str">
        <f t="shared" si="2"/>
        <v/>
      </c>
      <c r="AC45" s="140"/>
      <c r="AD45" s="143"/>
      <c r="AE45" s="144" t="str">
        <f t="shared" si="3"/>
        <v/>
      </c>
      <c r="AF45" s="145">
        <f t="shared" si="4"/>
        <v>0</v>
      </c>
      <c r="AG45" s="143"/>
      <c r="AH45" s="144" t="str">
        <f t="shared" si="5"/>
        <v/>
      </c>
      <c r="AI45" s="145">
        <f t="shared" si="6"/>
        <v>0</v>
      </c>
      <c r="AJ45" s="440">
        <f t="shared" si="7"/>
        <v>0</v>
      </c>
      <c r="AK45" s="441">
        <f t="shared" si="8"/>
        <v>0</v>
      </c>
      <c r="AL45" s="442">
        <f t="shared" si="9"/>
        <v>0</v>
      </c>
      <c r="AM45" s="443">
        <f t="shared" si="10"/>
        <v>0</v>
      </c>
      <c r="AN45" s="444">
        <f t="shared" si="11"/>
        <v>0</v>
      </c>
      <c r="AO45" s="11"/>
    </row>
    <row r="46" spans="1:41" x14ac:dyDescent="0.35">
      <c r="A46" s="65" t="s">
        <v>8</v>
      </c>
      <c r="B46" s="66"/>
      <c r="C46" s="11"/>
      <c r="D46" s="11"/>
      <c r="E46" s="11"/>
      <c r="F46" s="11"/>
      <c r="G46" s="11"/>
      <c r="H46" s="88" t="s">
        <v>431</v>
      </c>
      <c r="I46" s="122" t="str">
        <f>IF(_epmOfflineCondition_,"T5",_xll.EVPRO($B$1,$H46,"STYLE"))</f>
        <v>T5</v>
      </c>
      <c r="J46" s="122" t="str">
        <f>IF(_epmOfflineCondition_,"Y",_xll.EVPRO($B$1,$H46,"CALC"))</f>
        <v>Y</v>
      </c>
      <c r="K46" s="179" t="str">
        <f t="shared" si="0"/>
        <v>&gt;</v>
      </c>
      <c r="L46" s="90" t="str">
        <f>IF(_epmOfflineCondition_,"450400",_xll.EVPRO($B$1,H46,"JDEID"))</f>
        <v>450400</v>
      </c>
      <c r="M46" s="90" t="str">
        <f>IF(_epmOfflineCondition_,"",IF(AND(I46="N",J46="N"),_xll.EVPRO($B$1,H46,"PSFTID"),""))</f>
        <v/>
      </c>
      <c r="N46" s="90" t="str">
        <f>IF(_epmOfflineCondition_,"Other 1",IF(_xll.EVDES(H46,$B$1)="#NODATA","",_xll.EVDES(H46,$B$1)))</f>
        <v>Other 1</v>
      </c>
      <c r="O46" s="143"/>
      <c r="P46" s="143"/>
      <c r="Q46" s="143"/>
      <c r="R46" s="143"/>
      <c r="S46" s="143"/>
      <c r="T46" s="143"/>
      <c r="U46" s="143"/>
      <c r="V46" s="143"/>
      <c r="W46" s="143"/>
      <c r="X46" s="143"/>
      <c r="Y46" s="143"/>
      <c r="Z46" s="143">
        <v>95</v>
      </c>
      <c r="AA46" s="250">
        <f t="shared" si="1"/>
        <v>95</v>
      </c>
      <c r="AB46" s="144">
        <f t="shared" si="2"/>
        <v>4.8514312999027162E-3</v>
      </c>
      <c r="AC46" s="140"/>
      <c r="AD46" s="143"/>
      <c r="AE46" s="144" t="str">
        <f t="shared" si="3"/>
        <v/>
      </c>
      <c r="AF46" s="145">
        <f t="shared" si="4"/>
        <v>95</v>
      </c>
      <c r="AG46" s="143">
        <v>150</v>
      </c>
      <c r="AH46" s="144">
        <f t="shared" si="5"/>
        <v>2.0545665480953483E-2</v>
      </c>
      <c r="AI46" s="145">
        <f t="shared" si="6"/>
        <v>-55</v>
      </c>
      <c r="AJ46" s="440">
        <f t="shared" si="7"/>
        <v>2.3620676794549838E-3</v>
      </c>
      <c r="AK46" s="441">
        <f t="shared" si="8"/>
        <v>0</v>
      </c>
      <c r="AL46" s="442">
        <f t="shared" si="9"/>
        <v>7.481296758104738E-3</v>
      </c>
      <c r="AM46" s="443">
        <f t="shared" si="10"/>
        <v>0</v>
      </c>
      <c r="AN46" s="444" t="str">
        <f t="shared" si="11"/>
        <v>-1.57 pts.</v>
      </c>
      <c r="AO46" s="11"/>
    </row>
    <row r="47" spans="1:41" x14ac:dyDescent="0.35">
      <c r="A47" s="11"/>
      <c r="B47" s="11"/>
      <c r="C47" s="11"/>
      <c r="D47" s="11"/>
      <c r="E47" s="11"/>
      <c r="F47" s="11"/>
      <c r="G47" s="11"/>
      <c r="H47" s="88" t="s">
        <v>432</v>
      </c>
      <c r="I47" s="122" t="str">
        <f>IF(_epmOfflineCondition_,"T5",_xll.EVPRO($B$1,$H47,"STYLE"))</f>
        <v>T5</v>
      </c>
      <c r="J47" s="122" t="str">
        <f>IF(_epmOfflineCondition_,"Y",_xll.EVPRO($B$1,$H47,"CALC"))</f>
        <v>Y</v>
      </c>
      <c r="K47" s="179" t="str">
        <f t="shared" si="0"/>
        <v>&gt;</v>
      </c>
      <c r="L47" s="90" t="str">
        <f>IF(_epmOfflineCondition_,"450450",_xll.EVPRO($B$1,H47,"JDEID"))</f>
        <v>450450</v>
      </c>
      <c r="M47" s="90" t="str">
        <f>IF(_epmOfflineCondition_,"",IF(AND(I47="N",J47="N"),_xll.EVPRO($B$1,H47,"PSFTID"),""))</f>
        <v/>
      </c>
      <c r="N47" s="90" t="str">
        <f>IF(_epmOfflineCondition_,"Other 2",IF(_xll.EVDES(H47,$B$1)="#NODATA","",_xll.EVDES(H47,$B$1)))</f>
        <v>Other 2</v>
      </c>
      <c r="O47" s="143"/>
      <c r="P47" s="143"/>
      <c r="Q47" s="143"/>
      <c r="R47" s="143"/>
      <c r="S47" s="143"/>
      <c r="T47" s="143"/>
      <c r="U47" s="143"/>
      <c r="V47" s="143"/>
      <c r="W47" s="143"/>
      <c r="X47" s="143"/>
      <c r="Y47" s="143"/>
      <c r="Z47" s="143"/>
      <c r="AA47" s="250">
        <f t="shared" si="1"/>
        <v>0</v>
      </c>
      <c r="AB47" s="144" t="str">
        <f t="shared" si="2"/>
        <v/>
      </c>
      <c r="AC47" s="140"/>
      <c r="AD47" s="143"/>
      <c r="AE47" s="144" t="str">
        <f t="shared" si="3"/>
        <v/>
      </c>
      <c r="AF47" s="145">
        <f t="shared" si="4"/>
        <v>0</v>
      </c>
      <c r="AG47" s="143"/>
      <c r="AH47" s="144" t="str">
        <f t="shared" si="5"/>
        <v/>
      </c>
      <c r="AI47" s="145">
        <f t="shared" si="6"/>
        <v>0</v>
      </c>
      <c r="AJ47" s="440">
        <f t="shared" si="7"/>
        <v>0</v>
      </c>
      <c r="AK47" s="441">
        <f t="shared" si="8"/>
        <v>0</v>
      </c>
      <c r="AL47" s="442">
        <f t="shared" si="9"/>
        <v>0</v>
      </c>
      <c r="AM47" s="443">
        <f t="shared" si="10"/>
        <v>0</v>
      </c>
      <c r="AN47" s="444">
        <f t="shared" si="11"/>
        <v>0</v>
      </c>
      <c r="AO47" s="11"/>
    </row>
    <row r="48" spans="1:41" x14ac:dyDescent="0.35">
      <c r="A48" s="62" t="s">
        <v>9</v>
      </c>
      <c r="B48" s="63" t="s">
        <v>10</v>
      </c>
      <c r="C48" s="11"/>
      <c r="D48" s="11"/>
      <c r="E48" s="11"/>
      <c r="F48" s="11"/>
      <c r="G48" s="11"/>
      <c r="H48" s="88" t="s">
        <v>433</v>
      </c>
      <c r="I48" s="122" t="str">
        <f>IF(_epmOfflineCondition_,"T5",_xll.EVPRO($B$1,$H48,"STYLE"))</f>
        <v>T5</v>
      </c>
      <c r="J48" s="122" t="str">
        <f>IF(_epmOfflineCondition_,"Y",_xll.EVPRO($B$1,$H48,"CALC"))</f>
        <v>Y</v>
      </c>
      <c r="K48" s="179" t="str">
        <f t="shared" si="0"/>
        <v>&gt;</v>
      </c>
      <c r="L48" s="90" t="str">
        <f>IF(_epmOfflineCondition_,"450500",_xll.EVPRO($B$1,H48,"JDEID"))</f>
        <v>450500</v>
      </c>
      <c r="M48" s="90" t="str">
        <f>IF(_epmOfflineCondition_,"",IF(AND(I48="N",J48="N"),_xll.EVPRO($B$1,H48,"PSFTID"),""))</f>
        <v/>
      </c>
      <c r="N48" s="90" t="str">
        <f>IF(_epmOfflineCondition_,"Other 3",IF(_xll.EVDES(H48,$B$1)="#NODATA","",_xll.EVDES(H48,$B$1)))</f>
        <v>Other 3</v>
      </c>
      <c r="O48" s="143"/>
      <c r="P48" s="143"/>
      <c r="Q48" s="143"/>
      <c r="R48" s="143"/>
      <c r="S48" s="143"/>
      <c r="T48" s="143"/>
      <c r="U48" s="143"/>
      <c r="V48" s="143"/>
      <c r="W48" s="143"/>
      <c r="X48" s="143"/>
      <c r="Y48" s="143"/>
      <c r="Z48" s="143"/>
      <c r="AA48" s="250">
        <f t="shared" si="1"/>
        <v>0</v>
      </c>
      <c r="AB48" s="144" t="str">
        <f t="shared" si="2"/>
        <v/>
      </c>
      <c r="AC48" s="140"/>
      <c r="AD48" s="143"/>
      <c r="AE48" s="144" t="str">
        <f t="shared" si="3"/>
        <v/>
      </c>
      <c r="AF48" s="145">
        <f t="shared" si="4"/>
        <v>0</v>
      </c>
      <c r="AG48" s="143"/>
      <c r="AH48" s="144" t="str">
        <f t="shared" si="5"/>
        <v/>
      </c>
      <c r="AI48" s="145">
        <f t="shared" si="6"/>
        <v>0</v>
      </c>
      <c r="AJ48" s="440">
        <f t="shared" si="7"/>
        <v>0</v>
      </c>
      <c r="AK48" s="441">
        <f t="shared" si="8"/>
        <v>0</v>
      </c>
      <c r="AL48" s="442">
        <f t="shared" si="9"/>
        <v>0</v>
      </c>
      <c r="AM48" s="443">
        <f t="shared" si="10"/>
        <v>0</v>
      </c>
      <c r="AN48" s="444">
        <f t="shared" si="11"/>
        <v>0</v>
      </c>
      <c r="AO48" s="11"/>
    </row>
    <row r="49" spans="1:41" x14ac:dyDescent="0.35">
      <c r="A49" s="65" t="s">
        <v>11</v>
      </c>
      <c r="B49" s="66" t="s">
        <v>21</v>
      </c>
      <c r="C49" s="11"/>
      <c r="D49" s="11"/>
      <c r="E49" s="11"/>
      <c r="F49" s="11"/>
      <c r="G49" s="11"/>
      <c r="H49" s="88" t="s">
        <v>434</v>
      </c>
      <c r="I49" s="122" t="str">
        <f>IF(_epmOfflineCondition_,"T5",_xll.EVPRO($B$1,$H49,"STYLE"))</f>
        <v>T5</v>
      </c>
      <c r="J49" s="122" t="str">
        <f>IF(_epmOfflineCondition_,"Y",_xll.EVPRO($B$1,$H49,"CALC"))</f>
        <v>Y</v>
      </c>
      <c r="K49" s="179" t="str">
        <f t="shared" si="0"/>
        <v>&gt;</v>
      </c>
      <c r="L49" s="90" t="str">
        <f>IF(_epmOfflineCondition_,"450550",_xll.EVPRO($B$1,H49,"JDEID"))</f>
        <v>450550</v>
      </c>
      <c r="M49" s="90" t="str">
        <f>IF(_epmOfflineCondition_,"",IF(AND(I49="N",J49="N"),_xll.EVPRO($B$1,H49,"PSFTID"),""))</f>
        <v/>
      </c>
      <c r="N49" s="90" t="str">
        <f>IF(_epmOfflineCondition_,"Other 4",IF(_xll.EVDES(H49,$B$1)="#NODATA","",_xll.EVDES(H49,$B$1)))</f>
        <v>Other 4</v>
      </c>
      <c r="O49" s="143"/>
      <c r="P49" s="143"/>
      <c r="Q49" s="143"/>
      <c r="R49" s="143"/>
      <c r="S49" s="143"/>
      <c r="T49" s="143"/>
      <c r="U49" s="143"/>
      <c r="V49" s="143"/>
      <c r="W49" s="143"/>
      <c r="X49" s="143"/>
      <c r="Y49" s="143"/>
      <c r="Z49" s="143"/>
      <c r="AA49" s="250">
        <f t="shared" si="1"/>
        <v>0</v>
      </c>
      <c r="AB49" s="144" t="str">
        <f t="shared" si="2"/>
        <v/>
      </c>
      <c r="AC49" s="140"/>
      <c r="AD49" s="143"/>
      <c r="AE49" s="144" t="str">
        <f t="shared" si="3"/>
        <v/>
      </c>
      <c r="AF49" s="145">
        <f t="shared" si="4"/>
        <v>0</v>
      </c>
      <c r="AG49" s="143"/>
      <c r="AH49" s="144" t="str">
        <f t="shared" si="5"/>
        <v/>
      </c>
      <c r="AI49" s="145">
        <f t="shared" si="6"/>
        <v>0</v>
      </c>
      <c r="AJ49" s="440">
        <f t="shared" si="7"/>
        <v>0</v>
      </c>
      <c r="AK49" s="441">
        <f t="shared" si="8"/>
        <v>0</v>
      </c>
      <c r="AL49" s="442">
        <f t="shared" si="9"/>
        <v>0</v>
      </c>
      <c r="AM49" s="443">
        <f t="shared" si="10"/>
        <v>0</v>
      </c>
      <c r="AN49" s="444">
        <f t="shared" si="11"/>
        <v>0</v>
      </c>
      <c r="AO49" s="11"/>
    </row>
    <row r="50" spans="1:41" x14ac:dyDescent="0.35">
      <c r="A50" s="65" t="s">
        <v>12</v>
      </c>
      <c r="B50" s="66" t="s">
        <v>22</v>
      </c>
      <c r="C50" s="11"/>
      <c r="D50" s="11"/>
      <c r="E50" s="11"/>
      <c r="F50" s="11"/>
      <c r="G50" s="11"/>
      <c r="H50" s="88" t="s">
        <v>435</v>
      </c>
      <c r="I50" s="122" t="str">
        <f>IF(_epmOfflineCondition_,"T5",_xll.EVPRO($B$1,$H50,"STYLE"))</f>
        <v>T5</v>
      </c>
      <c r="J50" s="122" t="str">
        <f>IF(_epmOfflineCondition_,"Y",_xll.EVPRO($B$1,$H50,"CALC"))</f>
        <v>Y</v>
      </c>
      <c r="K50" s="179" t="str">
        <f t="shared" si="0"/>
        <v>&gt;</v>
      </c>
      <c r="L50" s="90" t="str">
        <f>IF(_epmOfflineCondition_,"450600",_xll.EVPRO($B$1,H50,"JDEID"))</f>
        <v>450600</v>
      </c>
      <c r="M50" s="90" t="str">
        <f>IF(_epmOfflineCondition_,"",IF(AND(I50="N",J50="N"),_xll.EVPRO($B$1,H50,"PSFTID"),""))</f>
        <v/>
      </c>
      <c r="N50" s="90" t="str">
        <f>IF(_epmOfflineCondition_,"Other 5",IF(_xll.EVDES(H50,$B$1)="#NODATA","",_xll.EVDES(H50,$B$1)))</f>
        <v>Other 5</v>
      </c>
      <c r="O50" s="143"/>
      <c r="P50" s="143"/>
      <c r="Q50" s="143"/>
      <c r="R50" s="143"/>
      <c r="S50" s="143"/>
      <c r="T50" s="143"/>
      <c r="U50" s="143"/>
      <c r="V50" s="143"/>
      <c r="W50" s="143"/>
      <c r="X50" s="143"/>
      <c r="Y50" s="143"/>
      <c r="Z50" s="143"/>
      <c r="AA50" s="250">
        <f t="shared" si="1"/>
        <v>0</v>
      </c>
      <c r="AB50" s="144" t="str">
        <f t="shared" si="2"/>
        <v/>
      </c>
      <c r="AC50" s="140"/>
      <c r="AD50" s="143"/>
      <c r="AE50" s="144" t="str">
        <f t="shared" si="3"/>
        <v/>
      </c>
      <c r="AF50" s="145">
        <f t="shared" si="4"/>
        <v>0</v>
      </c>
      <c r="AG50" s="143"/>
      <c r="AH50" s="144" t="str">
        <f t="shared" si="5"/>
        <v/>
      </c>
      <c r="AI50" s="145">
        <f t="shared" si="6"/>
        <v>0</v>
      </c>
      <c r="AJ50" s="440">
        <f t="shared" si="7"/>
        <v>0</v>
      </c>
      <c r="AK50" s="441">
        <f t="shared" si="8"/>
        <v>0</v>
      </c>
      <c r="AL50" s="442">
        <f t="shared" si="9"/>
        <v>0</v>
      </c>
      <c r="AM50" s="443">
        <f t="shared" si="10"/>
        <v>0</v>
      </c>
      <c r="AN50" s="444">
        <f t="shared" si="11"/>
        <v>0</v>
      </c>
      <c r="AO50" s="11"/>
    </row>
    <row r="51" spans="1:41" x14ac:dyDescent="0.35">
      <c r="A51" s="65" t="s">
        <v>13</v>
      </c>
      <c r="B51" s="66" t="str">
        <f>"DEP(450000) AND "&amp;$E$6&amp;"=Y AND ID&lt;&gt;ALLOW_MOP"</f>
        <v>DEP(450000) AND D1138=Y AND ID&lt;&gt;ALLOW_MOP</v>
      </c>
      <c r="C51" s="11"/>
      <c r="D51" s="11"/>
      <c r="E51" s="11"/>
      <c r="F51" s="11"/>
      <c r="G51" s="11"/>
      <c r="H51" s="88" t="s">
        <v>436</v>
      </c>
      <c r="I51" s="122" t="str">
        <f>IF(_epmOfflineCondition_,"T5",_xll.EVPRO($B$1,$H51,"STYLE"))</f>
        <v>T5</v>
      </c>
      <c r="J51" s="122" t="str">
        <f>IF(_epmOfflineCondition_,"Y",_xll.EVPRO($B$1,$H51,"CALC"))</f>
        <v>Y</v>
      </c>
      <c r="K51" s="179" t="str">
        <f t="shared" si="0"/>
        <v>&gt;</v>
      </c>
      <c r="L51" s="90" t="str">
        <f>IF(_epmOfflineCondition_,"450650",_xll.EVPRO($B$1,H51,"JDEID"))</f>
        <v>450650</v>
      </c>
      <c r="M51" s="90" t="str">
        <f>IF(_epmOfflineCondition_,"",IF(AND(I51="N",J51="N"),_xll.EVPRO($B$1,H51,"PSFTID"),""))</f>
        <v/>
      </c>
      <c r="N51" s="90" t="str">
        <f>IF(_epmOfflineCondition_,"Other 6",IF(_xll.EVDES(H51,$B$1)="#NODATA","",_xll.EVDES(H51,$B$1)))</f>
        <v>Other 6</v>
      </c>
      <c r="O51" s="143"/>
      <c r="P51" s="143"/>
      <c r="Q51" s="143"/>
      <c r="R51" s="143"/>
      <c r="S51" s="143"/>
      <c r="T51" s="143"/>
      <c r="U51" s="143"/>
      <c r="V51" s="143"/>
      <c r="W51" s="143"/>
      <c r="X51" s="143"/>
      <c r="Y51" s="143"/>
      <c r="Z51" s="143"/>
      <c r="AA51" s="250">
        <f t="shared" si="1"/>
        <v>0</v>
      </c>
      <c r="AB51" s="144" t="str">
        <f t="shared" si="2"/>
        <v/>
      </c>
      <c r="AC51" s="140"/>
      <c r="AD51" s="143"/>
      <c r="AE51" s="144" t="str">
        <f t="shared" si="3"/>
        <v/>
      </c>
      <c r="AF51" s="145">
        <f t="shared" si="4"/>
        <v>0</v>
      </c>
      <c r="AG51" s="143"/>
      <c r="AH51" s="144" t="str">
        <f t="shared" si="5"/>
        <v/>
      </c>
      <c r="AI51" s="145">
        <f t="shared" si="6"/>
        <v>0</v>
      </c>
      <c r="AJ51" s="440">
        <f t="shared" si="7"/>
        <v>0</v>
      </c>
      <c r="AK51" s="441">
        <f t="shared" si="8"/>
        <v>0</v>
      </c>
      <c r="AL51" s="442">
        <f t="shared" si="9"/>
        <v>0</v>
      </c>
      <c r="AM51" s="443">
        <f t="shared" si="10"/>
        <v>0</v>
      </c>
      <c r="AN51" s="444">
        <f t="shared" si="11"/>
        <v>0</v>
      </c>
      <c r="AO51" s="11"/>
    </row>
    <row r="52" spans="1:41" x14ac:dyDescent="0.35">
      <c r="A52" s="65" t="s">
        <v>14</v>
      </c>
      <c r="B52" s="66"/>
      <c r="C52" s="11"/>
      <c r="D52" s="11"/>
      <c r="E52" s="11"/>
      <c r="F52" s="11"/>
      <c r="G52" s="11"/>
      <c r="H52" s="88" t="s">
        <v>480</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IF(_epmOfflineCondition_,"Minor Operated: Allowances",IF(_xll.EVDES(H52,$B$1)="#NODATA","",_xll.EVDES(H52,$B$1)))</f>
        <v>Minor Operated: Allowances</v>
      </c>
      <c r="O52" s="217"/>
      <c r="P52" s="217"/>
      <c r="Q52" s="217"/>
      <c r="R52" s="217"/>
      <c r="S52" s="217"/>
      <c r="T52" s="217"/>
      <c r="U52" s="217"/>
      <c r="V52" s="217"/>
      <c r="W52" s="217"/>
      <c r="X52" s="217"/>
      <c r="Y52" s="217"/>
      <c r="Z52" s="217"/>
      <c r="AA52" s="251">
        <f t="shared" si="1"/>
        <v>0</v>
      </c>
      <c r="AB52" s="219" t="str">
        <f t="shared" si="2"/>
        <v/>
      </c>
      <c r="AC52" s="140"/>
      <c r="AD52" s="217"/>
      <c r="AE52" s="219" t="str">
        <f t="shared" si="3"/>
        <v/>
      </c>
      <c r="AF52" s="220">
        <f t="shared" si="4"/>
        <v>0</v>
      </c>
      <c r="AG52" s="217"/>
      <c r="AH52" s="219" t="str">
        <f t="shared" si="5"/>
        <v/>
      </c>
      <c r="AI52" s="220">
        <f t="shared" si="6"/>
        <v>0</v>
      </c>
      <c r="AJ52" s="449">
        <f t="shared" si="7"/>
        <v>0</v>
      </c>
      <c r="AK52" s="450">
        <f t="shared" si="8"/>
        <v>0</v>
      </c>
      <c r="AL52" s="451">
        <f t="shared" si="9"/>
        <v>0</v>
      </c>
      <c r="AM52" s="452">
        <f t="shared" si="10"/>
        <v>0</v>
      </c>
      <c r="AN52" s="453">
        <f t="shared" si="11"/>
        <v>0</v>
      </c>
      <c r="AO52" s="11"/>
    </row>
    <row r="53" spans="1:41" x14ac:dyDescent="0.35">
      <c r="A53" s="65" t="s">
        <v>15</v>
      </c>
      <c r="B53" s="66"/>
      <c r="C53" s="11"/>
      <c r="D53" s="11"/>
      <c r="E53" s="11"/>
      <c r="F53" s="11"/>
      <c r="G53" s="11"/>
      <c r="H53" s="88" t="s">
        <v>280</v>
      </c>
      <c r="I53" s="188" t="str">
        <f>IF(_epmOfflineCondition_,"T3",_xll.EVPRO($B$1,$H53,"STYLE"))</f>
        <v>T3</v>
      </c>
      <c r="J53" s="188" t="str">
        <f>IF(_epmOfflineCondition_,"Y",_xll.EVPRO($B$1,$H53,"CALC"))</f>
        <v>Y</v>
      </c>
      <c r="K53" s="189" t="str">
        <f t="shared" si="0"/>
        <v/>
      </c>
      <c r="L53" s="190" t="str">
        <f>IF(_epmOfflineCondition_,"400000",_xll.EVPRO($B$1,H53,"JDEID"))</f>
        <v>400000</v>
      </c>
      <c r="M53" s="190" t="str">
        <f>IF(_epmOfflineCondition_,"",IF(AND(I53="N",J53="N"),_xll.EVPRO($B$1,H53,"PSFTID"),""))</f>
        <v/>
      </c>
      <c r="N53" s="190" t="str">
        <f>IF(_epmOfflineCondition_,"Total Revenue",IF(_xll.EVDES(H53,$B$1)="#NODATA","",_xll.EVDES(H53,$B$1)))</f>
        <v>Total Revenue</v>
      </c>
      <c r="O53" s="225">
        <v>824.59</v>
      </c>
      <c r="P53" s="225">
        <v>828.99</v>
      </c>
      <c r="Q53" s="225">
        <v>672.8</v>
      </c>
      <c r="R53" s="225">
        <v>2811.43</v>
      </c>
      <c r="S53" s="225">
        <v>3214.58</v>
      </c>
      <c r="T53" s="225">
        <v>1023.07</v>
      </c>
      <c r="U53" s="225">
        <v>1081.2</v>
      </c>
      <c r="V53" s="225">
        <v>62.99</v>
      </c>
      <c r="W53" s="225">
        <v>2723.58</v>
      </c>
      <c r="X53" s="225">
        <v>1445.04</v>
      </c>
      <c r="Y53" s="225">
        <v>1543.33</v>
      </c>
      <c r="Z53" s="225">
        <v>3350.25</v>
      </c>
      <c r="AA53" s="225">
        <f t="shared" si="1"/>
        <v>19581.849999999999</v>
      </c>
      <c r="AB53" s="226">
        <f t="shared" si="2"/>
        <v>1</v>
      </c>
      <c r="AC53" s="227"/>
      <c r="AD53" s="225">
        <v>15760.5</v>
      </c>
      <c r="AE53" s="226">
        <f t="shared" si="3"/>
        <v>1</v>
      </c>
      <c r="AF53" s="228">
        <f t="shared" si="4"/>
        <v>3821.3499999999985</v>
      </c>
      <c r="AG53" s="225">
        <v>7300.81</v>
      </c>
      <c r="AH53" s="226">
        <f t="shared" si="5"/>
        <v>1</v>
      </c>
      <c r="AI53" s="228">
        <f t="shared" si="6"/>
        <v>12281.039999999997</v>
      </c>
      <c r="AJ53" s="229">
        <f t="shared" si="7"/>
        <v>0.4868805788309008</v>
      </c>
      <c r="AK53" s="230">
        <f t="shared" si="8"/>
        <v>0.42</v>
      </c>
      <c r="AL53" s="232">
        <f t="shared" si="9"/>
        <v>0.36413017456359104</v>
      </c>
      <c r="AM53" s="427" t="str">
        <f t="shared" si="10"/>
        <v>0 pts.</v>
      </c>
      <c r="AN53" s="456" t="str">
        <f t="shared" si="11"/>
        <v>0 pts.</v>
      </c>
      <c r="AO53" s="11"/>
    </row>
    <row r="54" spans="1:41" x14ac:dyDescent="0.35">
      <c r="A54" s="65" t="s">
        <v>16</v>
      </c>
      <c r="B54" s="66"/>
      <c r="C54" s="11"/>
      <c r="D54" s="11"/>
      <c r="E54" s="11"/>
      <c r="F54" s="11"/>
      <c r="G54" s="11"/>
      <c r="H54" s="11"/>
      <c r="I54" s="59"/>
      <c r="J54" s="59"/>
      <c r="K54" s="11"/>
      <c r="L54" s="11"/>
      <c r="M54" s="11"/>
      <c r="N54" s="11"/>
      <c r="O54" s="203"/>
      <c r="P54" s="204"/>
      <c r="Q54" s="204"/>
      <c r="R54" s="204"/>
      <c r="S54" s="204"/>
      <c r="T54" s="204"/>
      <c r="U54" s="204"/>
      <c r="V54" s="204"/>
      <c r="W54" s="204"/>
      <c r="X54" s="204"/>
      <c r="Y54" s="204"/>
      <c r="Z54" s="204"/>
      <c r="AA54" s="204"/>
      <c r="AB54" s="118"/>
      <c r="AC54" s="11"/>
      <c r="AD54" s="203"/>
      <c r="AE54" s="204"/>
      <c r="AF54" s="118"/>
      <c r="AG54" s="203"/>
      <c r="AH54" s="204"/>
      <c r="AI54" s="118"/>
      <c r="AJ54" s="11"/>
      <c r="AK54" s="11"/>
      <c r="AL54" s="11"/>
      <c r="AM54" s="11"/>
      <c r="AN54" s="11"/>
      <c r="AO54" s="11"/>
    </row>
    <row r="55" spans="1:41" x14ac:dyDescent="0.35">
      <c r="A55" s="65" t="s">
        <v>17</v>
      </c>
      <c r="B55" s="66"/>
      <c r="C55" s="11"/>
      <c r="D55" s="11"/>
      <c r="E55" s="11"/>
      <c r="F55" s="11"/>
      <c r="G55" s="11"/>
      <c r="H55" s="11" t="s">
        <v>281</v>
      </c>
      <c r="I55" s="59" t="str">
        <f>IF(_epmOfflineCondition_,"B1",_xll.EVPRO($B$1,$H55,"STYLE"))</f>
        <v>B1</v>
      </c>
      <c r="J55" s="59" t="str">
        <f>IF(_epmOfflineCondition_,"Y",_xll.EVPRO($B$1,$H55,"CALC"))</f>
        <v>Y</v>
      </c>
      <c r="K55" s="11"/>
      <c r="L55" s="11"/>
      <c r="M55" s="11"/>
      <c r="N55" s="105" t="str">
        <f>IF(_epmOfflineCondition_,"Cost of Sales",IF(_xll.EVDES(H55,$B$1)="#NODATA","",_xll.EVDES(H55,$B$1)))</f>
        <v>Cost of Sales</v>
      </c>
      <c r="O55" s="203"/>
      <c r="P55" s="204"/>
      <c r="Q55" s="204"/>
      <c r="R55" s="204"/>
      <c r="S55" s="204"/>
      <c r="T55" s="204"/>
      <c r="U55" s="204"/>
      <c r="V55" s="204"/>
      <c r="W55" s="204"/>
      <c r="X55" s="204"/>
      <c r="Y55" s="204"/>
      <c r="Z55" s="204"/>
      <c r="AA55" s="204"/>
      <c r="AB55" s="118"/>
      <c r="AC55" s="11"/>
      <c r="AD55" s="203"/>
      <c r="AE55" s="204"/>
      <c r="AF55" s="118"/>
      <c r="AG55" s="203"/>
      <c r="AH55" s="204"/>
      <c r="AI55" s="118"/>
      <c r="AJ55" s="11"/>
      <c r="AK55" s="11"/>
      <c r="AL55" s="11"/>
      <c r="AM55" s="11"/>
      <c r="AN55" s="11"/>
      <c r="AO55" s="11"/>
    </row>
    <row r="56" spans="1:41" x14ac:dyDescent="0.35">
      <c r="A56" s="11"/>
      <c r="B56" s="11"/>
      <c r="C56" s="11"/>
      <c r="D56" s="11"/>
      <c r="E56" s="11"/>
      <c r="F56" s="11"/>
      <c r="G56" s="76"/>
      <c r="H56" s="88" t="s">
        <v>437</v>
      </c>
      <c r="I56" s="122" t="str">
        <f>IF(_epmOfflineCondition_,"T5",_xll.EVPRO($B$1,$H56,"STYLE"))</f>
        <v>T5</v>
      </c>
      <c r="J56" s="122" t="str">
        <f>IF(_epmOfflineCondition_,"Y",_xll.EVPRO($B$1,$H56,"CALC"))</f>
        <v>Y</v>
      </c>
      <c r="K56" s="179" t="str">
        <f t="shared" ref="K56:K74" si="12">IF(AND(I56&gt;="T5"),"&gt;","")</f>
        <v>&gt;</v>
      </c>
      <c r="L56" s="90" t="str">
        <f>IF(_epmOfflineCondition_,"510000",_xll.EVPRO($B$1,H56,"JDEID"))</f>
        <v>510000</v>
      </c>
      <c r="M56" s="90" t="str">
        <f>IF(_epmOfflineCondition_,"",IF(AND(I56="N",J56="N"),_xll.EVPRO($B$1,H56,"PSFTID"),""))</f>
        <v/>
      </c>
      <c r="N56" s="90" t="str">
        <f>IF(_epmOfflineCondition_,"Total Guest Communication COS",IF(_xll.EVDES(H56,$B$1)="#NODATA","",_xll.EVDES(H56,$B$1)))</f>
        <v>Total Guest Communication COS</v>
      </c>
      <c r="O56" s="143">
        <v>112</v>
      </c>
      <c r="P56" s="143">
        <v>95</v>
      </c>
      <c r="Q56" s="143"/>
      <c r="R56" s="143">
        <v>187.7</v>
      </c>
      <c r="S56" s="143">
        <v>338</v>
      </c>
      <c r="T56" s="143">
        <v>186</v>
      </c>
      <c r="U56" s="143"/>
      <c r="V56" s="143">
        <v>110</v>
      </c>
      <c r="W56" s="143">
        <v>817</v>
      </c>
      <c r="X56" s="143"/>
      <c r="Y56" s="143">
        <v>181</v>
      </c>
      <c r="Z56" s="143">
        <v>279</v>
      </c>
      <c r="AA56" s="250">
        <f t="shared" ref="AA56:AA74" si="13">IF($I56="B1","",SUM(O56:Z56))</f>
        <v>2305.6999999999998</v>
      </c>
      <c r="AB56" s="144">
        <f>IF(_epmOfflineCondition_,0.342862666081771,IF(AA56=0,"",IFERROR(AA56/_xll.EVGTS($B$1,1,_xll.EVPRO($B$1,$H56,"COSBASIS"),$B$3,$B$5,$B$6,$B$7,$B$9,AA$16,Z$17,AA$18),"")))</f>
        <v>0.34286266608177102</v>
      </c>
      <c r="AC56" s="140"/>
      <c r="AD56" s="143">
        <v>1205.6782499999999</v>
      </c>
      <c r="AE56" s="144">
        <f>IF(_epmOfflineCondition_,0.459,IF(AD56=0,"",IFERROR(AD56/_xll.EVGTS($B$1,1,_xll.EVPRO($B$1,$H56,"COSBASIS"),$B$3,$B$5,$B$6,$B$7,$B$9,AD$16,AD$17,AD$18),"")))</f>
        <v>0.45900000000000002</v>
      </c>
      <c r="AF56" s="145">
        <f t="shared" ref="AF56:AF74" si="14">IF(AND($AA56="",AD56=""),"",$AA56-AD56)</f>
        <v>1100.0217499999999</v>
      </c>
      <c r="AG56" s="143">
        <v>427.04</v>
      </c>
      <c r="AH56" s="144">
        <f>IF(_epmOfflineCondition_,0.25607598807889,IF(AG56=0,"",IFERROR(AG56/_xll.EVGTS($B$1,1,_xll.EVPRO($B$1,$H56,"COSBASIS"),$B$3,$B$5,$B$6,$B$7,$B$9,AG$16,AG$17,AG$18),"")))</f>
        <v>0.25607598807888998</v>
      </c>
      <c r="AI56" s="145">
        <f t="shared" ref="AI56:AI74" si="15">IF(AND($AA56="",AG56=""),"",$AA56-AG56)</f>
        <v>1878.6599999999999</v>
      </c>
      <c r="AJ56" s="440">
        <f t="shared" ref="AJ56:AJ74" si="16">IFERROR(AA56/AA$20,0)</f>
        <v>5.7328625773887962E-2</v>
      </c>
      <c r="AK56" s="441">
        <f t="shared" ref="AK56:AK74" si="17">IFERROR(AD56/AD$20,0)</f>
        <v>3.2129999999999999E-2</v>
      </c>
      <c r="AL56" s="442">
        <f t="shared" ref="AL56:AL74" si="18">IFERROR(AG56/AG$20,0)</f>
        <v>2.1298753117206984E-2</v>
      </c>
      <c r="AM56" s="443" t="str">
        <f t="shared" ref="AM56:AM74" si="19">+IFERROR(ROUND(($AB56-AE56)*100,2)&amp;" pts.",0)</f>
        <v>-11.61 pts.</v>
      </c>
      <c r="AN56" s="444" t="str">
        <f t="shared" ref="AN56:AN74" si="20">+IFERROR(ROUND(($AB56-AH56)*100,2)&amp;" pts.",0)</f>
        <v>8.68 pts.</v>
      </c>
      <c r="AO56" s="11"/>
    </row>
    <row r="57" spans="1:41" x14ac:dyDescent="0.35">
      <c r="A57" s="97" t="s">
        <v>92</v>
      </c>
      <c r="B57" s="98" t="s">
        <v>93</v>
      </c>
      <c r="C57" s="98" t="s">
        <v>94</v>
      </c>
      <c r="D57" s="98" t="s">
        <v>95</v>
      </c>
      <c r="E57" s="98" t="s">
        <v>96</v>
      </c>
      <c r="F57" s="99" t="s">
        <v>97</v>
      </c>
      <c r="G57" s="11"/>
      <c r="H57" s="88" t="s">
        <v>438</v>
      </c>
      <c r="I57" s="122" t="str">
        <f>IF(_epmOfflineCondition_,"N",_xll.EVPRO($B$1,$H57,"STYLE"))</f>
        <v>N</v>
      </c>
      <c r="J57" s="122" t="str">
        <f>IF(_epmOfflineCondition_,"N",_xll.EVPRO($B$1,$H57,"CALC"))</f>
        <v>N</v>
      </c>
      <c r="K57" s="179" t="str">
        <f t="shared" si="12"/>
        <v/>
      </c>
      <c r="L57" s="90" t="str">
        <f>IF(_epmOfflineCondition_,"550100",_xll.EVPRO($B$1,H57,"JDEID"))</f>
        <v>550100</v>
      </c>
      <c r="M57" s="90" t="str">
        <f>IF(_epmOfflineCondition_,"306025",IF(AND(I57="N",J57="N"),_xll.EVPRO($B$1,H57,"PSFTID"),""))</f>
        <v>306025</v>
      </c>
      <c r="N57" s="90" t="str">
        <f>IF(_epmOfflineCondition_,"In Room Movie Cost of Sales",IF(_xll.EVDES(H57,$B$1)="#NODATA","",_xll.EVDES(H57,$B$1)))</f>
        <v>In Room Movie Cost of Sales</v>
      </c>
      <c r="O57" s="143"/>
      <c r="P57" s="143"/>
      <c r="Q57" s="143"/>
      <c r="R57" s="143"/>
      <c r="S57" s="143"/>
      <c r="T57" s="143"/>
      <c r="U57" s="143"/>
      <c r="V57" s="143"/>
      <c r="W57" s="143"/>
      <c r="X57" s="143"/>
      <c r="Y57" s="143"/>
      <c r="Z57" s="143"/>
      <c r="AA57" s="250">
        <f t="shared" si="13"/>
        <v>0</v>
      </c>
      <c r="AB57" s="144" t="str">
        <f>IF(_epmOfflineCondition_,"",IF(AA57=0,"",IFERROR(AA57/_xll.EVGTS($B$1,1,_xll.EVPRO($B$1,$H57,"COSBASIS"),$B$3,$B$5,$B$6,$B$7,$B$9,AA$16,Z$17,AA$18),"")))</f>
        <v/>
      </c>
      <c r="AC57" s="140"/>
      <c r="AD57" s="143"/>
      <c r="AE57" s="144" t="str">
        <f>IF(_epmOfflineCondition_,"",IF(AD57=0,"",IFERROR(AD57/_xll.EVGTS($B$1,1,_xll.EVPRO($B$1,$H57,"COSBASIS"),$B$3,$B$5,$B$6,$B$7,$B$9,AD$16,AD$17,AD$18),"")))</f>
        <v/>
      </c>
      <c r="AF57" s="145">
        <f t="shared" si="14"/>
        <v>0</v>
      </c>
      <c r="AG57" s="143"/>
      <c r="AH57" s="144" t="str">
        <f>IF(_epmOfflineCondition_,"",IF(AG57=0,"",IFERROR(AG57/_xll.EVGTS($B$1,1,_xll.EVPRO($B$1,$H57,"COSBASIS"),$B$3,$B$5,$B$6,$B$7,$B$9,AG$16,AG$17,AG$18),"")))</f>
        <v/>
      </c>
      <c r="AI57" s="145">
        <f t="shared" si="15"/>
        <v>0</v>
      </c>
      <c r="AJ57" s="440">
        <f t="shared" si="16"/>
        <v>0</v>
      </c>
      <c r="AK57" s="441">
        <f t="shared" si="17"/>
        <v>0</v>
      </c>
      <c r="AL57" s="442">
        <f t="shared" si="18"/>
        <v>0</v>
      </c>
      <c r="AM57" s="443">
        <f t="shared" si="19"/>
        <v>0</v>
      </c>
      <c r="AN57" s="444">
        <f t="shared" si="20"/>
        <v>0</v>
      </c>
      <c r="AO57" s="11"/>
    </row>
    <row r="58" spans="1:41" x14ac:dyDescent="0.35">
      <c r="A58" s="11"/>
      <c r="B58" s="11"/>
      <c r="C58" s="11"/>
      <c r="D58" s="11"/>
      <c r="E58" s="11"/>
      <c r="F58" s="11"/>
      <c r="G58" s="11"/>
      <c r="H58" s="88" t="s">
        <v>439</v>
      </c>
      <c r="I58" s="122" t="str">
        <f>IF(_epmOfflineCondition_,"N",_xll.EVPRO($B$1,$H58,"STYLE"))</f>
        <v>N</v>
      </c>
      <c r="J58" s="122" t="str">
        <f>IF(_epmOfflineCondition_,"N",_xll.EVPRO($B$1,$H58,"CALC"))</f>
        <v>N</v>
      </c>
      <c r="K58" s="179" t="str">
        <f t="shared" si="12"/>
        <v/>
      </c>
      <c r="L58" s="90" t="str">
        <f>IF(_epmOfflineCondition_,"550150",_xll.EVPRO($B$1,H58,"JDEID"))</f>
        <v>550150</v>
      </c>
      <c r="M58" s="90" t="str">
        <f>IF(_epmOfflineCondition_,"307065",IF(AND(I58="N",J58="N"),_xll.EVPRO($B$1,H58,"PSFTID"),""))</f>
        <v>307065</v>
      </c>
      <c r="N58" s="90" t="str">
        <f>IF(_epmOfflineCondition_,"Guest Laundry Cost of Sales",IF(_xll.EVDES(H58,$B$1)="#NODATA","",_xll.EVDES(H58,$B$1)))</f>
        <v>Guest Laundry Cost of Sales</v>
      </c>
      <c r="O58" s="143">
        <v>339.57</v>
      </c>
      <c r="P58" s="143">
        <v>379.45</v>
      </c>
      <c r="Q58" s="143">
        <v>173.26</v>
      </c>
      <c r="R58" s="143">
        <v>1077.1300000000001</v>
      </c>
      <c r="S58" s="143">
        <v>1361.08</v>
      </c>
      <c r="T58" s="143">
        <v>253.54</v>
      </c>
      <c r="U58" s="143">
        <v>634.97</v>
      </c>
      <c r="V58" s="143">
        <v>24.89</v>
      </c>
      <c r="W58" s="143">
        <v>204.36</v>
      </c>
      <c r="X58" s="143">
        <v>200.75</v>
      </c>
      <c r="Y58" s="143">
        <v>361.35</v>
      </c>
      <c r="Z58" s="143">
        <v>1769</v>
      </c>
      <c r="AA58" s="250">
        <f t="shared" si="13"/>
        <v>6779.35</v>
      </c>
      <c r="AB58" s="144">
        <f>IF(_epmOfflineCondition_,1.01685165741713,IF(AA58=0,"",IFERROR(AA58/_xll.EVGTS($B$1,1,_xll.EVPRO($B$1,$H58,"COSBASIS"),$B$3,$B$5,$B$6,$B$7,$B$9,AA$16,Z$17,AA$18),"")))</f>
        <v>1.01685165741713</v>
      </c>
      <c r="AC58" s="140"/>
      <c r="AD58" s="143">
        <v>4559.2875000000004</v>
      </c>
      <c r="AE58" s="144">
        <f>IF(_epmOfflineCondition_,0.81,IF(AD58=0,"",IFERROR(AD58/_xll.EVGTS($B$1,1,_xll.EVPRO($B$1,$H58,"COSBASIS"),$B$3,$B$5,$B$6,$B$7,$B$9,AD$16,AD$17,AD$18),"")))</f>
        <v>0.81</v>
      </c>
      <c r="AF58" s="145">
        <f t="shared" si="14"/>
        <v>2220.0625</v>
      </c>
      <c r="AG58" s="143">
        <v>2318.86</v>
      </c>
      <c r="AH58" s="144">
        <f>IF(_epmOfflineCondition_,0.801214851875143,IF(AG58=0,"",IFERROR(AG58/_xll.EVGTS($B$1,1,_xll.EVPRO($B$1,$H58,"COSBASIS"),$B$3,$B$5,$B$6,$B$7,$B$9,AG$16,AG$17,AG$18),"")))</f>
        <v>0.80121485187514296</v>
      </c>
      <c r="AI58" s="145">
        <f t="shared" si="15"/>
        <v>4460.49</v>
      </c>
      <c r="AJ58" s="440">
        <f t="shared" si="16"/>
        <v>0.16856087918645418</v>
      </c>
      <c r="AK58" s="441">
        <f t="shared" si="17"/>
        <v>0.12150000000000001</v>
      </c>
      <c r="AL58" s="442">
        <f t="shared" si="18"/>
        <v>0.11565386533665836</v>
      </c>
      <c r="AM58" s="443" t="str">
        <f t="shared" si="19"/>
        <v>20.69 pts.</v>
      </c>
      <c r="AN58" s="444" t="str">
        <f t="shared" si="20"/>
        <v>21.56 pts.</v>
      </c>
      <c r="AO58" s="11"/>
    </row>
    <row r="59" spans="1:41" x14ac:dyDescent="0.35">
      <c r="A59" s="11" t="s">
        <v>105</v>
      </c>
      <c r="B59" s="11"/>
      <c r="C59" s="104" t="s">
        <v>101</v>
      </c>
      <c r="D59" s="11" t="s">
        <v>106</v>
      </c>
      <c r="E59" s="11"/>
      <c r="F59" s="11" t="s">
        <v>98</v>
      </c>
      <c r="G59" s="11"/>
      <c r="H59" s="88" t="s">
        <v>440</v>
      </c>
      <c r="I59" s="122" t="str">
        <f>IF(_epmOfflineCondition_,"N",_xll.EVPRO($B$1,$H59,"STYLE"))</f>
        <v>N</v>
      </c>
      <c r="J59" s="122" t="str">
        <f>IF(_epmOfflineCondition_,"N",_xll.EVPRO($B$1,$H59,"CALC"))</f>
        <v>N</v>
      </c>
      <c r="K59" s="179" t="str">
        <f t="shared" si="12"/>
        <v/>
      </c>
      <c r="L59" s="90" t="str">
        <f>IF(_epmOfflineCondition_,"550200",_xll.EVPRO($B$1,H59,"JDEID"))</f>
        <v>550200</v>
      </c>
      <c r="M59" s="90" t="str">
        <f>IF(_epmOfflineCondition_,"306099",IF(AND(I59="N",J59="N"),_xll.EVPRO($B$1,H59,"PSFTID"),""))</f>
        <v>306099</v>
      </c>
      <c r="N59" s="90" t="str">
        <f>IF(_epmOfflineCondition_,"In Room Fax Cost of Sales",IF(_xll.EVDES(H59,$B$1)="#NODATA","",_xll.EVDES(H59,$B$1)))</f>
        <v>In Room Fax Cost of Sales</v>
      </c>
      <c r="O59" s="143"/>
      <c r="P59" s="143"/>
      <c r="Q59" s="143"/>
      <c r="R59" s="143"/>
      <c r="S59" s="143"/>
      <c r="T59" s="143"/>
      <c r="U59" s="143"/>
      <c r="V59" s="143"/>
      <c r="W59" s="143"/>
      <c r="X59" s="143"/>
      <c r="Y59" s="143"/>
      <c r="Z59" s="143"/>
      <c r="AA59" s="250">
        <f t="shared" si="13"/>
        <v>0</v>
      </c>
      <c r="AB59" s="144" t="str">
        <f>IF(_epmOfflineCondition_,"",IF(AA59=0,"",IFERROR(AA59/_xll.EVGTS($B$1,1,_xll.EVPRO($B$1,$H59,"COSBASIS"),$B$3,$B$5,$B$6,$B$7,$B$9,AA$16,Z$17,AA$18),"")))</f>
        <v/>
      </c>
      <c r="AC59" s="140"/>
      <c r="AD59" s="143"/>
      <c r="AE59" s="144" t="str">
        <f>IF(_epmOfflineCondition_,"",IF(AD59=0,"",IFERROR(AD59/_xll.EVGTS($B$1,1,_xll.EVPRO($B$1,$H59,"COSBASIS"),$B$3,$B$5,$B$6,$B$7,$B$9,AD$16,AD$17,AD$18),"")))</f>
        <v/>
      </c>
      <c r="AF59" s="145">
        <f t="shared" si="14"/>
        <v>0</v>
      </c>
      <c r="AG59" s="143"/>
      <c r="AH59" s="144" t="str">
        <f>IF(_epmOfflineCondition_,"",IF(AG59=0,"",IFERROR(AG59/_xll.EVGTS($B$1,1,_xll.EVPRO($B$1,$H59,"COSBASIS"),$B$3,$B$5,$B$6,$B$7,$B$9,AG$16,AG$17,AG$18),"")))</f>
        <v/>
      </c>
      <c r="AI59" s="145">
        <f t="shared" si="15"/>
        <v>0</v>
      </c>
      <c r="AJ59" s="440">
        <f t="shared" si="16"/>
        <v>0</v>
      </c>
      <c r="AK59" s="441">
        <f t="shared" si="17"/>
        <v>0</v>
      </c>
      <c r="AL59" s="442">
        <f t="shared" si="18"/>
        <v>0</v>
      </c>
      <c r="AM59" s="443">
        <f t="shared" si="19"/>
        <v>0</v>
      </c>
      <c r="AN59" s="444">
        <f t="shared" si="20"/>
        <v>0</v>
      </c>
      <c r="AO59" s="11"/>
    </row>
    <row r="60" spans="1:41" x14ac:dyDescent="0.35">
      <c r="A60" s="11" t="s">
        <v>104</v>
      </c>
      <c r="B60" s="11"/>
      <c r="C60" s="104" t="s">
        <v>101</v>
      </c>
      <c r="D60" s="11" t="s">
        <v>106</v>
      </c>
      <c r="E60" s="11"/>
      <c r="F60" s="11" t="s">
        <v>98</v>
      </c>
      <c r="G60" s="11"/>
      <c r="H60" s="88" t="s">
        <v>441</v>
      </c>
      <c r="I60" s="122" t="str">
        <f>IF(_epmOfflineCondition_,"N",_xll.EVPRO($B$1,$H60,"STYLE"))</f>
        <v>N</v>
      </c>
      <c r="J60" s="122" t="str">
        <f>IF(_epmOfflineCondition_,"N",_xll.EVPRO($B$1,$H60,"CALC"))</f>
        <v>N</v>
      </c>
      <c r="K60" s="179" t="str">
        <f t="shared" si="12"/>
        <v/>
      </c>
      <c r="L60" s="90" t="str">
        <f>IF(_epmOfflineCondition_,"550250",_xll.EVPRO($B$1,H60,"JDEID"))</f>
        <v>550250</v>
      </c>
      <c r="M60" s="90" t="str">
        <f>IF(_epmOfflineCondition_,"306055",IF(AND(I60="N",J60="N"),_xll.EVPRO($B$1,H60,"PSFTID"),""))</f>
        <v>306055</v>
      </c>
      <c r="N60" s="90" t="str">
        <f>IF(_epmOfflineCondition_,"In Room Item Cost of Sales",IF(_xll.EVDES(H60,$B$1)="#NODATA","",_xll.EVDES(H60,$B$1)))</f>
        <v>In Room Item Cost of Sales</v>
      </c>
      <c r="O60" s="143"/>
      <c r="P60" s="143"/>
      <c r="Q60" s="143"/>
      <c r="R60" s="143"/>
      <c r="S60" s="143"/>
      <c r="T60" s="143"/>
      <c r="U60" s="143"/>
      <c r="V60" s="143"/>
      <c r="W60" s="143"/>
      <c r="X60" s="143"/>
      <c r="Y60" s="143"/>
      <c r="Z60" s="143"/>
      <c r="AA60" s="250">
        <f t="shared" si="13"/>
        <v>0</v>
      </c>
      <c r="AB60" s="144" t="str">
        <f>IF(_epmOfflineCondition_,"",IF(AA60=0,"",IFERROR(AA60/_xll.EVGTS($B$1,1,_xll.EVPRO($B$1,$H60,"COSBASIS"),$B$3,$B$5,$B$6,$B$7,$B$9,AA$16,Z$17,AA$18),"")))</f>
        <v/>
      </c>
      <c r="AC60" s="140"/>
      <c r="AD60" s="143"/>
      <c r="AE60" s="144" t="str">
        <f>IF(_epmOfflineCondition_,"",IF(AD60=0,"",IFERROR(AD60/_xll.EVGTS($B$1,1,_xll.EVPRO($B$1,$H60,"COSBASIS"),$B$3,$B$5,$B$6,$B$7,$B$9,AD$16,AD$17,AD$18),"")))</f>
        <v/>
      </c>
      <c r="AF60" s="145">
        <f t="shared" si="14"/>
        <v>0</v>
      </c>
      <c r="AG60" s="143"/>
      <c r="AH60" s="144" t="str">
        <f>IF(_epmOfflineCondition_,"",IF(AG60=0,"",IFERROR(AG60/_xll.EVGTS($B$1,1,_xll.EVPRO($B$1,$H60,"COSBASIS"),$B$3,$B$5,$B$6,$B$7,$B$9,AG$16,AG$17,AG$18),"")))</f>
        <v/>
      </c>
      <c r="AI60" s="145">
        <f t="shared" si="15"/>
        <v>0</v>
      </c>
      <c r="AJ60" s="440">
        <f t="shared" si="16"/>
        <v>0</v>
      </c>
      <c r="AK60" s="441">
        <f t="shared" si="17"/>
        <v>0</v>
      </c>
      <c r="AL60" s="442">
        <f t="shared" si="18"/>
        <v>0</v>
      </c>
      <c r="AM60" s="443">
        <f t="shared" si="19"/>
        <v>0</v>
      </c>
      <c r="AN60" s="444">
        <f t="shared" si="20"/>
        <v>0</v>
      </c>
      <c r="AO60" s="11"/>
    </row>
    <row r="61" spans="1:41" x14ac:dyDescent="0.35">
      <c r="A61" s="11" t="s">
        <v>108</v>
      </c>
      <c r="B61" s="11"/>
      <c r="C61" s="106" t="s">
        <v>101</v>
      </c>
      <c r="D61" s="11" t="s">
        <v>106</v>
      </c>
      <c r="E61" s="11"/>
      <c r="F61" s="11" t="s">
        <v>98</v>
      </c>
      <c r="G61" s="11"/>
      <c r="H61" s="88" t="s">
        <v>442</v>
      </c>
      <c r="I61" s="122" t="str">
        <f>IF(_epmOfflineCondition_,"N",_xll.EVPRO($B$1,$H61,"STYLE"))</f>
        <v>N</v>
      </c>
      <c r="J61" s="122" t="str">
        <f>IF(_epmOfflineCondition_,"N",_xll.EVPRO($B$1,$H61,"CALC"))</f>
        <v>N</v>
      </c>
      <c r="K61" s="179" t="str">
        <f t="shared" si="12"/>
        <v/>
      </c>
      <c r="L61" s="90" t="str">
        <f>IF(_epmOfflineCondition_,"550300",_xll.EVPRO($B$1,H61,"JDEID"))</f>
        <v>550300</v>
      </c>
      <c r="M61" s="90" t="str">
        <f>IF(_epmOfflineCondition_,"305015",IF(AND(I61="N",J61="N"),_xll.EVPRO($B$1,H61,"PSFTID"),""))</f>
        <v>305015</v>
      </c>
      <c r="N61" s="90" t="str">
        <f>IF(_epmOfflineCondition_,"Massage Cost of Sales",IF(_xll.EVDES(H61,$B$1)="#NODATA","",_xll.EVDES(H61,$B$1)))</f>
        <v>Massage Cost of Sales</v>
      </c>
      <c r="O61" s="143"/>
      <c r="P61" s="143"/>
      <c r="Q61" s="143"/>
      <c r="R61" s="143"/>
      <c r="S61" s="143"/>
      <c r="T61" s="143"/>
      <c r="U61" s="143"/>
      <c r="V61" s="143"/>
      <c r="W61" s="143"/>
      <c r="X61" s="143"/>
      <c r="Y61" s="143"/>
      <c r="Z61" s="143"/>
      <c r="AA61" s="250">
        <f t="shared" si="13"/>
        <v>0</v>
      </c>
      <c r="AB61" s="144" t="str">
        <f>IF(_epmOfflineCondition_,"",IF(AA61=0,"",IFERROR(AA61/_xll.EVGTS($B$1,1,_xll.EVPRO($B$1,$H61,"COSBASIS"),$B$3,$B$5,$B$6,$B$7,$B$9,AA$16,Z$17,AA$18),"")))</f>
        <v/>
      </c>
      <c r="AC61" s="140"/>
      <c r="AD61" s="143"/>
      <c r="AE61" s="144" t="str">
        <f>IF(_epmOfflineCondition_,"",IF(AD61=0,"",IFERROR(AD61/_xll.EVGTS($B$1,1,_xll.EVPRO($B$1,$H61,"COSBASIS"),$B$3,$B$5,$B$6,$B$7,$B$9,AD$16,AD$17,AD$18),"")))</f>
        <v/>
      </c>
      <c r="AF61" s="145">
        <f t="shared" si="14"/>
        <v>0</v>
      </c>
      <c r="AG61" s="143"/>
      <c r="AH61" s="144" t="str">
        <f>IF(_epmOfflineCondition_,"",IF(AG61=0,"",IFERROR(AG61/_xll.EVGTS($B$1,1,_xll.EVPRO($B$1,$H61,"COSBASIS"),$B$3,$B$5,$B$6,$B$7,$B$9,AG$16,AG$17,AG$18),"")))</f>
        <v/>
      </c>
      <c r="AI61" s="145">
        <f t="shared" si="15"/>
        <v>0</v>
      </c>
      <c r="AJ61" s="440">
        <f t="shared" si="16"/>
        <v>0</v>
      </c>
      <c r="AK61" s="441">
        <f t="shared" si="17"/>
        <v>0</v>
      </c>
      <c r="AL61" s="442">
        <f t="shared" si="18"/>
        <v>0</v>
      </c>
      <c r="AM61" s="443">
        <f t="shared" si="19"/>
        <v>0</v>
      </c>
      <c r="AN61" s="444">
        <f t="shared" si="20"/>
        <v>0</v>
      </c>
      <c r="AO61" s="11"/>
    </row>
    <row r="62" spans="1:41" x14ac:dyDescent="0.35">
      <c r="A62" s="11" t="s">
        <v>108</v>
      </c>
      <c r="B62" s="11"/>
      <c r="C62" s="196" t="s">
        <v>101</v>
      </c>
      <c r="D62" s="11" t="s">
        <v>107</v>
      </c>
      <c r="E62" s="11"/>
      <c r="F62" s="11" t="s">
        <v>99</v>
      </c>
      <c r="G62" s="11"/>
      <c r="H62" s="88" t="s">
        <v>443</v>
      </c>
      <c r="I62" s="122" t="str">
        <f>IF(_epmOfflineCondition_,"N",_xll.EVPRO($B$1,$H62,"STYLE"))</f>
        <v>N</v>
      </c>
      <c r="J62" s="122" t="str">
        <f>IF(_epmOfflineCondition_,"N",_xll.EVPRO($B$1,$H62,"CALC"))</f>
        <v>N</v>
      </c>
      <c r="K62" s="179" t="str">
        <f t="shared" si="12"/>
        <v/>
      </c>
      <c r="L62" s="90" t="str">
        <f>IF(_epmOfflineCondition_,"550350",_xll.EVPRO($B$1,H62,"JDEID"))</f>
        <v>550350</v>
      </c>
      <c r="M62" s="90" t="str">
        <f>IF(_epmOfflineCondition_,"306099",IF(AND(I62="N",J62="N"),_xll.EVPRO($B$1,H62,"PSFTID"),""))</f>
        <v>306099</v>
      </c>
      <c r="N62" s="90" t="str">
        <f>IF(_epmOfflineCondition_,"Gym Pass Cost of Sales",IF(_xll.EVDES(H62,$B$1)="#NODATA","",_xll.EVDES(H62,$B$1)))</f>
        <v>Gym Pass Cost of Sales</v>
      </c>
      <c r="O62" s="143"/>
      <c r="P62" s="143"/>
      <c r="Q62" s="143"/>
      <c r="R62" s="143"/>
      <c r="S62" s="143"/>
      <c r="T62" s="143"/>
      <c r="U62" s="143"/>
      <c r="V62" s="143"/>
      <c r="W62" s="143"/>
      <c r="X62" s="143"/>
      <c r="Y62" s="143"/>
      <c r="Z62" s="143"/>
      <c r="AA62" s="250">
        <f t="shared" si="13"/>
        <v>0</v>
      </c>
      <c r="AB62" s="144" t="str">
        <f>IF(_epmOfflineCondition_,"",IF(AA62=0,"",IFERROR(AA62/_xll.EVGTS($B$1,1,_xll.EVPRO($B$1,$H62,"COSBASIS"),$B$3,$B$5,$B$6,$B$7,$B$9,AA$16,Z$17,AA$18),"")))</f>
        <v/>
      </c>
      <c r="AC62" s="140"/>
      <c r="AD62" s="143"/>
      <c r="AE62" s="144" t="str">
        <f>IF(_epmOfflineCondition_,"",IF(AD62=0,"",IFERROR(AD62/_xll.EVGTS($B$1,1,_xll.EVPRO($B$1,$H62,"COSBASIS"),$B$3,$B$5,$B$6,$B$7,$B$9,AD$16,AD$17,AD$18),"")))</f>
        <v/>
      </c>
      <c r="AF62" s="145">
        <f t="shared" si="14"/>
        <v>0</v>
      </c>
      <c r="AG62" s="143"/>
      <c r="AH62" s="144" t="str">
        <f>IF(_epmOfflineCondition_,"",IF(AG62=0,"",IFERROR(AG62/_xll.EVGTS($B$1,1,_xll.EVPRO($B$1,$H62,"COSBASIS"),$B$3,$B$5,$B$6,$B$7,$B$9,AG$16,AG$17,AG$18),"")))</f>
        <v/>
      </c>
      <c r="AI62" s="145">
        <f t="shared" si="15"/>
        <v>0</v>
      </c>
      <c r="AJ62" s="440">
        <f t="shared" si="16"/>
        <v>0</v>
      </c>
      <c r="AK62" s="441">
        <f t="shared" si="17"/>
        <v>0</v>
      </c>
      <c r="AL62" s="442">
        <f t="shared" si="18"/>
        <v>0</v>
      </c>
      <c r="AM62" s="443">
        <f t="shared" si="19"/>
        <v>0</v>
      </c>
      <c r="AN62" s="444">
        <f t="shared" si="20"/>
        <v>0</v>
      </c>
      <c r="AO62" s="11"/>
    </row>
    <row r="63" spans="1:41" x14ac:dyDescent="0.35">
      <c r="A63" s="11"/>
      <c r="B63" s="11"/>
      <c r="C63" s="11"/>
      <c r="D63" s="11"/>
      <c r="E63" s="11"/>
      <c r="F63" s="11"/>
      <c r="G63" s="11"/>
      <c r="H63" s="88" t="s">
        <v>481</v>
      </c>
      <c r="I63" s="122" t="str">
        <f>IF(_epmOfflineCondition_,"N",_xll.EVPRO($B$1,$H63,"STYLE"))</f>
        <v>N</v>
      </c>
      <c r="J63" s="122" t="str">
        <f>IF(_epmOfflineCondition_,"N",_xll.EVPRO($B$1,$H63,"CALC"))</f>
        <v>N</v>
      </c>
      <c r="K63" s="179" t="str">
        <f t="shared" si="12"/>
        <v/>
      </c>
      <c r="L63" s="90" t="str">
        <f>IF(_epmOfflineCondition_,"550375",_xll.EVPRO($B$1,H63,"JDEID"))</f>
        <v>550375</v>
      </c>
      <c r="M63" s="90" t="str">
        <f>IF(_epmOfflineCondition_,"307005",IF(AND(I63="N",J63="N"),_xll.EVPRO($B$1,H63,"PSFTID"),""))</f>
        <v>307005</v>
      </c>
      <c r="N63" s="90" t="str">
        <f>IF(_epmOfflineCondition_,"Shared Facilities &amp; Services Expense",IF(_xll.EVDES(H63,$B$1)="#NODATA","",_xll.EVDES(H63,$B$1)))</f>
        <v>Shared Facilities &amp; Services Expense</v>
      </c>
      <c r="O63" s="143"/>
      <c r="P63" s="143"/>
      <c r="Q63" s="143"/>
      <c r="R63" s="143"/>
      <c r="S63" s="143"/>
      <c r="T63" s="143"/>
      <c r="U63" s="143"/>
      <c r="V63" s="143"/>
      <c r="W63" s="143"/>
      <c r="X63" s="143"/>
      <c r="Y63" s="143"/>
      <c r="Z63" s="143"/>
      <c r="AA63" s="250">
        <f t="shared" si="13"/>
        <v>0</v>
      </c>
      <c r="AB63" s="144" t="str">
        <f>IF(_epmOfflineCondition_,"",IF(AA63=0,"",IFERROR(AA63/_xll.EVGTS($B$1,1,_xll.EVPRO($B$1,$H63,"COSBASIS"),$B$3,$B$5,$B$6,$B$7,$B$9,AA$16,Z$17,AA$18),"")))</f>
        <v/>
      </c>
      <c r="AC63" s="140"/>
      <c r="AD63" s="143"/>
      <c r="AE63" s="144" t="str">
        <f>IF(_epmOfflineCondition_,"",IF(AD63=0,"",IFERROR(AD63/_xll.EVGTS($B$1,1,_xll.EVPRO($B$1,$H63,"COSBASIS"),$B$3,$B$5,$B$6,$B$7,$B$9,AD$16,AD$17,AD$18),"")))</f>
        <v/>
      </c>
      <c r="AF63" s="145">
        <f t="shared" si="14"/>
        <v>0</v>
      </c>
      <c r="AG63" s="143"/>
      <c r="AH63" s="144" t="str">
        <f>IF(_epmOfflineCondition_,"",IF(AG63=0,"",IFERROR(AG63/_xll.EVGTS($B$1,1,_xll.EVPRO($B$1,$H63,"COSBASIS"),$B$3,$B$5,$B$6,$B$7,$B$9,AG$16,AG$17,AG$18),"")))</f>
        <v/>
      </c>
      <c r="AI63" s="145">
        <f t="shared" si="15"/>
        <v>0</v>
      </c>
      <c r="AJ63" s="440">
        <f t="shared" si="16"/>
        <v>0</v>
      </c>
      <c r="AK63" s="441">
        <f t="shared" si="17"/>
        <v>0</v>
      </c>
      <c r="AL63" s="442">
        <f t="shared" si="18"/>
        <v>0</v>
      </c>
      <c r="AM63" s="443">
        <f t="shared" si="19"/>
        <v>0</v>
      </c>
      <c r="AN63" s="444">
        <f t="shared" si="20"/>
        <v>0</v>
      </c>
      <c r="AO63" s="11"/>
    </row>
    <row r="64" spans="1:41" x14ac:dyDescent="0.35">
      <c r="A64" s="11"/>
      <c r="B64" s="11"/>
      <c r="C64" s="208"/>
      <c r="D64" s="11"/>
      <c r="E64" s="11"/>
      <c r="F64" s="11"/>
      <c r="G64" s="11"/>
      <c r="H64" s="88" t="s">
        <v>482</v>
      </c>
      <c r="I64" s="122" t="str">
        <f>IF(_epmOfflineCondition_,"N",_xll.EVPRO($B$1,$H64,"STYLE"))</f>
        <v>N</v>
      </c>
      <c r="J64" s="122" t="str">
        <f>IF(_epmOfflineCondition_,"N",_xll.EVPRO($B$1,$H64,"CALC"))</f>
        <v>N</v>
      </c>
      <c r="K64" s="179" t="str">
        <f t="shared" si="12"/>
        <v/>
      </c>
      <c r="L64" s="90" t="str">
        <f>IF(_epmOfflineCondition_,"550380",_xll.EVPRO($B$1,H64,"JDEID"))</f>
        <v>550380</v>
      </c>
      <c r="M64" s="90" t="str">
        <f>IF(_epmOfflineCondition_,"306020",IF(AND(I64="N",J64="N"),_xll.EVPRO($B$1,H64,"PSFTID"),""))</f>
        <v>306020</v>
      </c>
      <c r="N64" s="90" t="str">
        <f>IF(_epmOfflineCondition_,"Retail Kiosk Cost of Sales",IF(_xll.EVDES(H64,$B$1)="#NODATA","",_xll.EVDES(H64,$B$1)))</f>
        <v>Retail Kiosk Cost of Sales</v>
      </c>
      <c r="O64" s="143"/>
      <c r="P64" s="143"/>
      <c r="Q64" s="143"/>
      <c r="R64" s="143"/>
      <c r="S64" s="143"/>
      <c r="T64" s="143"/>
      <c r="U64" s="143"/>
      <c r="V64" s="143"/>
      <c r="W64" s="143"/>
      <c r="X64" s="143"/>
      <c r="Y64" s="143"/>
      <c r="Z64" s="143"/>
      <c r="AA64" s="250">
        <f t="shared" si="13"/>
        <v>0</v>
      </c>
      <c r="AB64" s="144" t="str">
        <f>IF(_epmOfflineCondition_,"",IF(AA64=0,"",IFERROR(AA64/_xll.EVGTS($B$1,1,_xll.EVPRO($B$1,$H64,"COSBASIS"),$B$3,$B$5,$B$6,$B$7,$B$9,AA$16,Z$17,AA$18),"")))</f>
        <v/>
      </c>
      <c r="AC64" s="140"/>
      <c r="AD64" s="143"/>
      <c r="AE64" s="144" t="str">
        <f>IF(_epmOfflineCondition_,"",IF(AD64=0,"",IFERROR(AD64/_xll.EVGTS($B$1,1,_xll.EVPRO($B$1,$H64,"COSBASIS"),$B$3,$B$5,$B$6,$B$7,$B$9,AD$16,AD$17,AD$18),"")))</f>
        <v/>
      </c>
      <c r="AF64" s="145">
        <f t="shared" si="14"/>
        <v>0</v>
      </c>
      <c r="AG64" s="143"/>
      <c r="AH64" s="144" t="str">
        <f>IF(_epmOfflineCondition_,"",IF(AG64=0,"",IFERROR(AG64/_xll.EVGTS($B$1,1,_xll.EVPRO($B$1,$H64,"COSBASIS"),$B$3,$B$5,$B$6,$B$7,$B$9,AG$16,AG$17,AG$18),"")))</f>
        <v/>
      </c>
      <c r="AI64" s="145">
        <f t="shared" si="15"/>
        <v>0</v>
      </c>
      <c r="AJ64" s="440">
        <f t="shared" si="16"/>
        <v>0</v>
      </c>
      <c r="AK64" s="441">
        <f t="shared" si="17"/>
        <v>0</v>
      </c>
      <c r="AL64" s="442">
        <f t="shared" si="18"/>
        <v>0</v>
      </c>
      <c r="AM64" s="443">
        <f t="shared" si="19"/>
        <v>0</v>
      </c>
      <c r="AN64" s="444">
        <f t="shared" si="20"/>
        <v>0</v>
      </c>
      <c r="AO64" s="11"/>
    </row>
    <row r="65" spans="1:41" x14ac:dyDescent="0.35">
      <c r="A65" s="61" t="str">
        <f>IF(_epmOfflineCondition_,"Evdre:Ok",_xll.EVDRE($B$1,A68:B75))</f>
        <v>Evdre:Ok</v>
      </c>
      <c r="B65" s="11" t="s">
        <v>736</v>
      </c>
      <c r="C65" s="11"/>
      <c r="D65" s="11"/>
      <c r="E65" s="11"/>
      <c r="F65" s="11"/>
      <c r="G65" s="11"/>
      <c r="H65" s="88" t="s">
        <v>483</v>
      </c>
      <c r="I65" s="122" t="str">
        <f>IF(_epmOfflineCondition_,"N",_xll.EVPRO($B$1,$H65,"STYLE"))</f>
        <v>N</v>
      </c>
      <c r="J65" s="122" t="str">
        <f>IF(_epmOfflineCondition_,"N",_xll.EVPRO($B$1,$H65,"CALC"))</f>
        <v>N</v>
      </c>
      <c r="K65" s="179" t="str">
        <f t="shared" si="12"/>
        <v/>
      </c>
      <c r="L65" s="90" t="str">
        <f>IF(_epmOfflineCondition_,"550385",_xll.EVPRO($B$1,H65,"JDEID"))</f>
        <v>550385</v>
      </c>
      <c r="M65" s="90" t="str">
        <f>IF(_epmOfflineCondition_,"306045",IF(AND(I65="N",J65="N"),_xll.EVPRO($B$1,H65,"PSFTID"),""))</f>
        <v>306045</v>
      </c>
      <c r="N65" s="90" t="str">
        <f>IF(_epmOfflineCondition_,"Vending Machines Cost of Sales",IF(_xll.EVDES(H65,$B$1)="#NODATA","",_xll.EVDES(H65,$B$1)))</f>
        <v>Vending Machines Cost of Sales</v>
      </c>
      <c r="O65" s="143"/>
      <c r="P65" s="143"/>
      <c r="Q65" s="143"/>
      <c r="R65" s="143"/>
      <c r="S65" s="143"/>
      <c r="T65" s="143"/>
      <c r="U65" s="143"/>
      <c r="V65" s="143"/>
      <c r="W65" s="143"/>
      <c r="X65" s="143"/>
      <c r="Y65" s="143"/>
      <c r="Z65" s="143"/>
      <c r="AA65" s="250">
        <f t="shared" si="13"/>
        <v>0</v>
      </c>
      <c r="AB65" s="144" t="str">
        <f>IF(_epmOfflineCondition_,"",IF(AA65=0,"",IFERROR(AA65/_xll.EVGTS($B$1,1,_xll.EVPRO($B$1,$H65,"COSBASIS"),$B$3,$B$5,$B$6,$B$7,$B$9,AA$16,Z$17,AA$18),"")))</f>
        <v/>
      </c>
      <c r="AC65" s="140"/>
      <c r="AD65" s="143"/>
      <c r="AE65" s="144" t="str">
        <f>IF(_epmOfflineCondition_,"",IF(AD65=0,"",IFERROR(AD65/_xll.EVGTS($B$1,1,_xll.EVPRO($B$1,$H65,"COSBASIS"),$B$3,$B$5,$B$6,$B$7,$B$9,AD$16,AD$17,AD$18),"")))</f>
        <v/>
      </c>
      <c r="AF65" s="145">
        <f t="shared" si="14"/>
        <v>0</v>
      </c>
      <c r="AG65" s="143"/>
      <c r="AH65" s="144" t="str">
        <f>IF(_epmOfflineCondition_,"",IF(AG65=0,"",IFERROR(AG65/_xll.EVGTS($B$1,1,_xll.EVPRO($B$1,$H65,"COSBASIS"),$B$3,$B$5,$B$6,$B$7,$B$9,AG$16,AG$17,AG$18),"")))</f>
        <v/>
      </c>
      <c r="AI65" s="145">
        <f t="shared" si="15"/>
        <v>0</v>
      </c>
      <c r="AJ65" s="440">
        <f t="shared" si="16"/>
        <v>0</v>
      </c>
      <c r="AK65" s="441">
        <f t="shared" si="17"/>
        <v>0</v>
      </c>
      <c r="AL65" s="442">
        <f t="shared" si="18"/>
        <v>0</v>
      </c>
      <c r="AM65" s="443">
        <f t="shared" si="19"/>
        <v>0</v>
      </c>
      <c r="AN65" s="444">
        <f t="shared" si="20"/>
        <v>0</v>
      </c>
      <c r="AO65" s="11"/>
    </row>
    <row r="66" spans="1:41" x14ac:dyDescent="0.35">
      <c r="A66" s="11"/>
      <c r="B66" s="11"/>
      <c r="C66" s="11"/>
      <c r="D66" s="11"/>
      <c r="E66" s="11"/>
      <c r="F66" s="11"/>
      <c r="G66" s="11"/>
      <c r="H66" s="88" t="s">
        <v>484</v>
      </c>
      <c r="I66" s="122" t="str">
        <f>IF(_epmOfflineCondition_,"N",_xll.EVPRO($B$1,$H66,"STYLE"))</f>
        <v>N</v>
      </c>
      <c r="J66" s="122" t="str">
        <f>IF(_epmOfflineCondition_,"N",_xll.EVPRO($B$1,$H66,"CALC"))</f>
        <v>N</v>
      </c>
      <c r="K66" s="179" t="str">
        <f t="shared" si="12"/>
        <v/>
      </c>
      <c r="L66" s="90" t="str">
        <f>IF(_epmOfflineCondition_,"550390",_xll.EVPRO($B$1,H66,"JDEID"))</f>
        <v>550390</v>
      </c>
      <c r="M66" s="90" t="str">
        <f>IF(_epmOfflineCondition_,"306015",IF(AND(I66="N",J66="N"),_xll.EVPRO($B$1,H66,"PSFTID"),""))</f>
        <v>306015</v>
      </c>
      <c r="N66" s="90" t="str">
        <f>IF(_epmOfflineCondition_,"Laundry Machines Cost of Sales",IF(_xll.EVDES(H66,$B$1)="#NODATA","",_xll.EVDES(H66,$B$1)))</f>
        <v>Laundry Machines Cost of Sales</v>
      </c>
      <c r="O66" s="143"/>
      <c r="P66" s="143"/>
      <c r="Q66" s="143"/>
      <c r="R66" s="143"/>
      <c r="S66" s="143"/>
      <c r="T66" s="143"/>
      <c r="U66" s="143"/>
      <c r="V66" s="143"/>
      <c r="W66" s="143"/>
      <c r="X66" s="143"/>
      <c r="Y66" s="143"/>
      <c r="Z66" s="143"/>
      <c r="AA66" s="250">
        <f t="shared" si="13"/>
        <v>0</v>
      </c>
      <c r="AB66" s="144" t="str">
        <f>IF(_epmOfflineCondition_,"",IF(AA66=0,"",IFERROR(AA66/_xll.EVGTS($B$1,1,_xll.EVPRO($B$1,$H66,"COSBASIS"),$B$3,$B$5,$B$6,$B$7,$B$9,AA$16,Z$17,AA$18),"")))</f>
        <v/>
      </c>
      <c r="AC66" s="140"/>
      <c r="AD66" s="143"/>
      <c r="AE66" s="144" t="str">
        <f>IF(_epmOfflineCondition_,"",IF(AD66=0,"",IFERROR(AD66/_xll.EVGTS($B$1,1,_xll.EVPRO($B$1,$H66,"COSBASIS"),$B$3,$B$5,$B$6,$B$7,$B$9,AD$16,AD$17,AD$18),"")))</f>
        <v/>
      </c>
      <c r="AF66" s="145">
        <f t="shared" si="14"/>
        <v>0</v>
      </c>
      <c r="AG66" s="143"/>
      <c r="AH66" s="144" t="str">
        <f>IF(_epmOfflineCondition_,"",IF(AG66=0,"",IFERROR(AG66/_xll.EVGTS($B$1,1,_xll.EVPRO($B$1,$H66,"COSBASIS"),$B$3,$B$5,$B$6,$B$7,$B$9,AG$16,AG$17,AG$18),"")))</f>
        <v/>
      </c>
      <c r="AI66" s="145">
        <f t="shared" si="15"/>
        <v>0</v>
      </c>
      <c r="AJ66" s="440">
        <f t="shared" si="16"/>
        <v>0</v>
      </c>
      <c r="AK66" s="441">
        <f t="shared" si="17"/>
        <v>0</v>
      </c>
      <c r="AL66" s="442">
        <f t="shared" si="18"/>
        <v>0</v>
      </c>
      <c r="AM66" s="443">
        <f t="shared" si="19"/>
        <v>0</v>
      </c>
      <c r="AN66" s="444">
        <f t="shared" si="20"/>
        <v>0</v>
      </c>
      <c r="AO66" s="11"/>
    </row>
    <row r="67" spans="1:41" x14ac:dyDescent="0.35">
      <c r="A67" s="62" t="s">
        <v>0</v>
      </c>
      <c r="B67" s="63" t="s">
        <v>1</v>
      </c>
      <c r="C67" s="11"/>
      <c r="D67" s="11"/>
      <c r="E67" s="11"/>
      <c r="F67" s="11"/>
      <c r="G67" s="11"/>
      <c r="H67" s="88" t="s">
        <v>485</v>
      </c>
      <c r="I67" s="122" t="str">
        <f>IF(_epmOfflineCondition_,"N",_xll.EVPRO($B$1,$H67,"STYLE"))</f>
        <v>N</v>
      </c>
      <c r="J67" s="122" t="str">
        <f>IF(_epmOfflineCondition_,"N",_xll.EVPRO($B$1,$H67,"CALC"))</f>
        <v>N</v>
      </c>
      <c r="K67" s="179" t="str">
        <f t="shared" si="12"/>
        <v/>
      </c>
      <c r="L67" s="90" t="str">
        <f>IF(_epmOfflineCondition_,"550395",_xll.EVPRO($B$1,H67,"JDEID"))</f>
        <v>550395</v>
      </c>
      <c r="M67" s="90" t="str">
        <f>IF(_epmOfflineCondition_,"307010",IF(AND(I67="N",J67="N"),_xll.EVPRO($B$1,H67,"PSFTID"),""))</f>
        <v>307010</v>
      </c>
      <c r="N67" s="90" t="str">
        <f>IF(_epmOfflineCondition_,"Occasional F&amp;B Cost of Sales",IF(_xll.EVDES(H67,$B$1)="#NODATA","",_xll.EVDES(H67,$B$1)))</f>
        <v>Occasional F&amp;B Cost of Sales</v>
      </c>
      <c r="O67" s="143"/>
      <c r="P67" s="143"/>
      <c r="Q67" s="143"/>
      <c r="R67" s="143"/>
      <c r="S67" s="143"/>
      <c r="T67" s="143"/>
      <c r="U67" s="143"/>
      <c r="V67" s="143"/>
      <c r="W67" s="143"/>
      <c r="X67" s="143"/>
      <c r="Y67" s="143"/>
      <c r="Z67" s="143"/>
      <c r="AA67" s="250">
        <f t="shared" si="13"/>
        <v>0</v>
      </c>
      <c r="AB67" s="144" t="str">
        <f>IF(_epmOfflineCondition_,"",IF(AA67=0,"",IFERROR(AA67/_xll.EVGTS($B$1,1,_xll.EVPRO($B$1,$H67,"COSBASIS"),$B$3,$B$5,$B$6,$B$7,$B$9,AA$16,Z$17,AA$18),"")))</f>
        <v/>
      </c>
      <c r="AC67" s="140"/>
      <c r="AD67" s="143"/>
      <c r="AE67" s="144" t="str">
        <f>IF(_epmOfflineCondition_,"",IF(AD67=0,"",IFERROR(AD67/_xll.EVGTS($B$1,1,_xll.EVPRO($B$1,$H67,"COSBASIS"),$B$3,$B$5,$B$6,$B$7,$B$9,AD$16,AD$17,AD$18),"")))</f>
        <v/>
      </c>
      <c r="AF67" s="145">
        <f t="shared" si="14"/>
        <v>0</v>
      </c>
      <c r="AG67" s="143"/>
      <c r="AH67" s="144" t="str">
        <f>IF(_epmOfflineCondition_,"",IF(AG67=0,"",IFERROR(AG67/_xll.EVGTS($B$1,1,_xll.EVPRO($B$1,$H67,"COSBASIS"),$B$3,$B$5,$B$6,$B$7,$B$9,AG$16,AG$17,AG$18),"")))</f>
        <v/>
      </c>
      <c r="AI67" s="145">
        <f t="shared" si="15"/>
        <v>0</v>
      </c>
      <c r="AJ67" s="440">
        <f t="shared" si="16"/>
        <v>0</v>
      </c>
      <c r="AK67" s="441">
        <f t="shared" si="17"/>
        <v>0</v>
      </c>
      <c r="AL67" s="442">
        <f t="shared" si="18"/>
        <v>0</v>
      </c>
      <c r="AM67" s="443">
        <f t="shared" si="19"/>
        <v>0</v>
      </c>
      <c r="AN67" s="444">
        <f t="shared" si="20"/>
        <v>0</v>
      </c>
      <c r="AO67" s="11"/>
    </row>
    <row r="68" spans="1:41" x14ac:dyDescent="0.35">
      <c r="A68" s="65" t="s">
        <v>2</v>
      </c>
      <c r="B68" s="66" t="str">
        <f>IF(_epmOfflineCondition_,"'Minor_Op'!$B$2:$B$10",_xll.EVRNG($B$2:$B$10))</f>
        <v>'Minor_Op'!$B$2:$B$10</v>
      </c>
      <c r="C68" s="11"/>
      <c r="D68" s="11"/>
      <c r="E68" s="11"/>
      <c r="F68" s="11"/>
      <c r="G68" s="11"/>
      <c r="H68" s="88" t="s">
        <v>444</v>
      </c>
      <c r="I68" s="122" t="str">
        <f>IF(_epmOfflineCondition_,"N",_xll.EVPRO($B$1,$H68,"STYLE"))</f>
        <v>N</v>
      </c>
      <c r="J68" s="122" t="str">
        <f>IF(_epmOfflineCondition_,"N",_xll.EVPRO($B$1,$H68,"CALC"))</f>
        <v>N</v>
      </c>
      <c r="K68" s="179" t="str">
        <f t="shared" si="12"/>
        <v/>
      </c>
      <c r="L68" s="90" t="str">
        <f>IF(_epmOfflineCondition_,"550400",_xll.EVPRO($B$1,H68,"JDEID"))</f>
        <v>550400</v>
      </c>
      <c r="M68" s="90" t="str">
        <f>IF(_epmOfflineCondition_,"307014",IF(AND(I68="N",J68="N"),_xll.EVPRO($B$1,H68,"PSFTID"),""))</f>
        <v>307014</v>
      </c>
      <c r="N68" s="90" t="str">
        <f>IF(_epmOfflineCondition_,"Other 1 Cost of Sales",IF(_xll.EVDES(H68,$B$1)="#NODATA","",_xll.EVDES(H68,$B$1)))</f>
        <v>Other 1 Cost of Sales</v>
      </c>
      <c r="O68" s="143"/>
      <c r="P68" s="143"/>
      <c r="Q68" s="143"/>
      <c r="R68" s="143"/>
      <c r="S68" s="143"/>
      <c r="T68" s="143"/>
      <c r="U68" s="143"/>
      <c r="V68" s="143"/>
      <c r="W68" s="143"/>
      <c r="X68" s="143"/>
      <c r="Y68" s="143"/>
      <c r="Z68" s="143"/>
      <c r="AA68" s="250">
        <f t="shared" si="13"/>
        <v>0</v>
      </c>
      <c r="AB68" s="144" t="str">
        <f>IF(_epmOfflineCondition_,"",IF(AA68=0,"",IFERROR(AA68/_xll.EVGTS($B$1,1,_xll.EVPRO($B$1,$H68,"COSBASIS"),$B$3,$B$5,$B$6,$B$7,$B$9,AA$16,Z$17,AA$18),"")))</f>
        <v/>
      </c>
      <c r="AC68" s="140"/>
      <c r="AD68" s="143"/>
      <c r="AE68" s="144" t="str">
        <f>IF(_epmOfflineCondition_,"",IF(AD68=0,"",IFERROR(AD68/_xll.EVGTS($B$1,1,_xll.EVPRO($B$1,$H68,"COSBASIS"),$B$3,$B$5,$B$6,$B$7,$B$9,AD$16,AD$17,AD$18),"")))</f>
        <v/>
      </c>
      <c r="AF68" s="145">
        <f t="shared" si="14"/>
        <v>0</v>
      </c>
      <c r="AG68" s="143"/>
      <c r="AH68" s="144" t="str">
        <f>IF(_epmOfflineCondition_,"",IF(AG68=0,"",IFERROR(AG68/_xll.EVGTS($B$1,1,_xll.EVPRO($B$1,$H68,"COSBASIS"),$B$3,$B$5,$B$6,$B$7,$B$9,AG$16,AG$17,AG$18),"")))</f>
        <v/>
      </c>
      <c r="AI68" s="145">
        <f t="shared" si="15"/>
        <v>0</v>
      </c>
      <c r="AJ68" s="440">
        <f t="shared" si="16"/>
        <v>0</v>
      </c>
      <c r="AK68" s="441">
        <f t="shared" si="17"/>
        <v>0</v>
      </c>
      <c r="AL68" s="442">
        <f t="shared" si="18"/>
        <v>0</v>
      </c>
      <c r="AM68" s="443">
        <f t="shared" si="19"/>
        <v>0</v>
      </c>
      <c r="AN68" s="444">
        <f t="shared" si="20"/>
        <v>0</v>
      </c>
      <c r="AO68" s="11"/>
    </row>
    <row r="69" spans="1:41" x14ac:dyDescent="0.35">
      <c r="A69" s="65" t="s">
        <v>3</v>
      </c>
      <c r="B69" s="66" t="str">
        <f>IF(_epmOfflineCondition_,"'Minor_Op'!$O$16:$AN$18",_xll.EVRNG($O$16:$AN$18))</f>
        <v>'Minor_Op'!$O$16:$AN$18</v>
      </c>
      <c r="C69" s="11"/>
      <c r="D69" s="11"/>
      <c r="E69" s="11"/>
      <c r="F69" s="11"/>
      <c r="G69" s="11"/>
      <c r="H69" s="88" t="s">
        <v>445</v>
      </c>
      <c r="I69" s="122" t="str">
        <f>IF(_epmOfflineCondition_,"N",_xll.EVPRO($B$1,$H69,"STYLE"))</f>
        <v>N</v>
      </c>
      <c r="J69" s="122" t="str">
        <f>IF(_epmOfflineCondition_,"N",_xll.EVPRO($B$1,$H69,"CALC"))</f>
        <v>N</v>
      </c>
      <c r="K69" s="179" t="str">
        <f t="shared" si="12"/>
        <v/>
      </c>
      <c r="L69" s="90" t="str">
        <f>IF(_epmOfflineCondition_,"550450",_xll.EVPRO($B$1,H69,"JDEID"))</f>
        <v>550450</v>
      </c>
      <c r="M69" s="90" t="str">
        <f>IF(_epmOfflineCondition_,"307015",IF(AND(I69="N",J69="N"),_xll.EVPRO($B$1,H69,"PSFTID"),""))</f>
        <v>307015</v>
      </c>
      <c r="N69" s="90" t="str">
        <f>IF(_epmOfflineCondition_,"Other 2 Cost of Sales",IF(_xll.EVDES(H69,$B$1)="#NODATA","",_xll.EVDES(H69,$B$1)))</f>
        <v>Other 2 Cost of Sales</v>
      </c>
      <c r="O69" s="143"/>
      <c r="P69" s="143"/>
      <c r="Q69" s="143"/>
      <c r="R69" s="143"/>
      <c r="S69" s="143"/>
      <c r="T69" s="143"/>
      <c r="U69" s="143"/>
      <c r="V69" s="143"/>
      <c r="W69" s="143"/>
      <c r="X69" s="143"/>
      <c r="Y69" s="143"/>
      <c r="Z69" s="143"/>
      <c r="AA69" s="250">
        <f t="shared" si="13"/>
        <v>0</v>
      </c>
      <c r="AB69" s="144" t="str">
        <f>IF(_epmOfflineCondition_,"",IF(AA69=0,"",IFERROR(AA69/_xll.EVGTS($B$1,1,_xll.EVPRO($B$1,$H69,"COSBASIS"),$B$3,$B$5,$B$6,$B$7,$B$9,AA$16,Z$17,AA$18),"")))</f>
        <v/>
      </c>
      <c r="AC69" s="140"/>
      <c r="AD69" s="143"/>
      <c r="AE69" s="144" t="str">
        <f>IF(_epmOfflineCondition_,"",IF(AD69=0,"",IFERROR(AD69/_xll.EVGTS($B$1,1,_xll.EVPRO($B$1,$H69,"COSBASIS"),$B$3,$B$5,$B$6,$B$7,$B$9,AD$16,AD$17,AD$18),"")))</f>
        <v/>
      </c>
      <c r="AF69" s="145">
        <f t="shared" si="14"/>
        <v>0</v>
      </c>
      <c r="AG69" s="143"/>
      <c r="AH69" s="144" t="str">
        <f>IF(_epmOfflineCondition_,"",IF(AG69=0,"",IFERROR(AG69/_xll.EVGTS($B$1,1,_xll.EVPRO($B$1,$H69,"COSBASIS"),$B$3,$B$5,$B$6,$B$7,$B$9,AG$16,AG$17,AG$18),"")))</f>
        <v/>
      </c>
      <c r="AI69" s="145">
        <f t="shared" si="15"/>
        <v>0</v>
      </c>
      <c r="AJ69" s="440">
        <f t="shared" si="16"/>
        <v>0</v>
      </c>
      <c r="AK69" s="441">
        <f t="shared" si="17"/>
        <v>0</v>
      </c>
      <c r="AL69" s="442">
        <f t="shared" si="18"/>
        <v>0</v>
      </c>
      <c r="AM69" s="443">
        <f t="shared" si="19"/>
        <v>0</v>
      </c>
      <c r="AN69" s="444">
        <f t="shared" si="20"/>
        <v>0</v>
      </c>
      <c r="AO69" s="11"/>
    </row>
    <row r="70" spans="1:41" x14ac:dyDescent="0.35">
      <c r="A70" s="65" t="s">
        <v>4</v>
      </c>
      <c r="B70" s="66" t="str">
        <f>IF(_epmOfflineCondition_,"'Minor_Op'!$H$95:$H$98",_xll.EVRNG(H95:H98))</f>
        <v>'Minor_Op'!$H$95:$H$98</v>
      </c>
      <c r="C70" s="11"/>
      <c r="D70" s="11"/>
      <c r="E70" s="11"/>
      <c r="F70" s="11"/>
      <c r="G70" s="11"/>
      <c r="H70" s="88" t="s">
        <v>446</v>
      </c>
      <c r="I70" s="122" t="str">
        <f>IF(_epmOfflineCondition_,"N",_xll.EVPRO($B$1,$H70,"STYLE"))</f>
        <v>N</v>
      </c>
      <c r="J70" s="122" t="str">
        <f>IF(_epmOfflineCondition_,"N",_xll.EVPRO($B$1,$H70,"CALC"))</f>
        <v>N</v>
      </c>
      <c r="K70" s="179" t="str">
        <f t="shared" si="12"/>
        <v/>
      </c>
      <c r="L70" s="90" t="str">
        <f>IF(_epmOfflineCondition_,"550500",_xll.EVPRO($B$1,H70,"JDEID"))</f>
        <v>550500</v>
      </c>
      <c r="M70" s="90" t="str">
        <f>IF(_epmOfflineCondition_,"307016",IF(AND(I70="N",J70="N"),_xll.EVPRO($B$1,H70,"PSFTID"),""))</f>
        <v>307016</v>
      </c>
      <c r="N70" s="90" t="str">
        <f>IF(_epmOfflineCondition_,"Other 3 Cost of Sales",IF(_xll.EVDES(H70,$B$1)="#NODATA","",_xll.EVDES(H70,$B$1)))</f>
        <v>Other 3 Cost of Sales</v>
      </c>
      <c r="O70" s="143"/>
      <c r="P70" s="143"/>
      <c r="Q70" s="143"/>
      <c r="R70" s="143"/>
      <c r="S70" s="143"/>
      <c r="T70" s="143"/>
      <c r="U70" s="143"/>
      <c r="V70" s="143"/>
      <c r="W70" s="143"/>
      <c r="X70" s="143"/>
      <c r="Y70" s="143"/>
      <c r="Z70" s="143"/>
      <c r="AA70" s="250">
        <f t="shared" si="13"/>
        <v>0</v>
      </c>
      <c r="AB70" s="144" t="str">
        <f>IF(_epmOfflineCondition_,"",IF(AA70=0,"",IFERROR(AA70/_xll.EVGTS($B$1,1,_xll.EVPRO($B$1,$H70,"COSBASIS"),$B$3,$B$5,$B$6,$B$7,$B$9,AA$16,Z$17,AA$18),"")))</f>
        <v/>
      </c>
      <c r="AC70" s="140"/>
      <c r="AD70" s="143"/>
      <c r="AE70" s="144" t="str">
        <f>IF(_epmOfflineCondition_,"",IF(AD70=0,"",IFERROR(AD70/_xll.EVGTS($B$1,1,_xll.EVPRO($B$1,$H70,"COSBASIS"),$B$3,$B$5,$B$6,$B$7,$B$9,AD$16,AD$17,AD$18),"")))</f>
        <v/>
      </c>
      <c r="AF70" s="145">
        <f t="shared" si="14"/>
        <v>0</v>
      </c>
      <c r="AG70" s="143"/>
      <c r="AH70" s="144" t="str">
        <f>IF(_epmOfflineCondition_,"",IF(AG70=0,"",IFERROR(AG70/_xll.EVGTS($B$1,1,_xll.EVPRO($B$1,$H70,"COSBASIS"),$B$3,$B$5,$B$6,$B$7,$B$9,AG$16,AG$17,AG$18),"")))</f>
        <v/>
      </c>
      <c r="AI70" s="145">
        <f t="shared" si="15"/>
        <v>0</v>
      </c>
      <c r="AJ70" s="440">
        <f t="shared" si="16"/>
        <v>0</v>
      </c>
      <c r="AK70" s="441">
        <f t="shared" si="17"/>
        <v>0</v>
      </c>
      <c r="AL70" s="442">
        <f t="shared" si="18"/>
        <v>0</v>
      </c>
      <c r="AM70" s="443">
        <f t="shared" si="19"/>
        <v>0</v>
      </c>
      <c r="AN70" s="444">
        <f t="shared" si="20"/>
        <v>0</v>
      </c>
      <c r="AO70" s="11"/>
    </row>
    <row r="71" spans="1:41" x14ac:dyDescent="0.35">
      <c r="A71" s="65" t="s">
        <v>5</v>
      </c>
      <c r="B71" s="66"/>
      <c r="C71" s="11"/>
      <c r="D71" s="11"/>
      <c r="E71" s="11"/>
      <c r="F71" s="11"/>
      <c r="G71" s="11"/>
      <c r="H71" s="88" t="s">
        <v>447</v>
      </c>
      <c r="I71" s="122" t="str">
        <f>IF(_epmOfflineCondition_,"N",_xll.EVPRO($B$1,$H71,"STYLE"))</f>
        <v>N</v>
      </c>
      <c r="J71" s="122" t="str">
        <f>IF(_epmOfflineCondition_,"N",_xll.EVPRO($B$1,$H71,"CALC"))</f>
        <v>N</v>
      </c>
      <c r="K71" s="179" t="str">
        <f t="shared" si="12"/>
        <v/>
      </c>
      <c r="L71" s="90" t="str">
        <f>IF(_epmOfflineCondition_,"550550",_xll.EVPRO($B$1,H71,"JDEID"))</f>
        <v>550550</v>
      </c>
      <c r="M71" s="90" t="str">
        <f>IF(_epmOfflineCondition_,"307017",IF(AND(I71="N",J71="N"),_xll.EVPRO($B$1,H71,"PSFTID"),""))</f>
        <v>307017</v>
      </c>
      <c r="N71" s="90" t="str">
        <f>IF(_epmOfflineCondition_,"Other 4 Cost of Sales",IF(_xll.EVDES(H71,$B$1)="#NODATA","",_xll.EVDES(H71,$B$1)))</f>
        <v>Other 4 Cost of Sales</v>
      </c>
      <c r="O71" s="143"/>
      <c r="P71" s="143"/>
      <c r="Q71" s="143"/>
      <c r="R71" s="143"/>
      <c r="S71" s="143"/>
      <c r="T71" s="143"/>
      <c r="U71" s="143"/>
      <c r="V71" s="143"/>
      <c r="W71" s="143"/>
      <c r="X71" s="143"/>
      <c r="Y71" s="143"/>
      <c r="Z71" s="143"/>
      <c r="AA71" s="250">
        <f t="shared" si="13"/>
        <v>0</v>
      </c>
      <c r="AB71" s="144" t="str">
        <f>IF(_epmOfflineCondition_,"",IF(AA71=0,"",IFERROR(AA71/_xll.EVGTS($B$1,1,_xll.EVPRO($B$1,$H71,"COSBASIS"),$B$3,$B$5,$B$6,$B$7,$B$9,AA$16,Z$17,AA$18),"")))</f>
        <v/>
      </c>
      <c r="AC71" s="140"/>
      <c r="AD71" s="143"/>
      <c r="AE71" s="144" t="str">
        <f>IF(_epmOfflineCondition_,"",IF(AD71=0,"",IFERROR(AD71/_xll.EVGTS($B$1,1,_xll.EVPRO($B$1,$H71,"COSBASIS"),$B$3,$B$5,$B$6,$B$7,$B$9,AD$16,AD$17,AD$18),"")))</f>
        <v/>
      </c>
      <c r="AF71" s="145">
        <f t="shared" si="14"/>
        <v>0</v>
      </c>
      <c r="AG71" s="143"/>
      <c r="AH71" s="144" t="str">
        <f>IF(_epmOfflineCondition_,"",IF(AG71=0,"",IFERROR(AG71/_xll.EVGTS($B$1,1,_xll.EVPRO($B$1,$H71,"COSBASIS"),$B$3,$B$5,$B$6,$B$7,$B$9,AG$16,AG$17,AG$18),"")))</f>
        <v/>
      </c>
      <c r="AI71" s="145">
        <f t="shared" si="15"/>
        <v>0</v>
      </c>
      <c r="AJ71" s="440">
        <f t="shared" si="16"/>
        <v>0</v>
      </c>
      <c r="AK71" s="441">
        <f t="shared" si="17"/>
        <v>0</v>
      </c>
      <c r="AL71" s="442">
        <f t="shared" si="18"/>
        <v>0</v>
      </c>
      <c r="AM71" s="443">
        <f t="shared" si="19"/>
        <v>0</v>
      </c>
      <c r="AN71" s="444">
        <f t="shared" si="20"/>
        <v>0</v>
      </c>
      <c r="AO71" s="11"/>
    </row>
    <row r="72" spans="1:41" x14ac:dyDescent="0.35">
      <c r="A72" s="65" t="s">
        <v>6</v>
      </c>
      <c r="B72" s="66"/>
      <c r="C72" s="11"/>
      <c r="D72" s="11"/>
      <c r="E72" s="11"/>
      <c r="F72" s="11"/>
      <c r="G72" s="11"/>
      <c r="H72" s="88" t="s">
        <v>448</v>
      </c>
      <c r="I72" s="122" t="str">
        <f>IF(_epmOfflineCondition_,"N",_xll.EVPRO($B$1,$H72,"STYLE"))</f>
        <v>N</v>
      </c>
      <c r="J72" s="122" t="str">
        <f>IF(_epmOfflineCondition_,"N",_xll.EVPRO($B$1,$H72,"CALC"))</f>
        <v>N</v>
      </c>
      <c r="K72" s="179" t="str">
        <f t="shared" si="12"/>
        <v/>
      </c>
      <c r="L72" s="90" t="str">
        <f>IF(_epmOfflineCondition_,"550600",_xll.EVPRO($B$1,H72,"JDEID"))</f>
        <v>550600</v>
      </c>
      <c r="M72" s="90" t="str">
        <f>IF(_epmOfflineCondition_,"307018",IF(AND(I72="N",J72="N"),_xll.EVPRO($B$1,H72,"PSFTID"),""))</f>
        <v>307018</v>
      </c>
      <c r="N72" s="90" t="str">
        <f>IF(_epmOfflineCondition_,"Other 5 Cost of Sales",IF(_xll.EVDES(H72,$B$1)="#NODATA","",_xll.EVDES(H72,$B$1)))</f>
        <v>Other 5 Cost of Sales</v>
      </c>
      <c r="O72" s="143"/>
      <c r="P72" s="143"/>
      <c r="Q72" s="143"/>
      <c r="R72" s="143"/>
      <c r="S72" s="143"/>
      <c r="T72" s="143"/>
      <c r="U72" s="143"/>
      <c r="V72" s="143"/>
      <c r="W72" s="143"/>
      <c r="X72" s="143"/>
      <c r="Y72" s="143"/>
      <c r="Z72" s="143"/>
      <c r="AA72" s="250">
        <f t="shared" si="13"/>
        <v>0</v>
      </c>
      <c r="AB72" s="144" t="str">
        <f>IF(_epmOfflineCondition_,"",IF(AA72=0,"",IFERROR(AA72/_xll.EVGTS($B$1,1,_xll.EVPRO($B$1,$H72,"COSBASIS"),$B$3,$B$5,$B$6,$B$7,$B$9,AA$16,Z$17,AA$18),"")))</f>
        <v/>
      </c>
      <c r="AC72" s="140"/>
      <c r="AD72" s="143"/>
      <c r="AE72" s="144" t="str">
        <f>IF(_epmOfflineCondition_,"",IF(AD72=0,"",IFERROR(AD72/_xll.EVGTS($B$1,1,_xll.EVPRO($B$1,$H72,"COSBASIS"),$B$3,$B$5,$B$6,$B$7,$B$9,AD$16,AD$17,AD$18),"")))</f>
        <v/>
      </c>
      <c r="AF72" s="145">
        <f t="shared" si="14"/>
        <v>0</v>
      </c>
      <c r="AG72" s="143"/>
      <c r="AH72" s="144" t="str">
        <f>IF(_epmOfflineCondition_,"",IF(AG72=0,"",IFERROR(AG72/_xll.EVGTS($B$1,1,_xll.EVPRO($B$1,$H72,"COSBASIS"),$B$3,$B$5,$B$6,$B$7,$B$9,AG$16,AG$17,AG$18),"")))</f>
        <v/>
      </c>
      <c r="AI72" s="145">
        <f t="shared" si="15"/>
        <v>0</v>
      </c>
      <c r="AJ72" s="440">
        <f t="shared" si="16"/>
        <v>0</v>
      </c>
      <c r="AK72" s="441">
        <f t="shared" si="17"/>
        <v>0</v>
      </c>
      <c r="AL72" s="442">
        <f t="shared" si="18"/>
        <v>0</v>
      </c>
      <c r="AM72" s="443">
        <f t="shared" si="19"/>
        <v>0</v>
      </c>
      <c r="AN72" s="444">
        <f t="shared" si="20"/>
        <v>0</v>
      </c>
      <c r="AO72" s="11"/>
    </row>
    <row r="73" spans="1:41" x14ac:dyDescent="0.35">
      <c r="A73" s="65" t="s">
        <v>7</v>
      </c>
      <c r="B73" s="66"/>
      <c r="C73" s="11"/>
      <c r="D73" s="11"/>
      <c r="E73" s="11"/>
      <c r="F73" s="11"/>
      <c r="G73" s="11"/>
      <c r="H73" s="88" t="s">
        <v>449</v>
      </c>
      <c r="I73" s="122" t="str">
        <f>IF(_epmOfflineCondition_,"N",_xll.EVPRO($B$1,$H73,"STYLE"))</f>
        <v>N</v>
      </c>
      <c r="J73" s="122" t="str">
        <f>IF(_epmOfflineCondition_,"N",_xll.EVPRO($B$1,$H73,"CALC"))</f>
        <v>N</v>
      </c>
      <c r="K73" s="179" t="str">
        <f t="shared" si="12"/>
        <v/>
      </c>
      <c r="L73" s="90" t="str">
        <f>IF(_epmOfflineCondition_,"550650",_xll.EVPRO($B$1,H73,"JDEID"))</f>
        <v>550650</v>
      </c>
      <c r="M73" s="90" t="str">
        <f>IF(_epmOfflineCondition_,"307019",IF(AND(I73="N",J73="N"),_xll.EVPRO($B$1,H73,"PSFTID"),""))</f>
        <v>307019</v>
      </c>
      <c r="N73" s="90" t="str">
        <f>IF(_epmOfflineCondition_,"Other 6 Cost of Sales",IF(_xll.EVDES(H73,$B$1)="#NODATA","",_xll.EVDES(H73,$B$1)))</f>
        <v>Other 6 Cost of Sales</v>
      </c>
      <c r="O73" s="217"/>
      <c r="P73" s="217"/>
      <c r="Q73" s="217"/>
      <c r="R73" s="217"/>
      <c r="S73" s="217"/>
      <c r="T73" s="217"/>
      <c r="U73" s="217"/>
      <c r="V73" s="217"/>
      <c r="W73" s="217"/>
      <c r="X73" s="217"/>
      <c r="Y73" s="217"/>
      <c r="Z73" s="217"/>
      <c r="AA73" s="251">
        <f t="shared" si="13"/>
        <v>0</v>
      </c>
      <c r="AB73" s="219" t="str">
        <f>IF(_epmOfflineCondition_,"",IF(AA73=0,"",IFERROR(AA73/_xll.EVGTS($B$1,1,_xll.EVPRO($B$1,$H73,"COSBASIS"),$B$3,$B$5,$B$6,$B$7,$B$9,AA$16,Z$17,AA$18),"")))</f>
        <v/>
      </c>
      <c r="AC73" s="140"/>
      <c r="AD73" s="217"/>
      <c r="AE73" s="219" t="str">
        <f>IF(_epmOfflineCondition_,"",IF(AD73=0,"",IFERROR(AD73/_xll.EVGTS($B$1,1,_xll.EVPRO($B$1,$H73,"COSBASIS"),$B$3,$B$5,$B$6,$B$7,$B$9,AD$16,AD$17,AD$18),"")))</f>
        <v/>
      </c>
      <c r="AF73" s="220">
        <f t="shared" si="14"/>
        <v>0</v>
      </c>
      <c r="AG73" s="217"/>
      <c r="AH73" s="219" t="str">
        <f>IF(_epmOfflineCondition_,"",IF(AG73=0,"",IFERROR(AG73/_xll.EVGTS($B$1,1,_xll.EVPRO($B$1,$H73,"COSBASIS"),$B$3,$B$5,$B$6,$B$7,$B$9,AG$16,AG$17,AG$18),"")))</f>
        <v/>
      </c>
      <c r="AI73" s="220">
        <f t="shared" si="15"/>
        <v>0</v>
      </c>
      <c r="AJ73" s="449">
        <f t="shared" si="16"/>
        <v>0</v>
      </c>
      <c r="AK73" s="450">
        <f t="shared" si="17"/>
        <v>0</v>
      </c>
      <c r="AL73" s="451">
        <f t="shared" si="18"/>
        <v>0</v>
      </c>
      <c r="AM73" s="452">
        <f t="shared" si="19"/>
        <v>0</v>
      </c>
      <c r="AN73" s="453">
        <f t="shared" si="20"/>
        <v>0</v>
      </c>
      <c r="AO73" s="11"/>
    </row>
    <row r="74" spans="1:41" x14ac:dyDescent="0.35">
      <c r="A74" s="65" t="s">
        <v>47</v>
      </c>
      <c r="B74" s="66" t="str">
        <f>IF(_epmOfflineCondition_,"'Minor_Op'!$A$79:$B$100",_xll.EVRNG($A$79:$B$100))</f>
        <v>'Minor_Op'!$A$79:$B$100</v>
      </c>
      <c r="C74" s="11"/>
      <c r="D74" s="11"/>
      <c r="E74" s="11"/>
      <c r="F74" s="11"/>
      <c r="G74" s="11"/>
      <c r="H74" s="88" t="s">
        <v>289</v>
      </c>
      <c r="I74" s="188" t="str">
        <f>IF(_epmOfflineCondition_,"T3",_xll.EVPRO($B$1,$H74,"STYLE"))</f>
        <v>T3</v>
      </c>
      <c r="J74" s="188" t="str">
        <f>IF(_epmOfflineCondition_,"Y",_xll.EVPRO($B$1,$H74,"CALC"))</f>
        <v>Y</v>
      </c>
      <c r="K74" s="189" t="str">
        <f t="shared" si="12"/>
        <v/>
      </c>
      <c r="L74" s="190" t="str">
        <f>IF(_epmOfflineCondition_,"500001",_xll.EVPRO($B$1,H74,"JDEID"))</f>
        <v>500001</v>
      </c>
      <c r="M74" s="190" t="str">
        <f>IF(_epmOfflineCondition_,"",IF(AND(I74="N",J74="N"),_xll.EVPRO($B$1,H74,"PSFTID"),""))</f>
        <v/>
      </c>
      <c r="N74" s="190" t="str">
        <f>IF(_epmOfflineCondition_,"Total Cost of Sales",IF(_xll.EVDES(H74,$B$1)="#NODATA","",_xll.EVDES(H74,$B$1)))</f>
        <v>Total Cost of Sales</v>
      </c>
      <c r="O74" s="225">
        <v>451.57</v>
      </c>
      <c r="P74" s="225">
        <v>474.45</v>
      </c>
      <c r="Q74" s="225">
        <v>173.26</v>
      </c>
      <c r="R74" s="225">
        <v>1264.83</v>
      </c>
      <c r="S74" s="225">
        <v>1699.08</v>
      </c>
      <c r="T74" s="225">
        <v>439.54</v>
      </c>
      <c r="U74" s="225">
        <v>634.97</v>
      </c>
      <c r="V74" s="225">
        <v>134.88999999999999</v>
      </c>
      <c r="W74" s="225">
        <v>1021.36</v>
      </c>
      <c r="X74" s="225">
        <v>200.75</v>
      </c>
      <c r="Y74" s="225">
        <v>542.35</v>
      </c>
      <c r="Z74" s="225">
        <v>2048</v>
      </c>
      <c r="AA74" s="225">
        <f t="shared" si="13"/>
        <v>9085.0499999999993</v>
      </c>
      <c r="AB74" s="226">
        <f>IF(_epmOfflineCondition_,0.463952588749275,IF(AA74=0,"",IFERROR(AA74/_xll.EVGTS($B$1,1,_xll.EVPRO($B$1,$H74,"COSBASIS"),$B$3,$B$5,$B$6,$B$7,$B$9,AA$16,Z$17,AA$18),"")))</f>
        <v>0.46395258874927497</v>
      </c>
      <c r="AC74" s="227"/>
      <c r="AD74" s="225">
        <v>5764.9657500000003</v>
      </c>
      <c r="AE74" s="226">
        <f>IF(_epmOfflineCondition_,0.365785714285714,IF(AD74=0,"",IFERROR(AD74/_xll.EVGTS($B$1,1,_xll.EVPRO($B$1,$H74,"COSBASIS"),$B$3,$B$5,$B$6,$B$7,$B$9,AD$16,AD$17,AD$18),"")))</f>
        <v>0.36578571428571399</v>
      </c>
      <c r="AF74" s="228">
        <f t="shared" si="14"/>
        <v>3320.084249999999</v>
      </c>
      <c r="AG74" s="225">
        <v>2745.9</v>
      </c>
      <c r="AH74" s="226">
        <f>IF(_epmOfflineCondition_,0.376108952294334,IF(AG74=0,"",IFERROR(AG74/_xll.EVGTS($B$1,1,_xll.EVPRO($B$1,$H74,"COSBASIS"),$B$3,$B$5,$B$6,$B$7,$B$9,AG$16,AG$17,AG$18),"")))</f>
        <v>0.376108952294334</v>
      </c>
      <c r="AI74" s="228">
        <f t="shared" si="15"/>
        <v>6339.15</v>
      </c>
      <c r="AJ74" s="229">
        <f t="shared" si="16"/>
        <v>0.2258895049603421</v>
      </c>
      <c r="AK74" s="230">
        <f t="shared" si="17"/>
        <v>0.15363000000000002</v>
      </c>
      <c r="AL74" s="232">
        <f t="shared" si="18"/>
        <v>0.13695261845386533</v>
      </c>
      <c r="AM74" s="427" t="str">
        <f t="shared" si="19"/>
        <v>9.82 pts.</v>
      </c>
      <c r="AN74" s="456" t="str">
        <f t="shared" si="20"/>
        <v>8.78 pts.</v>
      </c>
      <c r="AO74" s="11"/>
    </row>
    <row r="75" spans="1:41" x14ac:dyDescent="0.35">
      <c r="A75" s="65" t="s">
        <v>8</v>
      </c>
      <c r="B75" s="66"/>
      <c r="C75" s="11"/>
      <c r="D75" s="11"/>
      <c r="E75" s="11"/>
      <c r="F75" s="11"/>
      <c r="G75" s="11"/>
      <c r="H75" s="11"/>
      <c r="I75" s="11"/>
      <c r="J75" s="11"/>
      <c r="K75" s="11"/>
      <c r="L75" s="11"/>
      <c r="M75" s="11"/>
      <c r="N75" s="11"/>
      <c r="O75" s="203"/>
      <c r="P75" s="204"/>
      <c r="Q75" s="204"/>
      <c r="R75" s="204"/>
      <c r="S75" s="204"/>
      <c r="T75" s="204"/>
      <c r="U75" s="204"/>
      <c r="V75" s="204"/>
      <c r="W75" s="204"/>
      <c r="X75" s="204"/>
      <c r="Y75" s="204"/>
      <c r="Z75" s="204"/>
      <c r="AA75" s="204"/>
      <c r="AB75" s="118"/>
      <c r="AC75" s="11"/>
      <c r="AD75" s="203"/>
      <c r="AE75" s="204"/>
      <c r="AF75" s="118"/>
      <c r="AG75" s="203"/>
      <c r="AH75" s="204"/>
      <c r="AI75" s="118"/>
      <c r="AJ75" s="11"/>
      <c r="AK75" s="11"/>
      <c r="AL75" s="11"/>
      <c r="AM75" s="11"/>
      <c r="AN75" s="11"/>
      <c r="AO75" s="11"/>
    </row>
    <row r="76" spans="1:41" x14ac:dyDescent="0.35">
      <c r="A76" s="11"/>
      <c r="B76" s="11"/>
      <c r="C76" s="11"/>
      <c r="D76" s="11"/>
      <c r="E76" s="11"/>
      <c r="F76" s="11"/>
      <c r="G76" s="11"/>
      <c r="H76" s="11" t="s">
        <v>81</v>
      </c>
      <c r="I76" s="11" t="str">
        <f>IF(_epmOfflineCondition_,"T3",_xll.EVPRO($B$1,$H76,"STYLE"))</f>
        <v>T3</v>
      </c>
      <c r="J76" s="11" t="str">
        <f>IF(_epmOfflineCondition_,"Y",_xll.EVPRO($B$1,$H76,"CALC"))</f>
        <v>Y</v>
      </c>
      <c r="K76" s="11"/>
      <c r="L76" s="11"/>
      <c r="M76" s="11"/>
      <c r="N76" s="105" t="str">
        <f>IF(_epmOfflineCondition_,"Department Profit (Loss)",IF(_xll.EVDES(H76,$B$1)="#NODATA","",_xll.EVDES(H76,$B$1)))</f>
        <v>Department Profit (Loss)</v>
      </c>
      <c r="O76" s="203"/>
      <c r="P76" s="204"/>
      <c r="Q76" s="204"/>
      <c r="R76" s="204"/>
      <c r="S76" s="204"/>
      <c r="T76" s="204"/>
      <c r="U76" s="204"/>
      <c r="V76" s="204"/>
      <c r="W76" s="204"/>
      <c r="X76" s="204"/>
      <c r="Y76" s="204"/>
      <c r="Z76" s="204"/>
      <c r="AA76" s="204"/>
      <c r="AB76" s="118"/>
      <c r="AC76" s="11"/>
      <c r="AD76" s="203"/>
      <c r="AE76" s="204"/>
      <c r="AF76" s="118"/>
      <c r="AG76" s="203"/>
      <c r="AH76" s="204"/>
      <c r="AI76" s="118"/>
      <c r="AJ76" s="11"/>
      <c r="AK76" s="11"/>
      <c r="AL76" s="11"/>
      <c r="AM76" s="11"/>
      <c r="AN76" s="11"/>
      <c r="AO76" s="11"/>
    </row>
    <row r="77" spans="1:41" x14ac:dyDescent="0.35">
      <c r="A77" s="11"/>
      <c r="B77" s="11"/>
      <c r="C77" s="11"/>
      <c r="D77" s="11"/>
      <c r="E77" s="11"/>
      <c r="F77" s="11"/>
      <c r="G77" s="11" t="s">
        <v>450</v>
      </c>
      <c r="H77" s="88" t="s">
        <v>424</v>
      </c>
      <c r="I77" s="122" t="str">
        <f>IF(_epmOfflineCondition_,"T5",_xll.EVPRO($B$1,$H77,"STYLE"))</f>
        <v>T5</v>
      </c>
      <c r="J77" s="122" t="str">
        <f>IF(_epmOfflineCondition_,"Y",_xll.EVPRO($B$1,$H77,"CALC"))</f>
        <v>Y</v>
      </c>
      <c r="K77" s="90"/>
      <c r="L77" s="90"/>
      <c r="M77" s="90"/>
      <c r="N77" s="90" t="str">
        <f t="shared" ref="N77:N94" si="21">G77</f>
        <v>Guest Communication</v>
      </c>
      <c r="O77" s="143">
        <f t="shared" ref="O77:Z77" si="22">IFERROR(O34-O56,"")</f>
        <v>132.49</v>
      </c>
      <c r="P77" s="143">
        <f t="shared" si="22"/>
        <v>129.54</v>
      </c>
      <c r="Q77" s="143">
        <f t="shared" si="22"/>
        <v>453.35</v>
      </c>
      <c r="R77" s="143">
        <f t="shared" si="22"/>
        <v>229.42000000000002</v>
      </c>
      <c r="S77" s="143">
        <f t="shared" si="22"/>
        <v>399.38</v>
      </c>
      <c r="T77" s="143">
        <f t="shared" si="22"/>
        <v>219.75</v>
      </c>
      <c r="U77" s="143">
        <f t="shared" si="22"/>
        <v>608.98</v>
      </c>
      <c r="V77" s="143">
        <f t="shared" si="22"/>
        <v>131.94</v>
      </c>
      <c r="W77" s="143">
        <f t="shared" si="22"/>
        <v>984.13000000000011</v>
      </c>
      <c r="X77" s="143">
        <f t="shared" si="22"/>
        <v>590.04</v>
      </c>
      <c r="Y77" s="143">
        <f t="shared" si="22"/>
        <v>212.32999999999998</v>
      </c>
      <c r="Z77" s="143">
        <f t="shared" si="22"/>
        <v>327.79999999999995</v>
      </c>
      <c r="AA77" s="250">
        <f t="shared" ref="AA77:AA96" si="23">IF($I77="B1","",SUM(O77:Z77))</f>
        <v>4419.1499999999996</v>
      </c>
      <c r="AB77" s="144">
        <f t="shared" ref="AB77:AB94" si="24">IF(AA77=0,"",IFERROR(AA77/AA34,""))</f>
        <v>0.65713733391822859</v>
      </c>
      <c r="AC77" s="140"/>
      <c r="AD77" s="143">
        <f t="shared" ref="AD77:AD94" si="25">IFERROR(AD34-AD56,"")</f>
        <v>1421.0717500000001</v>
      </c>
      <c r="AE77" s="144">
        <f t="shared" ref="AE77:AE94" si="26">IF(AD77=0,"",IFERROR(AD77/AD34,""))</f>
        <v>0.54100000000000004</v>
      </c>
      <c r="AF77" s="145">
        <f t="shared" ref="AF77:AF96" si="27">IF(AND($AA77="",AD77=""),"",$AA77-AD77)</f>
        <v>2998.0782499999996</v>
      </c>
      <c r="AG77" s="143">
        <f t="shared" ref="AG77:AG94" si="28">IFERROR(AG34-AG56,"")</f>
        <v>1240.5900000000001</v>
      </c>
      <c r="AH77" s="144">
        <f t="shared" ref="AH77:AH94" si="29">IF(AG77=0,"",IFERROR(AG77/AG34,""))</f>
        <v>0.74392401192110968</v>
      </c>
      <c r="AI77" s="145">
        <f t="shared" ref="AI77:AI96" si="30">IF(AND($AA77="",AG77=""),"",$AA77-AG77)</f>
        <v>3178.5599999999995</v>
      </c>
      <c r="AJ77" s="440">
        <f t="shared" ref="AJ77:AJ96" si="31">IFERROR(AA77/AA$20,0)</f>
        <v>0.10987717248066833</v>
      </c>
      <c r="AK77" s="441">
        <f t="shared" ref="AK77:AK96" si="32">IFERROR(AD77/AD$20,0)</f>
        <v>3.7870000000000001E-2</v>
      </c>
      <c r="AL77" s="442">
        <f t="shared" ref="AL77:AL96" si="33">IFERROR(AG77/AG$20,0)</f>
        <v>6.1874812967581051E-2</v>
      </c>
      <c r="AM77" s="443" t="str">
        <f t="shared" ref="AM77:AM96" si="34">+IFERROR(ROUND(($AB77-AE77)*100,2)&amp;" pts.",0)</f>
        <v>11.61 pts.</v>
      </c>
      <c r="AN77" s="444" t="str">
        <f t="shared" ref="AN77:AN96" si="35">+IFERROR(ROUND(($AB77-AH77)*100,2)&amp;" pts.",0)</f>
        <v>-8.68 pts.</v>
      </c>
      <c r="AO77" s="11"/>
    </row>
    <row r="78" spans="1:41" x14ac:dyDescent="0.35">
      <c r="A78" s="62" t="s">
        <v>23</v>
      </c>
      <c r="B78" s="63" t="s">
        <v>24</v>
      </c>
      <c r="C78" s="11"/>
      <c r="D78" s="11"/>
      <c r="E78" s="11"/>
      <c r="F78" s="11"/>
      <c r="G78" s="11" t="s">
        <v>451</v>
      </c>
      <c r="H78" s="88" t="s">
        <v>425</v>
      </c>
      <c r="I78" s="122" t="str">
        <f>IF(_epmOfflineCondition_,"T5",_xll.EVPRO($B$1,$H78,"STYLE"))</f>
        <v>T5</v>
      </c>
      <c r="J78" s="122" t="str">
        <f>IF(_epmOfflineCondition_,"Y",_xll.EVPRO($B$1,$H78,"CALC"))</f>
        <v>Y</v>
      </c>
      <c r="K78" s="90"/>
      <c r="L78" s="90"/>
      <c r="M78" s="90"/>
      <c r="N78" s="90" t="str">
        <f t="shared" si="21"/>
        <v>Movie</v>
      </c>
      <c r="O78" s="143">
        <f t="shared" ref="O78:Z78" si="36">IFERROR(O35-O57,"")</f>
        <v>0</v>
      </c>
      <c r="P78" s="143">
        <f t="shared" si="36"/>
        <v>0</v>
      </c>
      <c r="Q78" s="143">
        <f t="shared" si="36"/>
        <v>0</v>
      </c>
      <c r="R78" s="143">
        <f t="shared" si="36"/>
        <v>0</v>
      </c>
      <c r="S78" s="143">
        <f t="shared" si="36"/>
        <v>0</v>
      </c>
      <c r="T78" s="143">
        <f t="shared" si="36"/>
        <v>0</v>
      </c>
      <c r="U78" s="143">
        <f t="shared" si="36"/>
        <v>0</v>
      </c>
      <c r="V78" s="143">
        <f t="shared" si="36"/>
        <v>0</v>
      </c>
      <c r="W78" s="143">
        <f t="shared" si="36"/>
        <v>0</v>
      </c>
      <c r="X78" s="143">
        <f t="shared" si="36"/>
        <v>0</v>
      </c>
      <c r="Y78" s="143">
        <f t="shared" si="36"/>
        <v>0</v>
      </c>
      <c r="Z78" s="143">
        <f t="shared" si="36"/>
        <v>0</v>
      </c>
      <c r="AA78" s="250">
        <f t="shared" si="23"/>
        <v>0</v>
      </c>
      <c r="AB78" s="144" t="str">
        <f t="shared" si="24"/>
        <v/>
      </c>
      <c r="AC78" s="140"/>
      <c r="AD78" s="143">
        <f t="shared" si="25"/>
        <v>0</v>
      </c>
      <c r="AE78" s="144" t="str">
        <f t="shared" si="26"/>
        <v/>
      </c>
      <c r="AF78" s="145">
        <f t="shared" si="27"/>
        <v>0</v>
      </c>
      <c r="AG78" s="143">
        <f t="shared" si="28"/>
        <v>0</v>
      </c>
      <c r="AH78" s="144" t="str">
        <f t="shared" si="29"/>
        <v/>
      </c>
      <c r="AI78" s="145">
        <f t="shared" si="30"/>
        <v>0</v>
      </c>
      <c r="AJ78" s="440">
        <f t="shared" si="31"/>
        <v>0</v>
      </c>
      <c r="AK78" s="441">
        <f t="shared" si="32"/>
        <v>0</v>
      </c>
      <c r="AL78" s="442">
        <f t="shared" si="33"/>
        <v>0</v>
      </c>
      <c r="AM78" s="443">
        <f t="shared" si="34"/>
        <v>0</v>
      </c>
      <c r="AN78" s="444">
        <f t="shared" si="35"/>
        <v>0</v>
      </c>
      <c r="AO78" s="11"/>
    </row>
    <row r="79" spans="1:41" x14ac:dyDescent="0.35">
      <c r="A79" s="65" t="s">
        <v>25</v>
      </c>
      <c r="B79" s="66"/>
      <c r="C79" s="11"/>
      <c r="D79" s="11"/>
      <c r="E79" s="11"/>
      <c r="F79" s="11"/>
      <c r="G79" s="11" t="s">
        <v>452</v>
      </c>
      <c r="H79" s="88" t="s">
        <v>426</v>
      </c>
      <c r="I79" s="122" t="str">
        <f>IF(_epmOfflineCondition_,"T5",_xll.EVPRO($B$1,$H79,"STYLE"))</f>
        <v>T5</v>
      </c>
      <c r="J79" s="122" t="str">
        <f>IF(_epmOfflineCondition_,"Y",_xll.EVPRO($B$1,$H79,"CALC"))</f>
        <v>Y</v>
      </c>
      <c r="K79" s="90"/>
      <c r="L79" s="90"/>
      <c r="M79" s="90"/>
      <c r="N79" s="90" t="str">
        <f t="shared" si="21"/>
        <v>Guest Laundry</v>
      </c>
      <c r="O79" s="143">
        <f t="shared" ref="O79:Z79" si="37">IFERROR(O36-O58,"")</f>
        <v>145.53000000000003</v>
      </c>
      <c r="P79" s="143">
        <f t="shared" si="37"/>
        <v>0</v>
      </c>
      <c r="Q79" s="143">
        <f t="shared" si="37"/>
        <v>-118.80999999999999</v>
      </c>
      <c r="R79" s="143">
        <f t="shared" si="37"/>
        <v>402.17999999999984</v>
      </c>
      <c r="S79" s="143">
        <f t="shared" si="37"/>
        <v>346.12000000000012</v>
      </c>
      <c r="T79" s="143">
        <f t="shared" si="37"/>
        <v>93.78</v>
      </c>
      <c r="U79" s="143">
        <f t="shared" si="37"/>
        <v>-937.75</v>
      </c>
      <c r="V79" s="143">
        <f t="shared" si="37"/>
        <v>-678.84</v>
      </c>
      <c r="W79" s="143">
        <f t="shared" si="37"/>
        <v>13.089999999999975</v>
      </c>
      <c r="X79" s="143">
        <f t="shared" si="37"/>
        <v>74.25</v>
      </c>
      <c r="Y79" s="143">
        <f t="shared" si="37"/>
        <v>133.64999999999998</v>
      </c>
      <c r="Z79" s="143">
        <f t="shared" si="37"/>
        <v>414.44999999999982</v>
      </c>
      <c r="AA79" s="250">
        <f t="shared" si="23"/>
        <v>-112.35000000000025</v>
      </c>
      <c r="AB79" s="144">
        <f t="shared" si="24"/>
        <v>-1.6851657417129181E-2</v>
      </c>
      <c r="AC79" s="140"/>
      <c r="AD79" s="143">
        <f t="shared" si="25"/>
        <v>1069.4624999999996</v>
      </c>
      <c r="AE79" s="144">
        <f t="shared" si="26"/>
        <v>0.18999999999999995</v>
      </c>
      <c r="AF79" s="145">
        <f t="shared" si="27"/>
        <v>-1181.8125</v>
      </c>
      <c r="AG79" s="143">
        <f t="shared" si="28"/>
        <v>575.31999999999971</v>
      </c>
      <c r="AH79" s="144">
        <f t="shared" si="29"/>
        <v>0.1987851481248574</v>
      </c>
      <c r="AI79" s="145">
        <f t="shared" si="30"/>
        <v>-687.67</v>
      </c>
      <c r="AJ79" s="440">
        <f t="shared" si="31"/>
        <v>-2.7934558293344004E-3</v>
      </c>
      <c r="AK79" s="441">
        <f t="shared" si="32"/>
        <v>2.8499999999999991E-2</v>
      </c>
      <c r="AL79" s="442">
        <f t="shared" si="33"/>
        <v>2.8694264339152106E-2</v>
      </c>
      <c r="AM79" s="443" t="str">
        <f t="shared" si="34"/>
        <v>-20.69 pts.</v>
      </c>
      <c r="AN79" s="444" t="str">
        <f t="shared" si="35"/>
        <v>-21.56 pts.</v>
      </c>
      <c r="AO79" s="11"/>
    </row>
    <row r="80" spans="1:41" x14ac:dyDescent="0.35">
      <c r="A80" s="65" t="s">
        <v>26</v>
      </c>
      <c r="B80" s="66"/>
      <c r="C80" s="11"/>
      <c r="D80" s="11"/>
      <c r="E80" s="11"/>
      <c r="F80" s="11"/>
      <c r="G80" s="11" t="s">
        <v>453</v>
      </c>
      <c r="H80" s="88" t="s">
        <v>427</v>
      </c>
      <c r="I80" s="122" t="str">
        <f>IF(_epmOfflineCondition_,"T5",_xll.EVPRO($B$1,$H80,"STYLE"))</f>
        <v>T5</v>
      </c>
      <c r="J80" s="122" t="str">
        <f>IF(_epmOfflineCondition_,"Y",_xll.EVPRO($B$1,$H80,"CALC"))</f>
        <v>Y</v>
      </c>
      <c r="K80" s="90"/>
      <c r="L80" s="90"/>
      <c r="M80" s="90"/>
      <c r="N80" s="90" t="str">
        <f t="shared" si="21"/>
        <v>In Room Fax</v>
      </c>
      <c r="O80" s="143">
        <f t="shared" ref="O80:Z80" si="38">IFERROR(O37-O59,"")</f>
        <v>0</v>
      </c>
      <c r="P80" s="143">
        <f t="shared" si="38"/>
        <v>0</v>
      </c>
      <c r="Q80" s="143">
        <f t="shared" si="38"/>
        <v>0</v>
      </c>
      <c r="R80" s="143">
        <f t="shared" si="38"/>
        <v>0</v>
      </c>
      <c r="S80" s="143">
        <f t="shared" si="38"/>
        <v>0</v>
      </c>
      <c r="T80" s="143">
        <f t="shared" si="38"/>
        <v>0</v>
      </c>
      <c r="U80" s="143">
        <f t="shared" si="38"/>
        <v>0</v>
      </c>
      <c r="V80" s="143">
        <f t="shared" si="38"/>
        <v>0</v>
      </c>
      <c r="W80" s="143">
        <f t="shared" si="38"/>
        <v>0</v>
      </c>
      <c r="X80" s="143">
        <f t="shared" si="38"/>
        <v>0</v>
      </c>
      <c r="Y80" s="143">
        <f t="shared" si="38"/>
        <v>0</v>
      </c>
      <c r="Z80" s="143">
        <f t="shared" si="38"/>
        <v>0</v>
      </c>
      <c r="AA80" s="250">
        <f t="shared" si="23"/>
        <v>0</v>
      </c>
      <c r="AB80" s="144" t="str">
        <f t="shared" si="24"/>
        <v/>
      </c>
      <c r="AC80" s="140"/>
      <c r="AD80" s="143">
        <f t="shared" si="25"/>
        <v>0</v>
      </c>
      <c r="AE80" s="144" t="str">
        <f t="shared" si="26"/>
        <v/>
      </c>
      <c r="AF80" s="145">
        <f t="shared" si="27"/>
        <v>0</v>
      </c>
      <c r="AG80" s="143">
        <f t="shared" si="28"/>
        <v>0</v>
      </c>
      <c r="AH80" s="144" t="str">
        <f t="shared" si="29"/>
        <v/>
      </c>
      <c r="AI80" s="145">
        <f t="shared" si="30"/>
        <v>0</v>
      </c>
      <c r="AJ80" s="440">
        <f t="shared" si="31"/>
        <v>0</v>
      </c>
      <c r="AK80" s="441">
        <f t="shared" si="32"/>
        <v>0</v>
      </c>
      <c r="AL80" s="442">
        <f t="shared" si="33"/>
        <v>0</v>
      </c>
      <c r="AM80" s="443">
        <f t="shared" si="34"/>
        <v>0</v>
      </c>
      <c r="AN80" s="444">
        <f t="shared" si="35"/>
        <v>0</v>
      </c>
      <c r="AO80" s="11"/>
    </row>
    <row r="81" spans="1:41" x14ac:dyDescent="0.35">
      <c r="A81" s="65" t="s">
        <v>27</v>
      </c>
      <c r="B81" s="66"/>
      <c r="C81" s="11"/>
      <c r="D81" s="11"/>
      <c r="E81" s="11"/>
      <c r="F81" s="11"/>
      <c r="G81" s="11" t="s">
        <v>454</v>
      </c>
      <c r="H81" s="88" t="s">
        <v>428</v>
      </c>
      <c r="I81" s="122" t="str">
        <f>IF(_epmOfflineCondition_,"T5",_xll.EVPRO($B$1,$H81,"STYLE"))</f>
        <v>T5</v>
      </c>
      <c r="J81" s="122" t="str">
        <f>IF(_epmOfflineCondition_,"Y",_xll.EVPRO($B$1,$H81,"CALC"))</f>
        <v>Y</v>
      </c>
      <c r="K81" s="90"/>
      <c r="L81" s="90"/>
      <c r="M81" s="90"/>
      <c r="N81" s="90" t="str">
        <f t="shared" si="21"/>
        <v>In Room Items</v>
      </c>
      <c r="O81" s="143">
        <f t="shared" ref="O81:Z81" si="39">IFERROR(O38-O60,"")</f>
        <v>95</v>
      </c>
      <c r="P81" s="143">
        <f t="shared" si="39"/>
        <v>225</v>
      </c>
      <c r="Q81" s="143">
        <f t="shared" si="39"/>
        <v>165</v>
      </c>
      <c r="R81" s="143">
        <f t="shared" si="39"/>
        <v>915</v>
      </c>
      <c r="S81" s="143">
        <f t="shared" si="39"/>
        <v>770</v>
      </c>
      <c r="T81" s="143">
        <f t="shared" si="39"/>
        <v>270</v>
      </c>
      <c r="U81" s="143">
        <f t="shared" si="39"/>
        <v>775</v>
      </c>
      <c r="V81" s="143">
        <f t="shared" si="39"/>
        <v>475</v>
      </c>
      <c r="W81" s="143">
        <f t="shared" si="39"/>
        <v>705</v>
      </c>
      <c r="X81" s="143">
        <f t="shared" si="39"/>
        <v>580</v>
      </c>
      <c r="Y81" s="143">
        <f t="shared" si="39"/>
        <v>655</v>
      </c>
      <c r="Z81" s="143">
        <f t="shared" si="39"/>
        <v>465</v>
      </c>
      <c r="AA81" s="250">
        <f t="shared" si="23"/>
        <v>6095</v>
      </c>
      <c r="AB81" s="144">
        <f t="shared" si="24"/>
        <v>1</v>
      </c>
      <c r="AC81" s="140"/>
      <c r="AD81" s="143">
        <f t="shared" si="25"/>
        <v>7505</v>
      </c>
      <c r="AE81" s="144">
        <f t="shared" si="26"/>
        <v>1</v>
      </c>
      <c r="AF81" s="145">
        <f t="shared" si="27"/>
        <v>-1410</v>
      </c>
      <c r="AG81" s="143">
        <f t="shared" si="28"/>
        <v>2589</v>
      </c>
      <c r="AH81" s="144">
        <f t="shared" si="29"/>
        <v>1</v>
      </c>
      <c r="AI81" s="145">
        <f t="shared" si="30"/>
        <v>3506</v>
      </c>
      <c r="AJ81" s="440">
        <f t="shared" si="31"/>
        <v>0.15154528953976976</v>
      </c>
      <c r="AK81" s="441">
        <f t="shared" si="32"/>
        <v>0.2</v>
      </c>
      <c r="AL81" s="442">
        <f t="shared" si="33"/>
        <v>0.12912718204488777</v>
      </c>
      <c r="AM81" s="443" t="str">
        <f t="shared" si="34"/>
        <v>0 pts.</v>
      </c>
      <c r="AN81" s="444" t="str">
        <f t="shared" si="35"/>
        <v>0 pts.</v>
      </c>
      <c r="AO81" s="11"/>
    </row>
    <row r="82" spans="1:41" x14ac:dyDescent="0.35">
      <c r="A82" s="65" t="s">
        <v>28</v>
      </c>
      <c r="B82" s="66"/>
      <c r="C82" s="11"/>
      <c r="D82" s="11"/>
      <c r="E82" s="11"/>
      <c r="F82" s="11"/>
      <c r="G82" s="11" t="s">
        <v>455</v>
      </c>
      <c r="H82" s="88" t="s">
        <v>429</v>
      </c>
      <c r="I82" s="122" t="str">
        <f>IF(_epmOfflineCondition_,"T5",_xll.EVPRO($B$1,$H82,"STYLE"))</f>
        <v>T5</v>
      </c>
      <c r="J82" s="122" t="str">
        <f>IF(_epmOfflineCondition_,"Y",_xll.EVPRO($B$1,$H82,"CALC"))</f>
        <v>Y</v>
      </c>
      <c r="K82" s="90"/>
      <c r="L82" s="90"/>
      <c r="M82" s="90"/>
      <c r="N82" s="90" t="str">
        <f t="shared" si="21"/>
        <v>Massage</v>
      </c>
      <c r="O82" s="143">
        <f t="shared" ref="O82:Z82" si="40">IFERROR(O39-O61,"")</f>
        <v>0</v>
      </c>
      <c r="P82" s="143">
        <f t="shared" si="40"/>
        <v>0</v>
      </c>
      <c r="Q82" s="143">
        <f t="shared" si="40"/>
        <v>0</v>
      </c>
      <c r="R82" s="143">
        <f t="shared" si="40"/>
        <v>0</v>
      </c>
      <c r="S82" s="143">
        <f t="shared" si="40"/>
        <v>0</v>
      </c>
      <c r="T82" s="143">
        <f t="shared" si="40"/>
        <v>0</v>
      </c>
      <c r="U82" s="143">
        <f t="shared" si="40"/>
        <v>0</v>
      </c>
      <c r="V82" s="143">
        <f t="shared" si="40"/>
        <v>0</v>
      </c>
      <c r="W82" s="143">
        <f t="shared" si="40"/>
        <v>0</v>
      </c>
      <c r="X82" s="143">
        <f t="shared" si="40"/>
        <v>0</v>
      </c>
      <c r="Y82" s="143">
        <f t="shared" si="40"/>
        <v>0</v>
      </c>
      <c r="Z82" s="143">
        <f t="shared" si="40"/>
        <v>0</v>
      </c>
      <c r="AA82" s="250">
        <f t="shared" si="23"/>
        <v>0</v>
      </c>
      <c r="AB82" s="144" t="str">
        <f t="shared" si="24"/>
        <v/>
      </c>
      <c r="AC82" s="140"/>
      <c r="AD82" s="143">
        <f t="shared" si="25"/>
        <v>0</v>
      </c>
      <c r="AE82" s="144" t="str">
        <f t="shared" si="26"/>
        <v/>
      </c>
      <c r="AF82" s="145">
        <f t="shared" si="27"/>
        <v>0</v>
      </c>
      <c r="AG82" s="143">
        <f t="shared" si="28"/>
        <v>0</v>
      </c>
      <c r="AH82" s="144" t="str">
        <f t="shared" si="29"/>
        <v/>
      </c>
      <c r="AI82" s="145">
        <f t="shared" si="30"/>
        <v>0</v>
      </c>
      <c r="AJ82" s="440">
        <f t="shared" si="31"/>
        <v>0</v>
      </c>
      <c r="AK82" s="441">
        <f t="shared" si="32"/>
        <v>0</v>
      </c>
      <c r="AL82" s="442">
        <f t="shared" si="33"/>
        <v>0</v>
      </c>
      <c r="AM82" s="443">
        <f t="shared" si="34"/>
        <v>0</v>
      </c>
      <c r="AN82" s="444">
        <f t="shared" si="35"/>
        <v>0</v>
      </c>
      <c r="AO82" s="11"/>
    </row>
    <row r="83" spans="1:41" x14ac:dyDescent="0.35">
      <c r="A83" s="65" t="s">
        <v>29</v>
      </c>
      <c r="B83" s="66"/>
      <c r="C83" s="11"/>
      <c r="D83" s="11"/>
      <c r="E83" s="11"/>
      <c r="F83" s="11"/>
      <c r="G83" s="11" t="s">
        <v>487</v>
      </c>
      <c r="H83" s="88" t="s">
        <v>430</v>
      </c>
      <c r="I83" s="122" t="str">
        <f>IF(_epmOfflineCondition_,"T5",_xll.EVPRO($B$1,$H83,"STYLE"))</f>
        <v>T5</v>
      </c>
      <c r="J83" s="122" t="str">
        <f>IF(_epmOfflineCondition_,"Y",_xll.EVPRO($B$1,$H83,"CALC"))</f>
        <v>Y</v>
      </c>
      <c r="K83" s="90"/>
      <c r="L83" s="90"/>
      <c r="M83" s="90"/>
      <c r="N83" s="90" t="str">
        <f t="shared" si="21"/>
        <v>Gym Pass</v>
      </c>
      <c r="O83" s="143">
        <f t="shared" ref="O83:Z83" si="41">IFERROR(O40-O62,"")</f>
        <v>0</v>
      </c>
      <c r="P83" s="143">
        <f t="shared" si="41"/>
        <v>0</v>
      </c>
      <c r="Q83" s="143">
        <f t="shared" si="41"/>
        <v>0</v>
      </c>
      <c r="R83" s="143">
        <f t="shared" si="41"/>
        <v>0</v>
      </c>
      <c r="S83" s="143">
        <f t="shared" si="41"/>
        <v>0</v>
      </c>
      <c r="T83" s="143">
        <f t="shared" si="41"/>
        <v>0</v>
      </c>
      <c r="U83" s="143">
        <f t="shared" si="41"/>
        <v>0</v>
      </c>
      <c r="V83" s="143">
        <f t="shared" si="41"/>
        <v>0</v>
      </c>
      <c r="W83" s="143">
        <f t="shared" si="41"/>
        <v>0</v>
      </c>
      <c r="X83" s="143">
        <f t="shared" si="41"/>
        <v>0</v>
      </c>
      <c r="Y83" s="143">
        <f t="shared" si="41"/>
        <v>0</v>
      </c>
      <c r="Z83" s="143">
        <f t="shared" si="41"/>
        <v>0</v>
      </c>
      <c r="AA83" s="250">
        <f t="shared" si="23"/>
        <v>0</v>
      </c>
      <c r="AB83" s="144" t="str">
        <f t="shared" si="24"/>
        <v/>
      </c>
      <c r="AC83" s="140"/>
      <c r="AD83" s="143">
        <f t="shared" si="25"/>
        <v>0</v>
      </c>
      <c r="AE83" s="144" t="str">
        <f t="shared" si="26"/>
        <v/>
      </c>
      <c r="AF83" s="145">
        <f t="shared" si="27"/>
        <v>0</v>
      </c>
      <c r="AG83" s="143">
        <f t="shared" si="28"/>
        <v>0</v>
      </c>
      <c r="AH83" s="144" t="str">
        <f t="shared" si="29"/>
        <v/>
      </c>
      <c r="AI83" s="145">
        <f t="shared" si="30"/>
        <v>0</v>
      </c>
      <c r="AJ83" s="440">
        <f t="shared" si="31"/>
        <v>0</v>
      </c>
      <c r="AK83" s="441">
        <f t="shared" si="32"/>
        <v>0</v>
      </c>
      <c r="AL83" s="442">
        <f t="shared" si="33"/>
        <v>0</v>
      </c>
      <c r="AM83" s="443">
        <f t="shared" si="34"/>
        <v>0</v>
      </c>
      <c r="AN83" s="444">
        <f t="shared" si="35"/>
        <v>0</v>
      </c>
      <c r="AO83" s="11"/>
    </row>
    <row r="84" spans="1:41" x14ac:dyDescent="0.35">
      <c r="A84" s="65" t="s">
        <v>30</v>
      </c>
      <c r="B84" s="66" t="s">
        <v>78</v>
      </c>
      <c r="C84" s="11"/>
      <c r="D84" s="11"/>
      <c r="E84" s="11"/>
      <c r="F84" s="11"/>
      <c r="G84" s="11" t="s">
        <v>488</v>
      </c>
      <c r="H84" s="88" t="s">
        <v>475</v>
      </c>
      <c r="I84" s="122" t="str">
        <f>IF(_epmOfflineCondition_,"N",_xll.EVPRO($B$1,$H84,"STYLE"))</f>
        <v>N</v>
      </c>
      <c r="J84" s="122" t="str">
        <f>IF(_epmOfflineCondition_,"N",_xll.EVPRO($B$1,$H84,"CALC"))</f>
        <v>N</v>
      </c>
      <c r="K84" s="90"/>
      <c r="L84" s="90"/>
      <c r="M84" s="90"/>
      <c r="N84" s="90" t="str">
        <f t="shared" si="21"/>
        <v>Shared Facilities &amp; Services</v>
      </c>
      <c r="O84" s="143">
        <f t="shared" ref="O84:Z84" si="42">IFERROR(O41-O63,"")</f>
        <v>0</v>
      </c>
      <c r="P84" s="143">
        <f t="shared" si="42"/>
        <v>0</v>
      </c>
      <c r="Q84" s="143">
        <f t="shared" si="42"/>
        <v>0</v>
      </c>
      <c r="R84" s="143">
        <f t="shared" si="42"/>
        <v>0</v>
      </c>
      <c r="S84" s="143">
        <f t="shared" si="42"/>
        <v>0</v>
      </c>
      <c r="T84" s="143">
        <f t="shared" si="42"/>
        <v>0</v>
      </c>
      <c r="U84" s="143">
        <f t="shared" si="42"/>
        <v>0</v>
      </c>
      <c r="V84" s="143">
        <f t="shared" si="42"/>
        <v>0</v>
      </c>
      <c r="W84" s="143">
        <f t="shared" si="42"/>
        <v>0</v>
      </c>
      <c r="X84" s="143">
        <f t="shared" si="42"/>
        <v>0</v>
      </c>
      <c r="Y84" s="143">
        <f t="shared" si="42"/>
        <v>0</v>
      </c>
      <c r="Z84" s="143">
        <f t="shared" si="42"/>
        <v>0</v>
      </c>
      <c r="AA84" s="250">
        <f t="shared" si="23"/>
        <v>0</v>
      </c>
      <c r="AB84" s="144" t="str">
        <f t="shared" si="24"/>
        <v/>
      </c>
      <c r="AC84" s="140"/>
      <c r="AD84" s="143">
        <f t="shared" si="25"/>
        <v>0</v>
      </c>
      <c r="AE84" s="144" t="str">
        <f t="shared" si="26"/>
        <v/>
      </c>
      <c r="AF84" s="145">
        <f t="shared" si="27"/>
        <v>0</v>
      </c>
      <c r="AG84" s="143">
        <f t="shared" si="28"/>
        <v>0</v>
      </c>
      <c r="AH84" s="144" t="str">
        <f t="shared" si="29"/>
        <v/>
      </c>
      <c r="AI84" s="145">
        <f t="shared" si="30"/>
        <v>0</v>
      </c>
      <c r="AJ84" s="440">
        <f t="shared" si="31"/>
        <v>0</v>
      </c>
      <c r="AK84" s="441">
        <f t="shared" si="32"/>
        <v>0</v>
      </c>
      <c r="AL84" s="442">
        <f t="shared" si="33"/>
        <v>0</v>
      </c>
      <c r="AM84" s="443">
        <f t="shared" si="34"/>
        <v>0</v>
      </c>
      <c r="AN84" s="444">
        <f t="shared" si="35"/>
        <v>0</v>
      </c>
      <c r="AO84" s="11"/>
    </row>
    <row r="85" spans="1:41" x14ac:dyDescent="0.35">
      <c r="A85" s="65" t="s">
        <v>31</v>
      </c>
      <c r="B85" s="66" t="s">
        <v>78</v>
      </c>
      <c r="C85" s="11"/>
      <c r="D85" s="11"/>
      <c r="E85" s="11"/>
      <c r="F85" s="11"/>
      <c r="G85" s="11" t="s">
        <v>489</v>
      </c>
      <c r="H85" s="88" t="s">
        <v>476</v>
      </c>
      <c r="I85" s="122" t="str">
        <f>IF(_epmOfflineCondition_,"T5",_xll.EVPRO($B$1,$H85,"STYLE"))</f>
        <v>T5</v>
      </c>
      <c r="J85" s="122" t="str">
        <f>IF(_epmOfflineCondition_,"Y",_xll.EVPRO($B$1,$H85,"CALC"))</f>
        <v>Y</v>
      </c>
      <c r="K85" s="90"/>
      <c r="L85" s="90"/>
      <c r="M85" s="90"/>
      <c r="N85" s="90" t="str">
        <f t="shared" si="21"/>
        <v>Retail Kiosk</v>
      </c>
      <c r="O85" s="143">
        <f t="shared" ref="O85:Z85" si="43">IFERROR(O42-O64,"")</f>
        <v>0</v>
      </c>
      <c r="P85" s="143">
        <f t="shared" si="43"/>
        <v>0</v>
      </c>
      <c r="Q85" s="143">
        <f t="shared" si="43"/>
        <v>0</v>
      </c>
      <c r="R85" s="143">
        <f t="shared" si="43"/>
        <v>0</v>
      </c>
      <c r="S85" s="143">
        <f t="shared" si="43"/>
        <v>0</v>
      </c>
      <c r="T85" s="143">
        <f t="shared" si="43"/>
        <v>0</v>
      </c>
      <c r="U85" s="143">
        <f t="shared" si="43"/>
        <v>0</v>
      </c>
      <c r="V85" s="143">
        <f t="shared" si="43"/>
        <v>0</v>
      </c>
      <c r="W85" s="143">
        <f t="shared" si="43"/>
        <v>0</v>
      </c>
      <c r="X85" s="143">
        <f t="shared" si="43"/>
        <v>0</v>
      </c>
      <c r="Y85" s="143">
        <f t="shared" si="43"/>
        <v>0</v>
      </c>
      <c r="Z85" s="143">
        <f t="shared" si="43"/>
        <v>0</v>
      </c>
      <c r="AA85" s="250">
        <f t="shared" si="23"/>
        <v>0</v>
      </c>
      <c r="AB85" s="144" t="str">
        <f t="shared" si="24"/>
        <v/>
      </c>
      <c r="AC85" s="140"/>
      <c r="AD85" s="143">
        <f t="shared" si="25"/>
        <v>0</v>
      </c>
      <c r="AE85" s="144" t="str">
        <f t="shared" si="26"/>
        <v/>
      </c>
      <c r="AF85" s="145">
        <f t="shared" si="27"/>
        <v>0</v>
      </c>
      <c r="AG85" s="143">
        <f t="shared" si="28"/>
        <v>0</v>
      </c>
      <c r="AH85" s="144" t="str">
        <f t="shared" si="29"/>
        <v/>
      </c>
      <c r="AI85" s="145">
        <f t="shared" si="30"/>
        <v>0</v>
      </c>
      <c r="AJ85" s="440">
        <f t="shared" si="31"/>
        <v>0</v>
      </c>
      <c r="AK85" s="441">
        <f t="shared" si="32"/>
        <v>0</v>
      </c>
      <c r="AL85" s="442">
        <f t="shared" si="33"/>
        <v>0</v>
      </c>
      <c r="AM85" s="443">
        <f t="shared" si="34"/>
        <v>0</v>
      </c>
      <c r="AN85" s="444">
        <f t="shared" si="35"/>
        <v>0</v>
      </c>
      <c r="AO85" s="11"/>
    </row>
    <row r="86" spans="1:41" x14ac:dyDescent="0.35">
      <c r="A86" s="65" t="s">
        <v>32</v>
      </c>
      <c r="B86" s="66"/>
      <c r="C86" s="11"/>
      <c r="D86" s="11"/>
      <c r="E86" s="11"/>
      <c r="F86" s="11"/>
      <c r="G86" s="11" t="s">
        <v>490</v>
      </c>
      <c r="H86" s="88" t="s">
        <v>477</v>
      </c>
      <c r="I86" s="122" t="str">
        <f>IF(_epmOfflineCondition_,"T5",_xll.EVPRO($B$1,$H86,"STYLE"))</f>
        <v>T5</v>
      </c>
      <c r="J86" s="122" t="str">
        <f>IF(_epmOfflineCondition_,"Y",_xll.EVPRO($B$1,$H86,"CALC"))</f>
        <v>Y</v>
      </c>
      <c r="K86" s="90"/>
      <c r="L86" s="90"/>
      <c r="M86" s="90"/>
      <c r="N86" s="90" t="str">
        <f t="shared" si="21"/>
        <v>Vending Machines</v>
      </c>
      <c r="O86" s="143">
        <f t="shared" ref="O86:Z86" si="44">IFERROR(O43-O65,"")</f>
        <v>0</v>
      </c>
      <c r="P86" s="143">
        <f t="shared" si="44"/>
        <v>0</v>
      </c>
      <c r="Q86" s="143">
        <f t="shared" si="44"/>
        <v>0</v>
      </c>
      <c r="R86" s="143">
        <f t="shared" si="44"/>
        <v>0</v>
      </c>
      <c r="S86" s="143">
        <f t="shared" si="44"/>
        <v>0</v>
      </c>
      <c r="T86" s="143">
        <f t="shared" si="44"/>
        <v>0</v>
      </c>
      <c r="U86" s="143">
        <f t="shared" si="44"/>
        <v>0</v>
      </c>
      <c r="V86" s="143">
        <f t="shared" si="44"/>
        <v>0</v>
      </c>
      <c r="W86" s="143">
        <f t="shared" si="44"/>
        <v>0</v>
      </c>
      <c r="X86" s="143">
        <f t="shared" si="44"/>
        <v>0</v>
      </c>
      <c r="Y86" s="143">
        <f t="shared" si="44"/>
        <v>0</v>
      </c>
      <c r="Z86" s="143">
        <f t="shared" si="44"/>
        <v>0</v>
      </c>
      <c r="AA86" s="250">
        <f t="shared" si="23"/>
        <v>0</v>
      </c>
      <c r="AB86" s="144" t="str">
        <f t="shared" si="24"/>
        <v/>
      </c>
      <c r="AC86" s="140"/>
      <c r="AD86" s="143">
        <f t="shared" si="25"/>
        <v>0</v>
      </c>
      <c r="AE86" s="144" t="str">
        <f t="shared" si="26"/>
        <v/>
      </c>
      <c r="AF86" s="145">
        <f t="shared" si="27"/>
        <v>0</v>
      </c>
      <c r="AG86" s="143">
        <f t="shared" si="28"/>
        <v>0</v>
      </c>
      <c r="AH86" s="144" t="str">
        <f t="shared" si="29"/>
        <v/>
      </c>
      <c r="AI86" s="145">
        <f t="shared" si="30"/>
        <v>0</v>
      </c>
      <c r="AJ86" s="440">
        <f t="shared" si="31"/>
        <v>0</v>
      </c>
      <c r="AK86" s="441">
        <f t="shared" si="32"/>
        <v>0</v>
      </c>
      <c r="AL86" s="442">
        <f t="shared" si="33"/>
        <v>0</v>
      </c>
      <c r="AM86" s="443">
        <f t="shared" si="34"/>
        <v>0</v>
      </c>
      <c r="AN86" s="444">
        <f t="shared" si="35"/>
        <v>0</v>
      </c>
      <c r="AO86" s="11"/>
    </row>
    <row r="87" spans="1:41" x14ac:dyDescent="0.35">
      <c r="A87" s="65" t="s">
        <v>33</v>
      </c>
      <c r="B87" s="66"/>
      <c r="C87" s="11"/>
      <c r="D87" s="11"/>
      <c r="E87" s="11"/>
      <c r="F87" s="11"/>
      <c r="G87" s="11" t="s">
        <v>491</v>
      </c>
      <c r="H87" s="88" t="s">
        <v>478</v>
      </c>
      <c r="I87" s="122" t="str">
        <f>IF(_epmOfflineCondition_,"T5",_xll.EVPRO($B$1,$H87,"STYLE"))</f>
        <v>T5</v>
      </c>
      <c r="J87" s="122" t="str">
        <f>IF(_epmOfflineCondition_,"Y",_xll.EVPRO($B$1,$H87,"CALC"))</f>
        <v>Y</v>
      </c>
      <c r="K87" s="90"/>
      <c r="L87" s="90"/>
      <c r="M87" s="90"/>
      <c r="N87" s="90" t="str">
        <f t="shared" si="21"/>
        <v>Laundry Machines</v>
      </c>
      <c r="O87" s="143">
        <f t="shared" ref="O87:Z87" si="45">IFERROR(O44-O66,"")</f>
        <v>0</v>
      </c>
      <c r="P87" s="143">
        <f t="shared" si="45"/>
        <v>0</v>
      </c>
      <c r="Q87" s="143">
        <f t="shared" si="45"/>
        <v>0</v>
      </c>
      <c r="R87" s="143">
        <f t="shared" si="45"/>
        <v>0</v>
      </c>
      <c r="S87" s="143">
        <f t="shared" si="45"/>
        <v>0</v>
      </c>
      <c r="T87" s="143">
        <f t="shared" si="45"/>
        <v>0</v>
      </c>
      <c r="U87" s="143">
        <f t="shared" si="45"/>
        <v>0</v>
      </c>
      <c r="V87" s="143">
        <f t="shared" si="45"/>
        <v>0</v>
      </c>
      <c r="W87" s="143">
        <f t="shared" si="45"/>
        <v>0</v>
      </c>
      <c r="X87" s="143">
        <f t="shared" si="45"/>
        <v>0</v>
      </c>
      <c r="Y87" s="143">
        <f t="shared" si="45"/>
        <v>0</v>
      </c>
      <c r="Z87" s="143">
        <f t="shared" si="45"/>
        <v>0</v>
      </c>
      <c r="AA87" s="250">
        <f t="shared" si="23"/>
        <v>0</v>
      </c>
      <c r="AB87" s="144" t="str">
        <f t="shared" si="24"/>
        <v/>
      </c>
      <c r="AC87" s="140"/>
      <c r="AD87" s="143">
        <f t="shared" si="25"/>
        <v>0</v>
      </c>
      <c r="AE87" s="144" t="str">
        <f t="shared" si="26"/>
        <v/>
      </c>
      <c r="AF87" s="145">
        <f t="shared" si="27"/>
        <v>0</v>
      </c>
      <c r="AG87" s="143">
        <f t="shared" si="28"/>
        <v>0</v>
      </c>
      <c r="AH87" s="144" t="str">
        <f t="shared" si="29"/>
        <v/>
      </c>
      <c r="AI87" s="145">
        <f t="shared" si="30"/>
        <v>0</v>
      </c>
      <c r="AJ87" s="440">
        <f t="shared" si="31"/>
        <v>0</v>
      </c>
      <c r="AK87" s="441">
        <f t="shared" si="32"/>
        <v>0</v>
      </c>
      <c r="AL87" s="442">
        <f t="shared" si="33"/>
        <v>0</v>
      </c>
      <c r="AM87" s="443">
        <f t="shared" si="34"/>
        <v>0</v>
      </c>
      <c r="AN87" s="444">
        <f t="shared" si="35"/>
        <v>0</v>
      </c>
      <c r="AO87" s="11"/>
    </row>
    <row r="88" spans="1:41" x14ac:dyDescent="0.35">
      <c r="A88" s="65" t="s">
        <v>34</v>
      </c>
      <c r="B88" s="66"/>
      <c r="C88" s="11"/>
      <c r="D88" s="11"/>
      <c r="E88" s="11"/>
      <c r="F88" s="11"/>
      <c r="G88" s="11" t="s">
        <v>492</v>
      </c>
      <c r="H88" s="88" t="s">
        <v>479</v>
      </c>
      <c r="I88" s="122" t="str">
        <f>IF(_epmOfflineCondition_,"T5",_xll.EVPRO($B$1,$H88,"STYLE"))</f>
        <v>T5</v>
      </c>
      <c r="J88" s="122" t="str">
        <f>IF(_epmOfflineCondition_,"Y",_xll.EVPRO($B$1,$H88,"CALC"))</f>
        <v>Y</v>
      </c>
      <c r="K88" s="90"/>
      <c r="L88" s="90"/>
      <c r="M88" s="90"/>
      <c r="N88" s="90" t="str">
        <f t="shared" si="21"/>
        <v>Occasional F&amp;B</v>
      </c>
      <c r="O88" s="143">
        <f t="shared" ref="O88:Z88" si="46">IFERROR(O45-O67,"")</f>
        <v>0</v>
      </c>
      <c r="P88" s="143">
        <f t="shared" si="46"/>
        <v>0</v>
      </c>
      <c r="Q88" s="143">
        <f t="shared" si="46"/>
        <v>0</v>
      </c>
      <c r="R88" s="143">
        <f t="shared" si="46"/>
        <v>0</v>
      </c>
      <c r="S88" s="143">
        <f t="shared" si="46"/>
        <v>0</v>
      </c>
      <c r="T88" s="143">
        <f t="shared" si="46"/>
        <v>0</v>
      </c>
      <c r="U88" s="143">
        <f t="shared" si="46"/>
        <v>0</v>
      </c>
      <c r="V88" s="143">
        <f t="shared" si="46"/>
        <v>0</v>
      </c>
      <c r="W88" s="143">
        <f t="shared" si="46"/>
        <v>0</v>
      </c>
      <c r="X88" s="143">
        <f t="shared" si="46"/>
        <v>0</v>
      </c>
      <c r="Y88" s="143">
        <f t="shared" si="46"/>
        <v>0</v>
      </c>
      <c r="Z88" s="143">
        <f t="shared" si="46"/>
        <v>0</v>
      </c>
      <c r="AA88" s="250">
        <f t="shared" si="23"/>
        <v>0</v>
      </c>
      <c r="AB88" s="144" t="str">
        <f t="shared" si="24"/>
        <v/>
      </c>
      <c r="AC88" s="140"/>
      <c r="AD88" s="143">
        <f t="shared" si="25"/>
        <v>0</v>
      </c>
      <c r="AE88" s="144" t="str">
        <f t="shared" si="26"/>
        <v/>
      </c>
      <c r="AF88" s="145">
        <f t="shared" si="27"/>
        <v>0</v>
      </c>
      <c r="AG88" s="143">
        <f t="shared" si="28"/>
        <v>0</v>
      </c>
      <c r="AH88" s="144" t="str">
        <f t="shared" si="29"/>
        <v/>
      </c>
      <c r="AI88" s="145">
        <f t="shared" si="30"/>
        <v>0</v>
      </c>
      <c r="AJ88" s="440">
        <f t="shared" si="31"/>
        <v>0</v>
      </c>
      <c r="AK88" s="441">
        <f t="shared" si="32"/>
        <v>0</v>
      </c>
      <c r="AL88" s="442">
        <f t="shared" si="33"/>
        <v>0</v>
      </c>
      <c r="AM88" s="443">
        <f t="shared" si="34"/>
        <v>0</v>
      </c>
      <c r="AN88" s="444">
        <f t="shared" si="35"/>
        <v>0</v>
      </c>
      <c r="AO88" s="11"/>
    </row>
    <row r="89" spans="1:41" x14ac:dyDescent="0.35">
      <c r="A89" s="65" t="s">
        <v>35</v>
      </c>
      <c r="B89" s="66"/>
      <c r="C89" s="11"/>
      <c r="D89" s="11"/>
      <c r="E89" s="11"/>
      <c r="F89" s="11"/>
      <c r="G89" s="11" t="s">
        <v>456</v>
      </c>
      <c r="H89" s="88" t="s">
        <v>431</v>
      </c>
      <c r="I89" s="122" t="str">
        <f>IF(_epmOfflineCondition_,"T5",_xll.EVPRO($B$1,$H89,"STYLE"))</f>
        <v>T5</v>
      </c>
      <c r="J89" s="122" t="str">
        <f>IF(_epmOfflineCondition_,"Y",_xll.EVPRO($B$1,$H89,"CALC"))</f>
        <v>Y</v>
      </c>
      <c r="K89" s="90"/>
      <c r="L89" s="90"/>
      <c r="M89" s="90"/>
      <c r="N89" s="90" t="str">
        <f t="shared" si="21"/>
        <v>Other 1</v>
      </c>
      <c r="O89" s="143">
        <f t="shared" ref="O89:Z89" si="47">IFERROR(O46-O68,"")</f>
        <v>0</v>
      </c>
      <c r="P89" s="143">
        <f t="shared" si="47"/>
        <v>0</v>
      </c>
      <c r="Q89" s="143">
        <f t="shared" si="47"/>
        <v>0</v>
      </c>
      <c r="R89" s="143">
        <f t="shared" si="47"/>
        <v>0</v>
      </c>
      <c r="S89" s="143">
        <f t="shared" si="47"/>
        <v>0</v>
      </c>
      <c r="T89" s="143">
        <f t="shared" si="47"/>
        <v>0</v>
      </c>
      <c r="U89" s="143">
        <f t="shared" si="47"/>
        <v>0</v>
      </c>
      <c r="V89" s="143">
        <f t="shared" si="47"/>
        <v>0</v>
      </c>
      <c r="W89" s="143">
        <f t="shared" si="47"/>
        <v>0</v>
      </c>
      <c r="X89" s="143">
        <f t="shared" si="47"/>
        <v>0</v>
      </c>
      <c r="Y89" s="143">
        <f t="shared" si="47"/>
        <v>0</v>
      </c>
      <c r="Z89" s="143">
        <f t="shared" si="47"/>
        <v>95</v>
      </c>
      <c r="AA89" s="250">
        <f t="shared" si="23"/>
        <v>95</v>
      </c>
      <c r="AB89" s="144">
        <f t="shared" si="24"/>
        <v>1</v>
      </c>
      <c r="AC89" s="140"/>
      <c r="AD89" s="143">
        <f t="shared" si="25"/>
        <v>0</v>
      </c>
      <c r="AE89" s="144" t="str">
        <f t="shared" si="26"/>
        <v/>
      </c>
      <c r="AF89" s="145">
        <f t="shared" si="27"/>
        <v>95</v>
      </c>
      <c r="AG89" s="143">
        <f t="shared" si="28"/>
        <v>150</v>
      </c>
      <c r="AH89" s="144">
        <f t="shared" si="29"/>
        <v>1</v>
      </c>
      <c r="AI89" s="145">
        <f t="shared" si="30"/>
        <v>-55</v>
      </c>
      <c r="AJ89" s="440">
        <f t="shared" si="31"/>
        <v>2.3620676794549838E-3</v>
      </c>
      <c r="AK89" s="441">
        <f t="shared" si="32"/>
        <v>0</v>
      </c>
      <c r="AL89" s="442">
        <f t="shared" si="33"/>
        <v>7.481296758104738E-3</v>
      </c>
      <c r="AM89" s="443">
        <f t="shared" si="34"/>
        <v>0</v>
      </c>
      <c r="AN89" s="444" t="str">
        <f t="shared" si="35"/>
        <v>0 pts.</v>
      </c>
      <c r="AO89" s="11"/>
    </row>
    <row r="90" spans="1:41" x14ac:dyDescent="0.35">
      <c r="A90" s="65" t="s">
        <v>36</v>
      </c>
      <c r="B90" s="66"/>
      <c r="C90" s="11"/>
      <c r="D90" s="11"/>
      <c r="E90" s="11"/>
      <c r="F90" s="11"/>
      <c r="G90" s="11" t="s">
        <v>457</v>
      </c>
      <c r="H90" s="88" t="s">
        <v>432</v>
      </c>
      <c r="I90" s="122" t="str">
        <f>IF(_epmOfflineCondition_,"T5",_xll.EVPRO($B$1,$H90,"STYLE"))</f>
        <v>T5</v>
      </c>
      <c r="J90" s="122" t="str">
        <f>IF(_epmOfflineCondition_,"Y",_xll.EVPRO($B$1,$H90,"CALC"))</f>
        <v>Y</v>
      </c>
      <c r="K90" s="90"/>
      <c r="L90" s="90"/>
      <c r="M90" s="90"/>
      <c r="N90" s="90" t="str">
        <f t="shared" si="21"/>
        <v>Other 2</v>
      </c>
      <c r="O90" s="143">
        <f t="shared" ref="O90:Z90" si="48">IFERROR(O47-O69,"")</f>
        <v>0</v>
      </c>
      <c r="P90" s="143">
        <f t="shared" si="48"/>
        <v>0</v>
      </c>
      <c r="Q90" s="143">
        <f t="shared" si="48"/>
        <v>0</v>
      </c>
      <c r="R90" s="143">
        <f t="shared" si="48"/>
        <v>0</v>
      </c>
      <c r="S90" s="143">
        <f t="shared" si="48"/>
        <v>0</v>
      </c>
      <c r="T90" s="143">
        <f t="shared" si="48"/>
        <v>0</v>
      </c>
      <c r="U90" s="143">
        <f t="shared" si="48"/>
        <v>0</v>
      </c>
      <c r="V90" s="143">
        <f t="shared" si="48"/>
        <v>0</v>
      </c>
      <c r="W90" s="143">
        <f t="shared" si="48"/>
        <v>0</v>
      </c>
      <c r="X90" s="143">
        <f t="shared" si="48"/>
        <v>0</v>
      </c>
      <c r="Y90" s="143">
        <f t="shared" si="48"/>
        <v>0</v>
      </c>
      <c r="Z90" s="143">
        <f t="shared" si="48"/>
        <v>0</v>
      </c>
      <c r="AA90" s="250">
        <f t="shared" si="23"/>
        <v>0</v>
      </c>
      <c r="AB90" s="144" t="str">
        <f t="shared" si="24"/>
        <v/>
      </c>
      <c r="AC90" s="140"/>
      <c r="AD90" s="143">
        <f t="shared" si="25"/>
        <v>0</v>
      </c>
      <c r="AE90" s="144" t="str">
        <f t="shared" si="26"/>
        <v/>
      </c>
      <c r="AF90" s="145">
        <f t="shared" si="27"/>
        <v>0</v>
      </c>
      <c r="AG90" s="143">
        <f t="shared" si="28"/>
        <v>0</v>
      </c>
      <c r="AH90" s="144" t="str">
        <f t="shared" si="29"/>
        <v/>
      </c>
      <c r="AI90" s="145">
        <f t="shared" si="30"/>
        <v>0</v>
      </c>
      <c r="AJ90" s="440">
        <f t="shared" si="31"/>
        <v>0</v>
      </c>
      <c r="AK90" s="441">
        <f t="shared" si="32"/>
        <v>0</v>
      </c>
      <c r="AL90" s="442">
        <f t="shared" si="33"/>
        <v>0</v>
      </c>
      <c r="AM90" s="443">
        <f t="shared" si="34"/>
        <v>0</v>
      </c>
      <c r="AN90" s="444">
        <f t="shared" si="35"/>
        <v>0</v>
      </c>
      <c r="AO90" s="11"/>
    </row>
    <row r="91" spans="1:41" x14ac:dyDescent="0.35">
      <c r="A91" s="65" t="s">
        <v>37</v>
      </c>
      <c r="B91" s="66"/>
      <c r="C91" s="11"/>
      <c r="D91" s="11"/>
      <c r="E91" s="11"/>
      <c r="F91" s="11"/>
      <c r="G91" s="11" t="s">
        <v>458</v>
      </c>
      <c r="H91" s="88" t="s">
        <v>433</v>
      </c>
      <c r="I91" s="122" t="str">
        <f>IF(_epmOfflineCondition_,"T5",_xll.EVPRO($B$1,$H91,"STYLE"))</f>
        <v>T5</v>
      </c>
      <c r="J91" s="122" t="str">
        <f>IF(_epmOfflineCondition_,"Y",_xll.EVPRO($B$1,$H91,"CALC"))</f>
        <v>Y</v>
      </c>
      <c r="K91" s="90"/>
      <c r="L91" s="90"/>
      <c r="M91" s="90"/>
      <c r="N91" s="90" t="str">
        <f t="shared" si="21"/>
        <v>Other 3</v>
      </c>
      <c r="O91" s="143">
        <f t="shared" ref="O91:Z91" si="49">IFERROR(O48-O70,"")</f>
        <v>0</v>
      </c>
      <c r="P91" s="143">
        <f t="shared" si="49"/>
        <v>0</v>
      </c>
      <c r="Q91" s="143">
        <f t="shared" si="49"/>
        <v>0</v>
      </c>
      <c r="R91" s="143">
        <f t="shared" si="49"/>
        <v>0</v>
      </c>
      <c r="S91" s="143">
        <f t="shared" si="49"/>
        <v>0</v>
      </c>
      <c r="T91" s="143">
        <f t="shared" si="49"/>
        <v>0</v>
      </c>
      <c r="U91" s="143">
        <f t="shared" si="49"/>
        <v>0</v>
      </c>
      <c r="V91" s="143">
        <f t="shared" si="49"/>
        <v>0</v>
      </c>
      <c r="W91" s="143">
        <f t="shared" si="49"/>
        <v>0</v>
      </c>
      <c r="X91" s="143">
        <f t="shared" si="49"/>
        <v>0</v>
      </c>
      <c r="Y91" s="143">
        <f t="shared" si="49"/>
        <v>0</v>
      </c>
      <c r="Z91" s="143">
        <f t="shared" si="49"/>
        <v>0</v>
      </c>
      <c r="AA91" s="250">
        <f t="shared" si="23"/>
        <v>0</v>
      </c>
      <c r="AB91" s="144" t="str">
        <f t="shared" si="24"/>
        <v/>
      </c>
      <c r="AC91" s="140"/>
      <c r="AD91" s="143">
        <f t="shared" si="25"/>
        <v>0</v>
      </c>
      <c r="AE91" s="144" t="str">
        <f t="shared" si="26"/>
        <v/>
      </c>
      <c r="AF91" s="145">
        <f t="shared" si="27"/>
        <v>0</v>
      </c>
      <c r="AG91" s="143">
        <f t="shared" si="28"/>
        <v>0</v>
      </c>
      <c r="AH91" s="144" t="str">
        <f t="shared" si="29"/>
        <v/>
      </c>
      <c r="AI91" s="145">
        <f t="shared" si="30"/>
        <v>0</v>
      </c>
      <c r="AJ91" s="440">
        <f t="shared" si="31"/>
        <v>0</v>
      </c>
      <c r="AK91" s="441">
        <f t="shared" si="32"/>
        <v>0</v>
      </c>
      <c r="AL91" s="442">
        <f t="shared" si="33"/>
        <v>0</v>
      </c>
      <c r="AM91" s="443">
        <f t="shared" si="34"/>
        <v>0</v>
      </c>
      <c r="AN91" s="444">
        <f t="shared" si="35"/>
        <v>0</v>
      </c>
      <c r="AO91" s="11"/>
    </row>
    <row r="92" spans="1:41" x14ac:dyDescent="0.35">
      <c r="A92" s="65" t="s">
        <v>38</v>
      </c>
      <c r="B92" s="66"/>
      <c r="C92" s="11"/>
      <c r="D92" s="11"/>
      <c r="E92" s="11"/>
      <c r="F92" s="11"/>
      <c r="G92" s="11" t="s">
        <v>459</v>
      </c>
      <c r="H92" s="88" t="s">
        <v>434</v>
      </c>
      <c r="I92" s="122" t="str">
        <f>IF(_epmOfflineCondition_,"T5",_xll.EVPRO($B$1,$H92,"STYLE"))</f>
        <v>T5</v>
      </c>
      <c r="J92" s="122" t="str">
        <f>IF(_epmOfflineCondition_,"Y",_xll.EVPRO($B$1,$H92,"CALC"))</f>
        <v>Y</v>
      </c>
      <c r="K92" s="90"/>
      <c r="L92" s="90"/>
      <c r="M92" s="90"/>
      <c r="N92" s="90" t="str">
        <f t="shared" si="21"/>
        <v>Other 4</v>
      </c>
      <c r="O92" s="143">
        <f t="shared" ref="O92:Z92" si="50">IFERROR(O49-O71,"")</f>
        <v>0</v>
      </c>
      <c r="P92" s="143">
        <f t="shared" si="50"/>
        <v>0</v>
      </c>
      <c r="Q92" s="143">
        <f t="shared" si="50"/>
        <v>0</v>
      </c>
      <c r="R92" s="143">
        <f t="shared" si="50"/>
        <v>0</v>
      </c>
      <c r="S92" s="143">
        <f t="shared" si="50"/>
        <v>0</v>
      </c>
      <c r="T92" s="143">
        <f t="shared" si="50"/>
        <v>0</v>
      </c>
      <c r="U92" s="143">
        <f t="shared" si="50"/>
        <v>0</v>
      </c>
      <c r="V92" s="143">
        <f t="shared" si="50"/>
        <v>0</v>
      </c>
      <c r="W92" s="143">
        <f t="shared" si="50"/>
        <v>0</v>
      </c>
      <c r="X92" s="143">
        <f t="shared" si="50"/>
        <v>0</v>
      </c>
      <c r="Y92" s="143">
        <f t="shared" si="50"/>
        <v>0</v>
      </c>
      <c r="Z92" s="143">
        <f t="shared" si="50"/>
        <v>0</v>
      </c>
      <c r="AA92" s="250">
        <f t="shared" si="23"/>
        <v>0</v>
      </c>
      <c r="AB92" s="144" t="str">
        <f t="shared" si="24"/>
        <v/>
      </c>
      <c r="AC92" s="140"/>
      <c r="AD92" s="143">
        <f t="shared" si="25"/>
        <v>0</v>
      </c>
      <c r="AE92" s="144" t="str">
        <f t="shared" si="26"/>
        <v/>
      </c>
      <c r="AF92" s="145">
        <f t="shared" si="27"/>
        <v>0</v>
      </c>
      <c r="AG92" s="143">
        <f t="shared" si="28"/>
        <v>0</v>
      </c>
      <c r="AH92" s="144" t="str">
        <f t="shared" si="29"/>
        <v/>
      </c>
      <c r="AI92" s="145">
        <f t="shared" si="30"/>
        <v>0</v>
      </c>
      <c r="AJ92" s="440">
        <f t="shared" si="31"/>
        <v>0</v>
      </c>
      <c r="AK92" s="441">
        <f t="shared" si="32"/>
        <v>0</v>
      </c>
      <c r="AL92" s="442">
        <f t="shared" si="33"/>
        <v>0</v>
      </c>
      <c r="AM92" s="443">
        <f t="shared" si="34"/>
        <v>0</v>
      </c>
      <c r="AN92" s="444">
        <f t="shared" si="35"/>
        <v>0</v>
      </c>
      <c r="AO92" s="11"/>
    </row>
    <row r="93" spans="1:41" x14ac:dyDescent="0.35">
      <c r="A93" s="65" t="s">
        <v>39</v>
      </c>
      <c r="B93" s="66"/>
      <c r="C93" s="11"/>
      <c r="D93" s="11"/>
      <c r="E93" s="11"/>
      <c r="F93" s="11"/>
      <c r="G93" s="11" t="s">
        <v>460</v>
      </c>
      <c r="H93" s="88" t="s">
        <v>435</v>
      </c>
      <c r="I93" s="122" t="str">
        <f>IF(_epmOfflineCondition_,"T5",_xll.EVPRO($B$1,$H93,"STYLE"))</f>
        <v>T5</v>
      </c>
      <c r="J93" s="122" t="str">
        <f>IF(_epmOfflineCondition_,"Y",_xll.EVPRO($B$1,$H93,"CALC"))</f>
        <v>Y</v>
      </c>
      <c r="K93" s="90"/>
      <c r="L93" s="90"/>
      <c r="M93" s="90"/>
      <c r="N93" s="90" t="str">
        <f t="shared" si="21"/>
        <v>Other 5</v>
      </c>
      <c r="O93" s="143">
        <f t="shared" ref="O93:Z93" si="51">IFERROR(O50-O72,"")</f>
        <v>0</v>
      </c>
      <c r="P93" s="143">
        <f t="shared" si="51"/>
        <v>0</v>
      </c>
      <c r="Q93" s="143">
        <f t="shared" si="51"/>
        <v>0</v>
      </c>
      <c r="R93" s="143">
        <f t="shared" si="51"/>
        <v>0</v>
      </c>
      <c r="S93" s="143">
        <f t="shared" si="51"/>
        <v>0</v>
      </c>
      <c r="T93" s="143">
        <f t="shared" si="51"/>
        <v>0</v>
      </c>
      <c r="U93" s="143">
        <f t="shared" si="51"/>
        <v>0</v>
      </c>
      <c r="V93" s="143">
        <f t="shared" si="51"/>
        <v>0</v>
      </c>
      <c r="W93" s="143">
        <f t="shared" si="51"/>
        <v>0</v>
      </c>
      <c r="X93" s="143">
        <f t="shared" si="51"/>
        <v>0</v>
      </c>
      <c r="Y93" s="143">
        <f t="shared" si="51"/>
        <v>0</v>
      </c>
      <c r="Z93" s="143">
        <f t="shared" si="51"/>
        <v>0</v>
      </c>
      <c r="AA93" s="250">
        <f t="shared" si="23"/>
        <v>0</v>
      </c>
      <c r="AB93" s="144" t="str">
        <f t="shared" si="24"/>
        <v/>
      </c>
      <c r="AC93" s="140"/>
      <c r="AD93" s="143">
        <f t="shared" si="25"/>
        <v>0</v>
      </c>
      <c r="AE93" s="144" t="str">
        <f t="shared" si="26"/>
        <v/>
      </c>
      <c r="AF93" s="145">
        <f t="shared" si="27"/>
        <v>0</v>
      </c>
      <c r="AG93" s="143">
        <f t="shared" si="28"/>
        <v>0</v>
      </c>
      <c r="AH93" s="144" t="str">
        <f t="shared" si="29"/>
        <v/>
      </c>
      <c r="AI93" s="145">
        <f t="shared" si="30"/>
        <v>0</v>
      </c>
      <c r="AJ93" s="440">
        <f t="shared" si="31"/>
        <v>0</v>
      </c>
      <c r="AK93" s="441">
        <f t="shared" si="32"/>
        <v>0</v>
      </c>
      <c r="AL93" s="442">
        <f t="shared" si="33"/>
        <v>0</v>
      </c>
      <c r="AM93" s="443">
        <f t="shared" si="34"/>
        <v>0</v>
      </c>
      <c r="AN93" s="444">
        <f t="shared" si="35"/>
        <v>0</v>
      </c>
      <c r="AO93" s="11"/>
    </row>
    <row r="94" spans="1:41" x14ac:dyDescent="0.35">
      <c r="A94" s="65" t="s">
        <v>40</v>
      </c>
      <c r="B94" s="66"/>
      <c r="C94" s="11"/>
      <c r="D94" s="11"/>
      <c r="E94" s="11"/>
      <c r="F94" s="11"/>
      <c r="G94" s="11" t="s">
        <v>461</v>
      </c>
      <c r="H94" s="88" t="s">
        <v>436</v>
      </c>
      <c r="I94" s="122" t="str">
        <f>IF(_epmOfflineCondition_,"T5",_xll.EVPRO($B$1,$H94,"STYLE"))</f>
        <v>T5</v>
      </c>
      <c r="J94" s="122" t="str">
        <f>IF(_epmOfflineCondition_,"Y",_xll.EVPRO($B$1,$H94,"CALC"))</f>
        <v>Y</v>
      </c>
      <c r="K94" s="90"/>
      <c r="L94" s="90"/>
      <c r="M94" s="90"/>
      <c r="N94" s="90" t="str">
        <f t="shared" si="21"/>
        <v>Other 6</v>
      </c>
      <c r="O94" s="143">
        <f t="shared" ref="O94:Z94" si="52">IFERROR(O51-O73,"")</f>
        <v>0</v>
      </c>
      <c r="P94" s="143">
        <f t="shared" si="52"/>
        <v>0</v>
      </c>
      <c r="Q94" s="143">
        <f t="shared" si="52"/>
        <v>0</v>
      </c>
      <c r="R94" s="143">
        <f t="shared" si="52"/>
        <v>0</v>
      </c>
      <c r="S94" s="143">
        <f t="shared" si="52"/>
        <v>0</v>
      </c>
      <c r="T94" s="143">
        <f t="shared" si="52"/>
        <v>0</v>
      </c>
      <c r="U94" s="143">
        <f t="shared" si="52"/>
        <v>0</v>
      </c>
      <c r="V94" s="143">
        <f t="shared" si="52"/>
        <v>0</v>
      </c>
      <c r="W94" s="143">
        <f t="shared" si="52"/>
        <v>0</v>
      </c>
      <c r="X94" s="143">
        <f t="shared" si="52"/>
        <v>0</v>
      </c>
      <c r="Y94" s="143">
        <f t="shared" si="52"/>
        <v>0</v>
      </c>
      <c r="Z94" s="143">
        <f t="shared" si="52"/>
        <v>0</v>
      </c>
      <c r="AA94" s="250">
        <f t="shared" si="23"/>
        <v>0</v>
      </c>
      <c r="AB94" s="144" t="str">
        <f t="shared" si="24"/>
        <v/>
      </c>
      <c r="AC94" s="140"/>
      <c r="AD94" s="143">
        <f t="shared" si="25"/>
        <v>0</v>
      </c>
      <c r="AE94" s="144" t="str">
        <f t="shared" si="26"/>
        <v/>
      </c>
      <c r="AF94" s="145">
        <f t="shared" si="27"/>
        <v>0</v>
      </c>
      <c r="AG94" s="143">
        <f t="shared" si="28"/>
        <v>0</v>
      </c>
      <c r="AH94" s="144" t="str">
        <f t="shared" si="29"/>
        <v/>
      </c>
      <c r="AI94" s="145">
        <f t="shared" si="30"/>
        <v>0</v>
      </c>
      <c r="AJ94" s="440">
        <f t="shared" si="31"/>
        <v>0</v>
      </c>
      <c r="AK94" s="441">
        <f t="shared" si="32"/>
        <v>0</v>
      </c>
      <c r="AL94" s="442">
        <f t="shared" si="33"/>
        <v>0</v>
      </c>
      <c r="AM94" s="443">
        <f t="shared" si="34"/>
        <v>0</v>
      </c>
      <c r="AN94" s="444">
        <f t="shared" si="35"/>
        <v>0</v>
      </c>
      <c r="AO94" s="11"/>
    </row>
    <row r="95" spans="1:41" x14ac:dyDescent="0.35">
      <c r="A95" s="65" t="s">
        <v>41</v>
      </c>
      <c r="B95" s="66"/>
      <c r="C95" s="11"/>
      <c r="D95" s="11"/>
      <c r="E95" s="11"/>
      <c r="F95" s="11"/>
      <c r="G95" s="11"/>
      <c r="H95" s="88" t="s">
        <v>480</v>
      </c>
      <c r="I95" s="122" t="str">
        <f>IF(_epmOfflineCondition_,"T5",_xll.EVPRO($B$1,$H95,"STYLE"))</f>
        <v>T5</v>
      </c>
      <c r="J95" s="122" t="str">
        <f>IF(_epmOfflineCondition_,"Y",_xll.EVPRO($B$1,$H95,"CALC"))</f>
        <v>Y</v>
      </c>
      <c r="K95" s="90"/>
      <c r="L95" s="90"/>
      <c r="M95" s="90"/>
      <c r="N95" s="90" t="str">
        <f>IF(_epmOfflineCondition_,"Minor Operated: Allowances",IF(_xll.EVDES(H95,$B$1)="#NODATA","",_xll.EVDES(H95,$B$1)))</f>
        <v>Minor Operated: Allowances</v>
      </c>
      <c r="O95" s="143"/>
      <c r="P95" s="143"/>
      <c r="Q95" s="143"/>
      <c r="R95" s="143"/>
      <c r="S95" s="143"/>
      <c r="T95" s="143"/>
      <c r="U95" s="143"/>
      <c r="V95" s="143"/>
      <c r="W95" s="143"/>
      <c r="X95" s="143"/>
      <c r="Y95" s="143"/>
      <c r="Z95" s="143"/>
      <c r="AA95" s="250">
        <f t="shared" si="23"/>
        <v>0</v>
      </c>
      <c r="AB95" s="144"/>
      <c r="AC95" s="140"/>
      <c r="AD95" s="143"/>
      <c r="AE95" s="144"/>
      <c r="AF95" s="145">
        <f t="shared" si="27"/>
        <v>0</v>
      </c>
      <c r="AG95" s="143"/>
      <c r="AH95" s="144"/>
      <c r="AI95" s="145">
        <f t="shared" si="30"/>
        <v>0</v>
      </c>
      <c r="AJ95" s="449">
        <f t="shared" si="31"/>
        <v>0</v>
      </c>
      <c r="AK95" s="450">
        <f t="shared" si="32"/>
        <v>0</v>
      </c>
      <c r="AL95" s="451">
        <f t="shared" si="33"/>
        <v>0</v>
      </c>
      <c r="AM95" s="452" t="str">
        <f t="shared" si="34"/>
        <v>0 pts.</v>
      </c>
      <c r="AN95" s="453" t="str">
        <f t="shared" si="35"/>
        <v>0 pts.</v>
      </c>
      <c r="AO95" s="11"/>
    </row>
    <row r="96" spans="1:41" x14ac:dyDescent="0.35">
      <c r="A96" s="65" t="s">
        <v>42</v>
      </c>
      <c r="B96" s="66"/>
      <c r="C96" s="11"/>
      <c r="D96" s="11"/>
      <c r="E96" s="11"/>
      <c r="F96" s="11"/>
      <c r="G96" s="11"/>
      <c r="H96" s="88"/>
      <c r="I96" s="122"/>
      <c r="J96" s="122"/>
      <c r="K96" s="90"/>
      <c r="L96" s="90"/>
      <c r="M96" s="90"/>
      <c r="N96" s="53" t="s">
        <v>462</v>
      </c>
      <c r="O96" s="225">
        <f t="shared" ref="O96:Z96" si="53">SUM(O77:O95)</f>
        <v>373.02000000000004</v>
      </c>
      <c r="P96" s="225">
        <f t="shared" si="53"/>
        <v>354.53999999999996</v>
      </c>
      <c r="Q96" s="225">
        <f t="shared" si="53"/>
        <v>499.54</v>
      </c>
      <c r="R96" s="225">
        <f t="shared" si="53"/>
        <v>1546.6</v>
      </c>
      <c r="S96" s="225">
        <f t="shared" si="53"/>
        <v>1515.5</v>
      </c>
      <c r="T96" s="225">
        <f t="shared" si="53"/>
        <v>583.53</v>
      </c>
      <c r="U96" s="225">
        <f t="shared" si="53"/>
        <v>446.23</v>
      </c>
      <c r="V96" s="225">
        <f t="shared" si="53"/>
        <v>-71.900000000000091</v>
      </c>
      <c r="W96" s="225">
        <f t="shared" si="53"/>
        <v>1702.22</v>
      </c>
      <c r="X96" s="225">
        <f t="shared" si="53"/>
        <v>1244.29</v>
      </c>
      <c r="Y96" s="225">
        <f t="shared" si="53"/>
        <v>1000.98</v>
      </c>
      <c r="Z96" s="225">
        <f t="shared" si="53"/>
        <v>1302.2499999999998</v>
      </c>
      <c r="AA96" s="225">
        <f t="shared" si="23"/>
        <v>10496.8</v>
      </c>
      <c r="AB96" s="226">
        <f>IF(AA96=0,"",IFERROR(AA96/AA19,""))</f>
        <v>0.53604741125072453</v>
      </c>
      <c r="AC96" s="227"/>
      <c r="AD96" s="225">
        <f>SUM(AD77:AD95)</f>
        <v>9995.5342500000006</v>
      </c>
      <c r="AE96" s="226">
        <f>IF(AD96=0,"",IFERROR(AD96/AD19,""))</f>
        <v>0.63421428571428573</v>
      </c>
      <c r="AF96" s="228">
        <f t="shared" si="27"/>
        <v>501.26574999999866</v>
      </c>
      <c r="AG96" s="225">
        <f>SUM(AG77:AG95)</f>
        <v>4554.91</v>
      </c>
      <c r="AH96" s="226">
        <f>IF(AG96=0,"",IFERROR(AG96/AG19,""))</f>
        <v>0.6238910477056655</v>
      </c>
      <c r="AI96" s="228">
        <f t="shared" si="30"/>
        <v>5941.8899999999994</v>
      </c>
      <c r="AJ96" s="466">
        <f t="shared" si="31"/>
        <v>0.2609910738705587</v>
      </c>
      <c r="AK96" s="467">
        <f t="shared" si="32"/>
        <v>0.26637</v>
      </c>
      <c r="AL96" s="468">
        <f t="shared" si="33"/>
        <v>0.22717755610972568</v>
      </c>
      <c r="AM96" s="469" t="str">
        <f t="shared" si="34"/>
        <v>-9.82 pts.</v>
      </c>
      <c r="AN96" s="556" t="str">
        <f t="shared" si="35"/>
        <v>-8.78 pts.</v>
      </c>
      <c r="AO96" s="11"/>
    </row>
    <row r="97" spans="1:41" x14ac:dyDescent="0.35">
      <c r="A97" s="65" t="s">
        <v>43</v>
      </c>
      <c r="B97" s="66"/>
      <c r="C97" s="11"/>
      <c r="D97" s="11"/>
      <c r="E97" s="11"/>
      <c r="F97" s="11"/>
      <c r="G97" s="11"/>
      <c r="H97" s="11"/>
      <c r="I97" s="11"/>
      <c r="J97" s="11"/>
      <c r="K97" s="11"/>
      <c r="L97" s="11"/>
      <c r="M97" s="11"/>
      <c r="N97" s="11"/>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1"/>
    </row>
    <row r="98" spans="1:41" ht="15" thickBot="1" x14ac:dyDescent="0.4">
      <c r="A98" s="65" t="s">
        <v>44</v>
      </c>
      <c r="B98" s="66"/>
      <c r="C98" s="11"/>
      <c r="D98" s="11"/>
      <c r="E98" s="11"/>
      <c r="F98" s="11"/>
      <c r="G98" s="11"/>
      <c r="H98" s="88" t="s">
        <v>81</v>
      </c>
      <c r="I98" s="136" t="str">
        <f>IF(_epmOfflineCondition_,"T3",_xll.EVPRO($B$1,$H98,"STYLE"))</f>
        <v>T3</v>
      </c>
      <c r="J98" s="136" t="str">
        <f>IF(_epmOfflineCondition_,"Y",_xll.EVPRO($B$1,$H98,"CALC"))</f>
        <v>Y</v>
      </c>
      <c r="K98" s="106"/>
      <c r="L98" s="106"/>
      <c r="M98" s="106"/>
      <c r="N98" s="106" t="str">
        <f>IF(_epmOfflineCondition_,"Department Profit (Loss)",IF(_xll.EVDES(H98,$B$1)="#NODATA","",_xll.EVDES(H98,$B$1)))</f>
        <v>Department Profit (Loss)</v>
      </c>
      <c r="O98" s="169">
        <v>373.02</v>
      </c>
      <c r="P98" s="169">
        <v>354.54</v>
      </c>
      <c r="Q98" s="169">
        <v>499.54</v>
      </c>
      <c r="R98" s="169">
        <v>1546.6</v>
      </c>
      <c r="S98" s="169">
        <v>1515.5</v>
      </c>
      <c r="T98" s="169">
        <v>583.53</v>
      </c>
      <c r="U98" s="169">
        <v>446.23</v>
      </c>
      <c r="V98" s="169">
        <v>-71.900000000000006</v>
      </c>
      <c r="W98" s="169">
        <v>1702.22</v>
      </c>
      <c r="X98" s="169">
        <v>1244.29</v>
      </c>
      <c r="Y98" s="169">
        <v>1000.98</v>
      </c>
      <c r="Z98" s="169">
        <v>1302.25</v>
      </c>
      <c r="AA98" s="169">
        <f>IF($I98="B1","",SUM(O98:Z98))</f>
        <v>10496.8</v>
      </c>
      <c r="AB98" s="170">
        <f>IF(AA98=0,"",IFERROR(AA98/AA$19,""))</f>
        <v>0.53604741125072453</v>
      </c>
      <c r="AC98" s="140"/>
      <c r="AD98" s="169">
        <v>9995.5342500000006</v>
      </c>
      <c r="AE98" s="170">
        <f>IF(AD98=0,"",IFERROR(AD98/AD$19,""))</f>
        <v>0.63421428571428573</v>
      </c>
      <c r="AF98" s="171">
        <f>IF(AND($AA98="",AD98=""),"",$AA98-AD98)</f>
        <v>501.26574999999866</v>
      </c>
      <c r="AG98" s="169">
        <v>4554.91</v>
      </c>
      <c r="AH98" s="170">
        <f>IF(AG98=0,"",IFERROR(AG98/AG$19,""))</f>
        <v>0.6238910477056655</v>
      </c>
      <c r="AI98" s="171">
        <f>IF(AND($AA98="",AG98=""),"",$AA98-AG98)</f>
        <v>5941.8899999999994</v>
      </c>
      <c r="AJ98" s="483">
        <f>IFERROR(AA98/AA$20,0)</f>
        <v>0.2609910738705587</v>
      </c>
      <c r="AK98" s="484">
        <f>IFERROR(AD98/AD$20,0)</f>
        <v>0.26637</v>
      </c>
      <c r="AL98" s="485">
        <f>IFERROR(AG98/AG$20,0)</f>
        <v>0.22717755610972568</v>
      </c>
      <c r="AM98" s="486" t="str">
        <f>+IFERROR(ROUND(($AB98-AE98)*100,2)&amp;" pts.",0)</f>
        <v>-9.82 pts.</v>
      </c>
      <c r="AN98" s="557" t="str">
        <f>+IFERROR(ROUND(($AB98-AH98)*100,2)&amp;" pts.",0)</f>
        <v>-8.78 pts.</v>
      </c>
      <c r="AO98" s="11"/>
    </row>
    <row r="99" spans="1:41" ht="15" thickTop="1" x14ac:dyDescent="0.35">
      <c r="A99" s="65" t="s">
        <v>45</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46</v>
      </c>
      <c r="B100" s="66"/>
      <c r="C100" s="11"/>
      <c r="D100" s="11"/>
      <c r="E100" s="11"/>
      <c r="F100" s="11"/>
      <c r="G100" s="11"/>
      <c r="H100" s="11"/>
      <c r="I100" s="59"/>
      <c r="J100" s="59"/>
      <c r="K100" s="11"/>
      <c r="L100" s="11"/>
      <c r="M100" s="11"/>
      <c r="N100" s="104" t="str">
        <f>N98&amp;" - Check"</f>
        <v>Department Profit (Loss) - Check</v>
      </c>
      <c r="O100" s="209">
        <f t="shared" ref="O100:AA100" si="54">SUMIF($H$34:$H$74,"400000",O$34:O$74)-SUMIF($H$34:$H$74,"500001",O$34:O$74)-O96</f>
        <v>0</v>
      </c>
      <c r="P100" s="209">
        <f t="shared" si="54"/>
        <v>0</v>
      </c>
      <c r="Q100" s="209">
        <f t="shared" si="54"/>
        <v>0</v>
      </c>
      <c r="R100" s="209">
        <f t="shared" si="54"/>
        <v>0</v>
      </c>
      <c r="S100" s="209">
        <f t="shared" si="54"/>
        <v>0</v>
      </c>
      <c r="T100" s="209">
        <f t="shared" si="54"/>
        <v>0</v>
      </c>
      <c r="U100" s="209">
        <f t="shared" si="54"/>
        <v>0</v>
      </c>
      <c r="V100" s="209">
        <f t="shared" si="54"/>
        <v>1.1368683772161603E-13</v>
      </c>
      <c r="W100" s="209">
        <f t="shared" si="54"/>
        <v>0</v>
      </c>
      <c r="X100" s="209">
        <f t="shared" si="54"/>
        <v>0</v>
      </c>
      <c r="Y100" s="209">
        <f t="shared" si="54"/>
        <v>0</v>
      </c>
      <c r="Z100" s="209">
        <f t="shared" si="54"/>
        <v>0</v>
      </c>
      <c r="AA100" s="209">
        <f t="shared" si="54"/>
        <v>0</v>
      </c>
      <c r="AB100" s="100"/>
      <c r="AC100" s="11"/>
      <c r="AD100" s="209">
        <f>SUMIF($H$34:$H$74,"400000",AD$34:AD$74)-SUMIF($H$34:$H$74,"500001",AD$34:AD$74)-AD96</f>
        <v>0</v>
      </c>
      <c r="AE100" s="100"/>
      <c r="AF100" s="91"/>
      <c r="AG100" s="209">
        <f>SUMIF($H$34:$H$74,"400000",AG$34:AG$74)-SUMIF($H$34:$H$74,"500001",AG$34:AG$74)-AG96</f>
        <v>0</v>
      </c>
      <c r="AH100" s="100"/>
      <c r="AI100" s="91"/>
      <c r="AJ100" s="11"/>
      <c r="AK100" s="11"/>
      <c r="AL100" s="11"/>
      <c r="AM100" s="11"/>
      <c r="AN100" s="11"/>
      <c r="AO100" s="11"/>
    </row>
    <row r="101" spans="1:41"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37"/>
      <c r="P102" s="137"/>
      <c r="Q102" s="137"/>
      <c r="R102" s="137"/>
      <c r="S102" s="137"/>
      <c r="T102" s="137"/>
      <c r="U102" s="137"/>
      <c r="V102" s="137"/>
      <c r="W102" s="137"/>
      <c r="X102" s="137"/>
      <c r="Y102" s="137"/>
      <c r="Z102" s="137"/>
      <c r="AA102" s="137"/>
      <c r="AB102" s="11"/>
      <c r="AC102" s="11"/>
      <c r="AD102" s="137"/>
      <c r="AE102" s="11"/>
      <c r="AF102" s="11"/>
      <c r="AG102" s="137"/>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11"/>
      <c r="I104" s="59"/>
      <c r="J104" s="59"/>
      <c r="K104" s="11"/>
      <c r="L104" s="11"/>
      <c r="M104" s="11"/>
      <c r="N104" s="11"/>
      <c r="O104" s="137"/>
      <c r="P104" s="137"/>
      <c r="Q104" s="137"/>
      <c r="R104" s="137"/>
      <c r="S104" s="137"/>
      <c r="T104" s="137"/>
      <c r="U104" s="137"/>
      <c r="V104" s="137"/>
      <c r="W104" s="137"/>
      <c r="X104" s="137"/>
      <c r="Y104" s="137"/>
      <c r="Z104" s="137"/>
      <c r="AA104" s="137"/>
      <c r="AB104" s="11"/>
      <c r="AC104" s="11"/>
      <c r="AD104" s="137"/>
      <c r="AE104" s="11"/>
      <c r="AF104" s="11"/>
      <c r="AG104" s="137"/>
      <c r="AH104" s="11"/>
      <c r="AI104" s="11"/>
      <c r="AJ104" s="11"/>
      <c r="AK104" s="11"/>
      <c r="AL104" s="11"/>
      <c r="AM104" s="11"/>
      <c r="AN104" s="11"/>
      <c r="AO104" s="11"/>
    </row>
    <row r="105" spans="1:41" x14ac:dyDescent="0.3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11"/>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c r="B108" s="11"/>
      <c r="C108" s="11"/>
      <c r="D108" s="11"/>
      <c r="E108" s="11"/>
      <c r="F108" s="11"/>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11"/>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11"/>
      <c r="B115" s="11"/>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11"/>
      <c r="B116" s="11"/>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11"/>
      <c r="B117" s="11"/>
      <c r="C117" s="11"/>
      <c r="D117" s="11"/>
      <c r="E117" s="267"/>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11"/>
      <c r="B118" s="11"/>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11"/>
      <c r="B119" s="11"/>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267"/>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11"/>
      <c r="B124" s="11"/>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11"/>
      <c r="B125" s="11"/>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11"/>
      <c r="B126" s="11"/>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11"/>
      <c r="B127" s="11"/>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11"/>
      <c r="B128" s="11"/>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11"/>
      <c r="B129" s="11"/>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11"/>
      <c r="B130" s="11"/>
      <c r="C130" s="11"/>
      <c r="D130" s="11"/>
      <c r="E130" s="11"/>
      <c r="F130" s="11"/>
      <c r="G130" s="11"/>
      <c r="H130" s="59"/>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11"/>
      <c r="B132" s="11"/>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11"/>
      <c r="B136" s="11"/>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11"/>
      <c r="K170" s="267"/>
      <c r="L170" s="267"/>
      <c r="M170" s="267"/>
      <c r="N170" s="11"/>
      <c r="O170" s="267"/>
      <c r="P170" s="267"/>
      <c r="Q170" s="267"/>
      <c r="R170" s="267"/>
      <c r="S170" s="267"/>
      <c r="T170" s="267"/>
      <c r="U170" s="267"/>
      <c r="V170" s="267"/>
      <c r="W170" s="267"/>
      <c r="X170" s="267"/>
      <c r="Y170" s="267"/>
      <c r="Z170" s="267"/>
      <c r="AA170" s="267"/>
      <c r="AB170" s="11"/>
      <c r="AC170" s="11"/>
      <c r="AD170" s="267"/>
      <c r="AE170" s="11"/>
      <c r="AF170" s="267"/>
      <c r="AG170" s="11"/>
      <c r="AH170" s="267"/>
      <c r="AI170" s="11"/>
      <c r="AJ170" s="11"/>
      <c r="AK170" s="11"/>
      <c r="AL170" s="11"/>
      <c r="AM170" s="11"/>
      <c r="AN170" s="11"/>
      <c r="AO170" s="11"/>
    </row>
    <row r="171" spans="1:41" x14ac:dyDescent="0.35">
      <c r="A171" s="11"/>
      <c r="B171" s="11"/>
      <c r="C171" s="11"/>
      <c r="D171" s="11"/>
      <c r="E171" s="11"/>
      <c r="F171" s="11"/>
      <c r="G171" s="11"/>
      <c r="H171" s="11"/>
      <c r="I171" s="267"/>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11"/>
      <c r="K174" s="267"/>
      <c r="L174" s="267"/>
      <c r="M174" s="267"/>
      <c r="N174" s="11"/>
      <c r="O174" s="267"/>
      <c r="P174" s="267"/>
      <c r="Q174" s="267"/>
      <c r="R174" s="267"/>
      <c r="S174" s="267"/>
      <c r="T174" s="267"/>
      <c r="U174" s="267"/>
      <c r="V174" s="267"/>
      <c r="W174" s="267"/>
      <c r="X174" s="267"/>
      <c r="Y174" s="267"/>
      <c r="Z174" s="267"/>
      <c r="AA174" s="267"/>
      <c r="AB174" s="11"/>
      <c r="AC174" s="11"/>
      <c r="AD174" s="267"/>
      <c r="AE174" s="11"/>
      <c r="AF174" s="267"/>
      <c r="AG174" s="11"/>
      <c r="AH174" s="267"/>
      <c r="AI174" s="11"/>
      <c r="AJ174" s="11"/>
      <c r="AK174" s="11"/>
      <c r="AL174" s="11"/>
      <c r="AM174" s="11"/>
      <c r="AN174" s="11"/>
      <c r="AO174" s="11"/>
    </row>
    <row r="175" spans="1:41" x14ac:dyDescent="0.35">
      <c r="A175" s="11"/>
      <c r="B175" s="11"/>
      <c r="C175" s="11"/>
      <c r="D175" s="11"/>
      <c r="E175" s="11"/>
      <c r="F175" s="11"/>
      <c r="G175" s="11"/>
      <c r="H175" s="11"/>
      <c r="I175" s="267"/>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BjgMcYTcUyqEkJk/6yT1XwwYaItM2fc/A4rLZfL/qEc76Zmw6+OGpAGgS1QYbKp9dO+qLJWx3Gg1HecT4pCMow==" saltValue="2LcdCm4rs5FHUAPmbT/mFg==" spinCount="100000" sheet="1" scenarios="1"/>
  <mergeCells count="2">
    <mergeCell ref="AD31:AE31"/>
    <mergeCell ref="AG31:AH31"/>
  </mergeCells>
  <dataValidations disablePrompts="1" count="2">
    <dataValidation type="list" allowBlank="1" sqref="B51 B29" xr:uid="{00000000-0002-0000-2400-000000000000}">
      <formula1>"SELF,ALL,BAS,DEP,BASMEMBERS,MEMBERS,NOEXPAND,GDEP"</formula1>
    </dataValidation>
    <dataValidation type="list" allowBlank="1" sqref="B50 B28" xr:uid="{00000000-0002-0000-2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096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40967" r:id="rId7" name="FPMExcelClientSheetOptionstb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40.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472</v>
      </c>
      <c r="C6" s="11" t="str">
        <f>IF(_epmOfflineCondition_,"Miscellaneous Income",_xll.EVDES(B6,$B$1))</f>
        <v>Miscellaneous Income</v>
      </c>
      <c r="D6" s="11"/>
      <c r="E6" s="58" t="str">
        <f>IF(_epmOfflineCondition_,"D1139",_xll.EVPRO($B$1,$B$6,$F$6))</f>
        <v>D1139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11"/>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IF(_epmOfflineCondition_,"'MISC_INC'!$B$2:$B$10",_xll.EVRNG($B$2:$B$10))</f>
        <v>'MISC_INC'!$B$2:$B$10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IF(_epmOfflineCondition_,"'MISC_INC'!$O$16:$AN$18",_xll.EVRNG($O$16:$AN$18))</f>
        <v>'MISC_INC'!$O$16:$AN$18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IF(_epmOfflineCondition_,"'MISC_INC'!$H$34:$H$50",_xll.EVRNG(H34:H50))</f>
        <v>'MISC_INC'!$H$34:$H$50</v>
      </c>
      <c r="C19" s="11"/>
      <c r="D19" s="11"/>
      <c r="E19" s="11"/>
      <c r="F19" s="11"/>
      <c r="G19" s="67" t="str">
        <f>$B$6</f>
        <v>D_ROI_CON</v>
      </c>
      <c r="H19" s="67">
        <v>400000</v>
      </c>
      <c r="I19" s="68"/>
      <c r="J19" s="68"/>
      <c r="K19" s="67"/>
      <c r="L19" s="67"/>
      <c r="M19" s="67"/>
      <c r="N19" s="67" t="str">
        <f>IF(_epmOfflineCondition_,"Total Revenue",_xll.EVDES(H19))</f>
        <v>Total Revenue</v>
      </c>
      <c r="O19" s="69">
        <f>IF(_epmOfflineCondition_,81866.39,_xll.EVGTS($B$1,1,$B$3,$B$5,$B$7,$B$9,O$16,O$17,O$18,$G$19,$H$19))</f>
        <v>81866.39</v>
      </c>
      <c r="P19" s="69">
        <f>IF(_epmOfflineCondition_,60952.85,_xll.EVGTS($B$1,1,$B$3,$B$5,$B$7,$B$9,P$16,P$17,P$18,$G$19,$H$19))</f>
        <v>60952.85</v>
      </c>
      <c r="Q19" s="69">
        <f>IF(_epmOfflineCondition_,79928.55,_xll.EVGTS($B$1,1,$B$3,$B$5,$B$7,$B$9,Q$16,Q$17,Q$18,$G$19,$H$19))</f>
        <v>79928.55</v>
      </c>
      <c r="R19" s="69">
        <f>IF(_epmOfflineCondition_,81448.06,_xll.EVGTS($B$1,1,$B$3,$B$5,$B$7,$B$9,R$16,R$17,R$18,$G$19,$H$19))</f>
        <v>81448.06</v>
      </c>
      <c r="S19" s="69">
        <f>IF(_epmOfflineCondition_,81946.17,_xll.EVGTS($B$1,1,$B$3,$B$5,$B$7,$B$9,S$16,S$17,S$18,$G$19,$H$19))</f>
        <v>81946.17</v>
      </c>
      <c r="T19" s="69">
        <f>IF(_epmOfflineCondition_,98820.11,_xll.EVGTS($B$1,1,$B$3,$B$5,$B$7,$B$9,T$16,T$17,T$18,$G$19,$H$19))</f>
        <v>98820.11</v>
      </c>
      <c r="U19" s="69">
        <f>IF(_epmOfflineCondition_,89975.18,_xll.EVGTS($B$1,1,$B$3,$B$5,$B$7,$B$9,U$16,U$17,U$18,$G$19,$H$19))</f>
        <v>89975.18</v>
      </c>
      <c r="V19" s="69">
        <f>IF(_epmOfflineCondition_,64785.19,_xll.EVGTS($B$1,1,$B$3,$B$5,$B$7,$B$9,V$16,V$17,V$18,$G$19,$H$19))</f>
        <v>64785.19</v>
      </c>
      <c r="W19" s="69">
        <f>IF(_epmOfflineCondition_,52459.39,_xll.EVGTS($B$1,1,$B$3,$B$5,$B$7,$B$9,W$16,W$17,W$18,$G$19,$H$19))</f>
        <v>52459.39</v>
      </c>
      <c r="X19" s="69">
        <f>IF(_epmOfflineCondition_,67359.87,_xll.EVGTS($B$1,1,$B$3,$B$5,$B$7,$B$9,X$16,X$17,X$18,$G$19,$H$19))</f>
        <v>67359.87</v>
      </c>
      <c r="Y19" s="69">
        <f>IF(_epmOfflineCondition_,68052.58,_xll.EVGTS($B$1,1,$B$3,$B$5,$B$7,$B$9,Y$16,Y$17,Y$18,$G$19,$H$19))</f>
        <v>68052.58</v>
      </c>
      <c r="Z19" s="69">
        <f>IF(_epmOfflineCondition_,86148.51,_xll.EVGTS($B$1,1,$B$3,$B$5,$B$7,$B$9,Z$16,Z$17,Z$18,$G$19,$H$19))</f>
        <v>86148.51</v>
      </c>
      <c r="AA19" s="69">
        <f>SUM(O19:Z19)</f>
        <v>913742.85</v>
      </c>
      <c r="AB19" s="67"/>
      <c r="AC19" s="67"/>
      <c r="AD19" s="69">
        <f>IF(_epmOfflineCondition_,849442.827100001,_xll.EVGTS($B$1,1,$B$3,$B$5,$B$7,$B$9,AD$16,AD$17,AD$18,$G$19,$H$19))</f>
        <v>849442.82710000104</v>
      </c>
      <c r="AE19" s="67"/>
      <c r="AF19" s="67"/>
      <c r="AG19" s="69">
        <f>IF(_epmOfflineCondition_,463257.4,_xll.EVGTS($B$1,1,$B$3,$B$5,$B$7,$B$9,AG$16,AG$17,AG$18,$G$19,$H$19))</f>
        <v>463257.4</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IF(_epmOfflineCondition_,3501,_xll.EVGTS($B$1,1,$B$3,$B$5,$B$7,$B$9,O$16,O$17,O$18,$G$20,$H$20))</f>
        <v>3501</v>
      </c>
      <c r="P20" s="69">
        <f>IF(_epmOfflineCondition_,3377,_xll.EVGTS($B$1,1,$B$3,$B$5,$B$7,$B$9,P$16,P$17,P$18,$G$20,$H$20))</f>
        <v>3377</v>
      </c>
      <c r="Q20" s="69">
        <f>IF(_epmOfflineCondition_,3667,_xll.EVGTS($B$1,1,$B$3,$B$5,$B$7,$B$9,Q$16,Q$17,Q$18,$G$20,$H$20))</f>
        <v>3667</v>
      </c>
      <c r="R20" s="69">
        <f>IF(_epmOfflineCondition_,3581,_xll.EVGTS($B$1,1,$B$3,$B$5,$B$7,$B$9,R$16,R$17,R$18,$G$20,$H$20))</f>
        <v>3581</v>
      </c>
      <c r="S20" s="69">
        <f>IF(_epmOfflineCondition_,3767,_xll.EVGTS($B$1,1,$B$3,$B$5,$B$7,$B$9,S$16,S$17,S$18,$G$20,$H$20))</f>
        <v>3767</v>
      </c>
      <c r="T20" s="69">
        <f>IF(_epmOfflineCondition_,3631,_xll.EVGTS($B$1,1,$B$3,$B$5,$B$7,$B$9,T$16,T$17,T$18,$G$20,$H$20))</f>
        <v>3631</v>
      </c>
      <c r="U20" s="69">
        <f>IF(_epmOfflineCondition_,3561,_xll.EVGTS($B$1,1,$B$3,$B$5,$B$7,$B$9,U$16,U$17,U$18,$G$20,$H$20))</f>
        <v>3561</v>
      </c>
      <c r="V20" s="69">
        <f>IF(_epmOfflineCondition_,2601,_xll.EVGTS($B$1,1,$B$3,$B$5,$B$7,$B$9,V$16,V$17,V$18,$G$20,$H$20))</f>
        <v>2601</v>
      </c>
      <c r="W20" s="69">
        <f>IF(_epmOfflineCondition_,2344,_xll.EVGTS($B$1,1,$B$3,$B$5,$B$7,$B$9,W$16,W$17,W$18,$G$20,$H$20))</f>
        <v>2344</v>
      </c>
      <c r="X20" s="69">
        <f>IF(_epmOfflineCondition_,3006,_xll.EVGTS($B$1,1,$B$3,$B$5,$B$7,$B$9,X$16,X$17,X$18,$G$20,$H$20))</f>
        <v>3006</v>
      </c>
      <c r="Y20" s="69">
        <f>IF(_epmOfflineCondition_,3349,_xll.EVGTS($B$1,1,$B$3,$B$5,$B$7,$B$9,Y$16,Y$17,Y$18,$G$20,$H$20))</f>
        <v>3349</v>
      </c>
      <c r="Z20" s="69">
        <f>IF(_epmOfflineCondition_,3834,_xll.EVGTS($B$1,1,$B$3,$B$5,$B$7,$B$9,Z$16,Z$17,Z$18,$G$20,$H$20))</f>
        <v>3834</v>
      </c>
      <c r="AA20" s="69">
        <f>SUM(O20:Z20)</f>
        <v>40219</v>
      </c>
      <c r="AB20" s="67"/>
      <c r="AC20" s="67"/>
      <c r="AD20" s="69">
        <f>IF(_epmOfflineCondition_,37525,_xll.EVGTS($B$1,1,$B$3,$B$5,$B$7,$B$9,AD$16,AD$17,AD$18,$G$20,$H$20))</f>
        <v>37525</v>
      </c>
      <c r="AE20" s="67"/>
      <c r="AF20" s="67"/>
      <c r="AG20" s="69">
        <f>IF(_epmOfflineCondition_,20050,_xll.EVGTS($B$1,1,$B$3,$B$5,$B$7,$B$9,AG$16,AG$17,AG$18,$G$20,$H$20))</f>
        <v>20050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IF(_epmOfflineCondition_,"'MISC_INC'!$A$36:$F$41",_xll.EVRNG(A36:F41))</f>
        <v>'MISC_INC'!$A$36:$F$41</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IF(_epmOfflineCondition_,"'MISC_INC'!$A$45:$B$66",_xll.EVRNG($A$45:$B$66))</f>
        <v>'MISC_INC'!$A$45:$B$66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IF(_epmOfflineCondition_,"Miscellaneous Income",IF(_xll.EVDES(B6,$B$1)="#NODATA","",_xll.EVDES(B6,$B$1)))</f>
        <v>Miscellaneous Income</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"DEP(455000) AND "&amp;$E$6&amp;"=Y,400000"</f>
        <v>DEP(455000) AND D1139=Y,400000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640</v>
      </c>
      <c r="I34" s="122" t="str">
        <f>IF(_epmOfflineCondition_,"T5",_xll.EVPRO($B$1,$H34,"STYLE"))</f>
        <v>T5</v>
      </c>
      <c r="J34" s="122" t="str">
        <f>IF(_epmOfflineCondition_,"Y",_xll.EVPRO($B$1,$H34,"CALC"))</f>
        <v>Y</v>
      </c>
      <c r="K34" s="179" t="str">
        <f t="shared" ref="K34:K50" si="0">IF(AND(I34&gt;="T5"),"&gt;","")</f>
        <v>&gt;</v>
      </c>
      <c r="L34" s="90" t="str">
        <f>IF(_epmOfflineCondition_,"455100",_xll.EVPRO($B$1,H34,"JDEID"))</f>
        <v>455100</v>
      </c>
      <c r="M34" s="90" t="str">
        <f>IF(_epmOfflineCondition_,"",IF(AND(I34="N",J34="N"),_xll.EVPRO($B$1,H34,"PSFTID"),""))</f>
        <v/>
      </c>
      <c r="N34" s="90" t="str">
        <f>IF(_epmOfflineCondition_,"Space Rent &amp; Concessions",IF(_xll.EVDES(H34,$B$1)="#NODATA","",_xll.EVDES(H34,$B$1)))</f>
        <v>Space Rent &amp; Concessions</v>
      </c>
      <c r="O34" s="445"/>
      <c r="P34" s="251"/>
      <c r="Q34" s="251"/>
      <c r="R34" s="251">
        <v>1605</v>
      </c>
      <c r="S34" s="251"/>
      <c r="T34" s="251">
        <v>1605</v>
      </c>
      <c r="U34" s="251">
        <v>1570</v>
      </c>
      <c r="V34" s="251"/>
      <c r="W34" s="251">
        <v>1605</v>
      </c>
      <c r="X34" s="251"/>
      <c r="Y34" s="251"/>
      <c r="Z34" s="251">
        <v>-0.02</v>
      </c>
      <c r="AA34" s="251">
        <f t="shared" ref="AA34:AA50" si="1">IF($I34="B1","",SUM(O34:Z34))</f>
        <v>6384.98</v>
      </c>
      <c r="AB34" s="446">
        <f t="shared" ref="AB34:AB50" si="2">IF(AA34=0,"",IFERROR(AA34/AA$19,""))</f>
        <v>6.9877208888693351E-3</v>
      </c>
      <c r="AC34" s="437"/>
      <c r="AD34" s="251"/>
      <c r="AE34" s="446" t="str">
        <f t="shared" ref="AE34:AE50" si="3">IF(AD34=0,"",IFERROR(AD34/AD$19,""))</f>
        <v/>
      </c>
      <c r="AF34" s="447">
        <f t="shared" ref="AF34:AF50" si="4">IF(AND($AA34="",AD34=""),"",$AA34-AD34)</f>
        <v>6384.98</v>
      </c>
      <c r="AG34" s="251"/>
      <c r="AH34" s="446" t="str">
        <f t="shared" ref="AH34:AH50" si="5">IF(AG34=0,"",IFERROR(AG34/AG$19,""))</f>
        <v/>
      </c>
      <c r="AI34" s="448">
        <f t="shared" ref="AI34:AI50" si="6">IF(AND($AA34="",AG34=""),"",$AA34-AG34)</f>
        <v>6384.98</v>
      </c>
      <c r="AJ34" s="440">
        <f t="shared" ref="AJ34:AJ50" si="7">IFERROR(AA34/AA$20,0)</f>
        <v>0.15875531465227877</v>
      </c>
      <c r="AK34" s="441">
        <f t="shared" ref="AK34:AK50" si="8">IFERROR(AD34/AD$20,0)</f>
        <v>0</v>
      </c>
      <c r="AL34" s="442">
        <f t="shared" ref="AL34:AL50" si="9">IFERROR(AG34/AG$20,0)</f>
        <v>0</v>
      </c>
      <c r="AM34" s="443">
        <f t="shared" ref="AM34:AM50" si="10">+IFERROR(ROUND(($AB34-AE34)*100,2)&amp;" pts.",0)</f>
        <v>0</v>
      </c>
      <c r="AN34" s="444">
        <f t="shared" ref="AN34:AN50" si="11">+IFERROR(ROUND(($AB34-AH34)*100,2)&amp;" pts.",0)</f>
        <v>0</v>
      </c>
      <c r="AO34" s="11"/>
    </row>
    <row r="35" spans="1:41" x14ac:dyDescent="0.35">
      <c r="A35" s="97" t="s">
        <v>92</v>
      </c>
      <c r="B35" s="98" t="s">
        <v>93</v>
      </c>
      <c r="C35" s="98" t="s">
        <v>94</v>
      </c>
      <c r="D35" s="98" t="s">
        <v>95</v>
      </c>
      <c r="E35" s="98" t="s">
        <v>96</v>
      </c>
      <c r="F35" s="99" t="s">
        <v>97</v>
      </c>
      <c r="G35" s="11"/>
      <c r="H35" s="88" t="s">
        <v>641</v>
      </c>
      <c r="I35" s="122" t="str">
        <f>IF(_epmOfflineCondition_,"T5",_xll.EVPRO($B$1,$H35,"STYLE"))</f>
        <v>T5</v>
      </c>
      <c r="J35" s="122" t="str">
        <f>IF(_epmOfflineCondition_,"Y",_xll.EVPRO($B$1,$H35,"CALC"))</f>
        <v>Y</v>
      </c>
      <c r="K35" s="179" t="str">
        <f t="shared" si="0"/>
        <v>&gt;</v>
      </c>
      <c r="L35" s="90" t="str">
        <f>IF(_epmOfflineCondition_,"455200",_xll.EVPRO($B$1,H35,"JDEID"))</f>
        <v>455200</v>
      </c>
      <c r="M35" s="90" t="str">
        <f>IF(_epmOfflineCondition_,"",IF(AND(I35="N",J35="N"),_xll.EVPRO($B$1,H35,"PSFTID"),""))</f>
        <v/>
      </c>
      <c r="N35" s="90" t="str">
        <f>IF(_epmOfflineCondition_,"Commissions",IF(_xll.EVDES(H35,$B$1)="#NODATA","",_xll.EVDES(H35,$B$1)))</f>
        <v>Commissions</v>
      </c>
      <c r="O35" s="445">
        <v>935.6</v>
      </c>
      <c r="P35" s="251">
        <v>5697</v>
      </c>
      <c r="Q35" s="251">
        <v>1525.84</v>
      </c>
      <c r="R35" s="251">
        <v>2808.79</v>
      </c>
      <c r="S35" s="251">
        <v>4566.62</v>
      </c>
      <c r="T35" s="251">
        <v>15198.29</v>
      </c>
      <c r="U35" s="251">
        <v>12297.24</v>
      </c>
      <c r="V35" s="251">
        <v>4618.78</v>
      </c>
      <c r="W35" s="251">
        <v>1845.58</v>
      </c>
      <c r="X35" s="251">
        <v>2234.27</v>
      </c>
      <c r="Y35" s="251">
        <v>-1215.1099999999999</v>
      </c>
      <c r="Z35" s="251">
        <v>2981.31</v>
      </c>
      <c r="AA35" s="251">
        <f t="shared" si="1"/>
        <v>53494.209999999992</v>
      </c>
      <c r="AB35" s="446">
        <f t="shared" si="2"/>
        <v>5.8544053176448924E-2</v>
      </c>
      <c r="AC35" s="437"/>
      <c r="AD35" s="251">
        <v>23981.627100000002</v>
      </c>
      <c r="AE35" s="446">
        <f t="shared" si="3"/>
        <v>2.8232185068738893E-2</v>
      </c>
      <c r="AF35" s="447">
        <f t="shared" si="4"/>
        <v>29512.58289999999</v>
      </c>
      <c r="AG35" s="251">
        <v>678.71</v>
      </c>
      <c r="AH35" s="446">
        <f t="shared" si="5"/>
        <v>1.465081831396541E-3</v>
      </c>
      <c r="AI35" s="448">
        <f t="shared" si="6"/>
        <v>52815.499999999993</v>
      </c>
      <c r="AJ35" s="440">
        <f t="shared" si="7"/>
        <v>1.3300730997787114</v>
      </c>
      <c r="AK35" s="441">
        <f t="shared" si="8"/>
        <v>0.63908399999999999</v>
      </c>
      <c r="AL35" s="442">
        <f t="shared" si="9"/>
        <v>3.3850872817955117E-2</v>
      </c>
      <c r="AM35" s="443" t="str">
        <f t="shared" si="10"/>
        <v>3.03 pts.</v>
      </c>
      <c r="AN35" s="444" t="str">
        <f t="shared" si="11"/>
        <v>5.71 pts.</v>
      </c>
      <c r="AO35" s="11"/>
    </row>
    <row r="36" spans="1:41" x14ac:dyDescent="0.35">
      <c r="A36" s="11"/>
      <c r="B36" s="11"/>
      <c r="C36" s="11"/>
      <c r="D36" s="11"/>
      <c r="E36" s="11"/>
      <c r="F36" s="11"/>
      <c r="G36" s="11"/>
      <c r="H36" s="88" t="s">
        <v>642</v>
      </c>
      <c r="I36" s="122" t="str">
        <f>IF(_epmOfflineCondition_,"N",_xll.EVPRO($B$1,$H36,"STYLE"))</f>
        <v>N</v>
      </c>
      <c r="J36" s="122" t="str">
        <f>IF(_epmOfflineCondition_,"N",_xll.EVPRO($B$1,$H36,"CALC"))</f>
        <v>N</v>
      </c>
      <c r="K36" s="179" t="str">
        <f t="shared" si="0"/>
        <v/>
      </c>
      <c r="L36" s="90" t="str">
        <f>IF(_epmOfflineCondition_,"455250",_xll.EVPRO($B$1,H36,"JDEID"))</f>
        <v>455250</v>
      </c>
      <c r="M36" s="90" t="str">
        <f>IF(_epmOfflineCondition_,"206088",IF(AND(I36="N",J36="N"),_xll.EVPRO($B$1,H36,"PSFTID"),""))</f>
        <v>206088</v>
      </c>
      <c r="N36" s="90" t="str">
        <f>IF(_epmOfflineCondition_,"Cash Discounts Earned",IF(_xll.EVDES(H36,$B$1)="#NODATA","",_xll.EVDES(H36,$B$1)))</f>
        <v>Cash Discounts Earned</v>
      </c>
      <c r="O36" s="445"/>
      <c r="P36" s="251"/>
      <c r="Q36" s="251"/>
      <c r="R36" s="251"/>
      <c r="S36" s="251"/>
      <c r="T36" s="251"/>
      <c r="U36" s="251">
        <v>1538.36</v>
      </c>
      <c r="V36" s="251"/>
      <c r="W36" s="251"/>
      <c r="X36" s="251"/>
      <c r="Y36" s="251"/>
      <c r="Z36" s="251"/>
      <c r="AA36" s="251">
        <f t="shared" si="1"/>
        <v>1538.36</v>
      </c>
      <c r="AB36" s="446">
        <f t="shared" si="2"/>
        <v>1.6835808893060011E-3</v>
      </c>
      <c r="AC36" s="437"/>
      <c r="AD36" s="251">
        <v>2460</v>
      </c>
      <c r="AE36" s="446">
        <f t="shared" si="3"/>
        <v>2.8960159783777838E-3</v>
      </c>
      <c r="AF36" s="447">
        <f t="shared" si="4"/>
        <v>-921.6400000000001</v>
      </c>
      <c r="AG36" s="251">
        <v>1714.8</v>
      </c>
      <c r="AH36" s="446">
        <f t="shared" si="5"/>
        <v>3.7016138328281423E-3</v>
      </c>
      <c r="AI36" s="448">
        <f t="shared" si="6"/>
        <v>-176.44000000000005</v>
      </c>
      <c r="AJ36" s="440">
        <f t="shared" si="7"/>
        <v>3.8249583530172306E-2</v>
      </c>
      <c r="AK36" s="441">
        <f t="shared" si="8"/>
        <v>6.5556295802798134E-2</v>
      </c>
      <c r="AL36" s="442">
        <f t="shared" si="9"/>
        <v>8.5526184538653363E-2</v>
      </c>
      <c r="AM36" s="443" t="str">
        <f t="shared" si="10"/>
        <v>-0.12 pts.</v>
      </c>
      <c r="AN36" s="444" t="str">
        <f t="shared" si="11"/>
        <v>-0.2 pts.</v>
      </c>
      <c r="AO36" s="11"/>
    </row>
    <row r="37" spans="1:41" x14ac:dyDescent="0.35">
      <c r="A37" s="11" t="s">
        <v>209</v>
      </c>
      <c r="B37" s="11" t="s">
        <v>21</v>
      </c>
      <c r="C37" s="395"/>
      <c r="D37" s="11" t="s">
        <v>590</v>
      </c>
      <c r="E37" s="11"/>
      <c r="F37" s="11" t="s">
        <v>99</v>
      </c>
      <c r="G37" s="11"/>
      <c r="H37" s="88" t="s">
        <v>643</v>
      </c>
      <c r="I37" s="122" t="str">
        <f>IF(_epmOfflineCondition_,"T5",_xll.EVPRO($B$1,$H37,"STYLE"))</f>
        <v>T5</v>
      </c>
      <c r="J37" s="122" t="str">
        <f>IF(_epmOfflineCondition_,"Y",_xll.EVPRO($B$1,$H37,"CALC"))</f>
        <v>Y</v>
      </c>
      <c r="K37" s="179" t="str">
        <f t="shared" si="0"/>
        <v>&gt;</v>
      </c>
      <c r="L37" s="90" t="str">
        <f>IF(_epmOfflineCondition_,"455300",_xll.EVPRO($B$1,H37,"JDEID"))</f>
        <v>455300</v>
      </c>
      <c r="M37" s="90" t="str">
        <f>IF(_epmOfflineCondition_,"",IF(AND(I37="N",J37="N"),_xll.EVPRO($B$1,H37,"PSFTID"),""))</f>
        <v/>
      </c>
      <c r="N37" s="90" t="str">
        <f>IF(_epmOfflineCondition_,"Attrition Penalties",IF(_xll.EVDES(H37,$B$1)="#NODATA","",_xll.EVDES(H37,$B$1)))</f>
        <v>Attrition Penalties</v>
      </c>
      <c r="O37" s="445"/>
      <c r="P37" s="251"/>
      <c r="Q37" s="251"/>
      <c r="R37" s="251"/>
      <c r="S37" s="251"/>
      <c r="T37" s="251"/>
      <c r="U37" s="251"/>
      <c r="V37" s="251"/>
      <c r="W37" s="251"/>
      <c r="X37" s="251"/>
      <c r="Y37" s="251"/>
      <c r="Z37" s="251"/>
      <c r="AA37" s="251">
        <f t="shared" si="1"/>
        <v>0</v>
      </c>
      <c r="AB37" s="446" t="str">
        <f t="shared" si="2"/>
        <v/>
      </c>
      <c r="AC37" s="437"/>
      <c r="AD37" s="251"/>
      <c r="AE37" s="446" t="str">
        <f t="shared" si="3"/>
        <v/>
      </c>
      <c r="AF37" s="447">
        <f t="shared" si="4"/>
        <v>0</v>
      </c>
      <c r="AG37" s="251"/>
      <c r="AH37" s="446" t="str">
        <f t="shared" si="5"/>
        <v/>
      </c>
      <c r="AI37" s="448">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644</v>
      </c>
      <c r="I38" s="122" t="str">
        <f>IF(_epmOfflineCondition_,"T5",_xll.EVPRO($B$1,$H38,"STYLE"))</f>
        <v>T5</v>
      </c>
      <c r="J38" s="122" t="str">
        <f>IF(_epmOfflineCondition_,"Y",_xll.EVPRO($B$1,$H38,"CALC"))</f>
        <v>Y</v>
      </c>
      <c r="K38" s="179" t="str">
        <f t="shared" si="0"/>
        <v>&gt;</v>
      </c>
      <c r="L38" s="90" t="str">
        <f>IF(_epmOfflineCondition_,"455400",_xll.EVPRO($B$1,H38,"JDEID"))</f>
        <v>455400</v>
      </c>
      <c r="M38" s="90" t="str">
        <f>IF(_epmOfflineCondition_,"",IF(AND(I38="N",J38="N"),_xll.EVPRO($B$1,H38,"PSFTID"),""))</f>
        <v/>
      </c>
      <c r="N38" s="90" t="str">
        <f>IF(_epmOfflineCondition_,"Cancellation Penalties",IF(_xll.EVDES(H38,$B$1)="#NODATA","",_xll.EVDES(H38,$B$1)))</f>
        <v>Cancellation Penalties</v>
      </c>
      <c r="O38" s="445">
        <v>4007.81</v>
      </c>
      <c r="P38" s="251">
        <v>-15929.58</v>
      </c>
      <c r="Q38" s="251">
        <v>-470.74</v>
      </c>
      <c r="R38" s="251">
        <v>4091.42</v>
      </c>
      <c r="S38" s="251">
        <v>-1251.43</v>
      </c>
      <c r="T38" s="251">
        <v>2654.1</v>
      </c>
      <c r="U38" s="251">
        <v>1394.36</v>
      </c>
      <c r="V38" s="251">
        <v>3103.8</v>
      </c>
      <c r="W38" s="251">
        <v>599.16999999999996</v>
      </c>
      <c r="X38" s="251">
        <v>2400.71</v>
      </c>
      <c r="Y38" s="251">
        <v>599.92999999999995</v>
      </c>
      <c r="Z38" s="251">
        <v>210.03</v>
      </c>
      <c r="AA38" s="251">
        <f t="shared" si="1"/>
        <v>1409.5799999999997</v>
      </c>
      <c r="AB38" s="446">
        <f t="shared" si="2"/>
        <v>1.5426440819755797E-3</v>
      </c>
      <c r="AC38" s="437"/>
      <c r="AD38" s="251">
        <v>27275.0000000004</v>
      </c>
      <c r="AE38" s="446">
        <f t="shared" si="3"/>
        <v>3.2109282849697239E-2</v>
      </c>
      <c r="AF38" s="447">
        <f t="shared" si="4"/>
        <v>-25865.420000000402</v>
      </c>
      <c r="AG38" s="251">
        <v>41709.78</v>
      </c>
      <c r="AH38" s="446">
        <f t="shared" si="5"/>
        <v>9.0035863431431412E-2</v>
      </c>
      <c r="AI38" s="448">
        <f t="shared" si="6"/>
        <v>-40300.199999999997</v>
      </c>
      <c r="AJ38" s="440">
        <f t="shared" si="7"/>
        <v>3.5047614311643743E-2</v>
      </c>
      <c r="AK38" s="441">
        <f t="shared" si="8"/>
        <v>0.72684876748835181</v>
      </c>
      <c r="AL38" s="442">
        <f t="shared" si="9"/>
        <v>2.0802882793017456</v>
      </c>
      <c r="AM38" s="443" t="str">
        <f t="shared" si="10"/>
        <v>-3.06 pts.</v>
      </c>
      <c r="AN38" s="444" t="str">
        <f t="shared" si="11"/>
        <v>-8.85 pts.</v>
      </c>
      <c r="AO38" s="11"/>
    </row>
    <row r="39" spans="1:41" x14ac:dyDescent="0.35">
      <c r="A39" s="11" t="s">
        <v>104</v>
      </c>
      <c r="B39" s="11"/>
      <c r="C39" s="104" t="s">
        <v>101</v>
      </c>
      <c r="D39" s="11" t="s">
        <v>106</v>
      </c>
      <c r="E39" s="11"/>
      <c r="F39" s="11" t="s">
        <v>98</v>
      </c>
      <c r="G39" s="11"/>
      <c r="H39" s="88" t="s">
        <v>645</v>
      </c>
      <c r="I39" s="122" t="str">
        <f>IF(_epmOfflineCondition_,"N",_xll.EVPRO($B$1,$H39,"STYLE"))</f>
        <v>N</v>
      </c>
      <c r="J39" s="122" t="str">
        <f>IF(_epmOfflineCondition_,"N",_xll.EVPRO($B$1,$H39,"CALC"))</f>
        <v>N</v>
      </c>
      <c r="K39" s="179" t="str">
        <f t="shared" si="0"/>
        <v/>
      </c>
      <c r="L39" s="90" t="str">
        <f>IF(_epmOfflineCondition_,"455500",_xll.EVPRO($B$1,H39,"JDEID"))</f>
        <v>455500</v>
      </c>
      <c r="M39" s="90" t="str">
        <f>IF(_epmOfflineCondition_,"206065",IF(AND(I39="N",J39="N"),_xll.EVPRO($B$1,H39,"PSFTID"),""))</f>
        <v>206065</v>
      </c>
      <c r="N39" s="90" t="str">
        <f>IF(_epmOfflineCondition_,"Guest Foreign Currency Trans. (Gain/Loss)",IF(_xll.EVDES(H39,$B$1)="#NODATA","",_xll.EVDES(H39,$B$1)))</f>
        <v>Guest Foreign Currency Trans. (Gain/Loss)</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06" t="s">
        <v>101</v>
      </c>
      <c r="D40" s="11" t="s">
        <v>106</v>
      </c>
      <c r="E40" s="11"/>
      <c r="F40" s="11" t="s">
        <v>98</v>
      </c>
      <c r="G40" s="11"/>
      <c r="H40" s="88" t="s">
        <v>646</v>
      </c>
      <c r="I40" s="122" t="str">
        <f>IF(_epmOfflineCondition_,"N",_xll.EVPRO($B$1,$H40,"STYLE"))</f>
        <v>N</v>
      </c>
      <c r="J40" s="122" t="str">
        <f>IF(_epmOfflineCondition_,"N",_xll.EVPRO($B$1,$H40,"CALC"))</f>
        <v>N</v>
      </c>
      <c r="K40" s="179" t="str">
        <f t="shared" si="0"/>
        <v/>
      </c>
      <c r="L40" s="90" t="str">
        <f>IF(_epmOfflineCondition_,"455510",_xll.EVPRO($B$1,H40,"JDEID"))</f>
        <v>455510</v>
      </c>
      <c r="M40" s="90" t="str">
        <f>IF(_epmOfflineCondition_,"207065",IF(AND(I40="N",J40="N"),_xll.EVPRO($B$1,H40,"PSFTID"),""))</f>
        <v>207065</v>
      </c>
      <c r="N40" s="90" t="str">
        <f>IF(_epmOfflineCondition_,"Guest Laundry &amp; Dry Cleaning",IF(_xll.EVDES(H40,$B$1)="#NODATA","",_xll.EVDES(H40,$B$1)))</f>
        <v>Guest Laundry &amp; Dry Cleaning</v>
      </c>
      <c r="O40" s="445"/>
      <c r="P40" s="251"/>
      <c r="Q40" s="251"/>
      <c r="R40" s="251"/>
      <c r="S40" s="251"/>
      <c r="T40" s="251"/>
      <c r="U40" s="251"/>
      <c r="V40" s="251"/>
      <c r="W40" s="251"/>
      <c r="X40" s="251"/>
      <c r="Y40" s="251"/>
      <c r="Z40" s="251"/>
      <c r="AA40" s="251">
        <f t="shared" si="1"/>
        <v>0</v>
      </c>
      <c r="AB40" s="446" t="str">
        <f t="shared" si="2"/>
        <v/>
      </c>
      <c r="AC40" s="437"/>
      <c r="AD40" s="251"/>
      <c r="AE40" s="446" t="str">
        <f t="shared" si="3"/>
        <v/>
      </c>
      <c r="AF40" s="447">
        <f t="shared" si="4"/>
        <v>0</v>
      </c>
      <c r="AG40" s="251"/>
      <c r="AH40" s="446" t="str">
        <f t="shared" si="5"/>
        <v/>
      </c>
      <c r="AI40" s="448">
        <f t="shared" si="6"/>
        <v>0</v>
      </c>
      <c r="AJ40" s="440">
        <f t="shared" si="7"/>
        <v>0</v>
      </c>
      <c r="AK40" s="441">
        <f t="shared" si="8"/>
        <v>0</v>
      </c>
      <c r="AL40" s="442">
        <f t="shared" si="9"/>
        <v>0</v>
      </c>
      <c r="AM40" s="443">
        <f t="shared" si="10"/>
        <v>0</v>
      </c>
      <c r="AN40" s="444">
        <f t="shared" si="11"/>
        <v>0</v>
      </c>
      <c r="AO40" s="11"/>
    </row>
    <row r="41" spans="1:41" x14ac:dyDescent="0.35">
      <c r="A41" s="11" t="s">
        <v>108</v>
      </c>
      <c r="B41" s="11"/>
      <c r="C41" s="196" t="s">
        <v>101</v>
      </c>
      <c r="D41" s="11" t="s">
        <v>107</v>
      </c>
      <c r="E41" s="11"/>
      <c r="F41" s="11" t="s">
        <v>99</v>
      </c>
      <c r="G41" s="11"/>
      <c r="H41" s="88" t="s">
        <v>647</v>
      </c>
      <c r="I41" s="122" t="str">
        <f>IF(_epmOfflineCondition_,"N",_xll.EVPRO($B$1,$H41,"STYLE"))</f>
        <v>N</v>
      </c>
      <c r="J41" s="122" t="str">
        <f>IF(_epmOfflineCondition_,"N",_xll.EVPRO($B$1,$H41,"CALC"))</f>
        <v>N</v>
      </c>
      <c r="K41" s="179" t="str">
        <f t="shared" si="0"/>
        <v/>
      </c>
      <c r="L41" s="90" t="str">
        <f>IF(_epmOfflineCondition_,"455550",_xll.EVPRO($B$1,H41,"JDEID"))</f>
        <v>455550</v>
      </c>
      <c r="M41" s="90" t="str">
        <f>IF(_epmOfflineCondition_,"207070",IF(AND(I41="N",J41="N"),_xll.EVPRO($B$1,H41,"PSFTID"),""))</f>
        <v>207070</v>
      </c>
      <c r="N41" s="90" t="str">
        <f>IF(_epmOfflineCondition_,"Interest Income (Unrestricted Accounts)",IF(_xll.EVDES(H41,$B$1)="#NODATA","",_xll.EVDES(H41,$B$1)))</f>
        <v>Interest Income (Unrestricted Accounts)</v>
      </c>
      <c r="O41" s="445"/>
      <c r="P41" s="251"/>
      <c r="Q41" s="251"/>
      <c r="R41" s="251"/>
      <c r="S41" s="251"/>
      <c r="T41" s="251"/>
      <c r="U41" s="251"/>
      <c r="V41" s="251"/>
      <c r="W41" s="251"/>
      <c r="X41" s="251"/>
      <c r="Y41" s="251"/>
      <c r="Z41" s="251"/>
      <c r="AA41" s="251">
        <f t="shared" si="1"/>
        <v>0</v>
      </c>
      <c r="AB41" s="446" t="str">
        <f t="shared" si="2"/>
        <v/>
      </c>
      <c r="AC41" s="437"/>
      <c r="AD41" s="251"/>
      <c r="AE41" s="446" t="str">
        <f t="shared" si="3"/>
        <v/>
      </c>
      <c r="AF41" s="447">
        <f t="shared" si="4"/>
        <v>0</v>
      </c>
      <c r="AG41" s="251"/>
      <c r="AH41" s="446" t="str">
        <f t="shared" si="5"/>
        <v/>
      </c>
      <c r="AI41" s="448">
        <f t="shared" si="6"/>
        <v>0</v>
      </c>
      <c r="AJ41" s="440">
        <f t="shared" si="7"/>
        <v>0</v>
      </c>
      <c r="AK41" s="441">
        <f t="shared" si="8"/>
        <v>0</v>
      </c>
      <c r="AL41" s="442">
        <f t="shared" si="9"/>
        <v>0</v>
      </c>
      <c r="AM41" s="443">
        <f t="shared" si="10"/>
        <v>0</v>
      </c>
      <c r="AN41" s="444">
        <f t="shared" si="11"/>
        <v>0</v>
      </c>
      <c r="AO41" s="11"/>
    </row>
    <row r="42" spans="1:41" x14ac:dyDescent="0.35">
      <c r="A42" s="11"/>
      <c r="B42" s="11"/>
      <c r="C42" s="11"/>
      <c r="D42" s="11"/>
      <c r="E42" s="11"/>
      <c r="F42" s="11"/>
      <c r="G42" s="11"/>
      <c r="H42" s="88" t="s">
        <v>648</v>
      </c>
      <c r="I42" s="122" t="str">
        <f>IF(_epmOfflineCondition_,"N",_xll.EVPRO($B$1,$H42,"STYLE"))</f>
        <v>N</v>
      </c>
      <c r="J42" s="122" t="str">
        <f>IF(_epmOfflineCondition_,"N",_xll.EVPRO($B$1,$H42,"CALC"))</f>
        <v>N</v>
      </c>
      <c r="K42" s="179" t="str">
        <f t="shared" si="0"/>
        <v/>
      </c>
      <c r="L42" s="90" t="str">
        <f>IF(_epmOfflineCondition_,"455560",_xll.EVPRO($B$1,H42,"JDEID"))</f>
        <v>455560</v>
      </c>
      <c r="M42" s="90" t="str">
        <f>IF(_epmOfflineCondition_,"207075",IF(AND(I42="N",J42="N"),_xll.EVPRO($B$1,H42,"PSFTID"),""))</f>
        <v>207075</v>
      </c>
      <c r="N42" s="90" t="str">
        <f>IF(_epmOfflineCondition_,"Net Rev: Renting Mixed Ownership Units",IF(_xll.EVDES(H42,$B$1)="#NODATA","",_xll.EVDES(H42,$B$1)))</f>
        <v>Net Rev: Renting Mixed Ownership Units</v>
      </c>
      <c r="O42" s="445"/>
      <c r="P42" s="251"/>
      <c r="Q42" s="251"/>
      <c r="R42" s="251"/>
      <c r="S42" s="251"/>
      <c r="T42" s="251"/>
      <c r="U42" s="251"/>
      <c r="V42" s="251"/>
      <c r="W42" s="251"/>
      <c r="X42" s="251"/>
      <c r="Y42" s="251"/>
      <c r="Z42" s="251"/>
      <c r="AA42" s="251">
        <f t="shared" si="1"/>
        <v>0</v>
      </c>
      <c r="AB42" s="446" t="str">
        <f t="shared" si="2"/>
        <v/>
      </c>
      <c r="AC42" s="437"/>
      <c r="AD42" s="251"/>
      <c r="AE42" s="446" t="str">
        <f t="shared" si="3"/>
        <v/>
      </c>
      <c r="AF42" s="447">
        <f t="shared" si="4"/>
        <v>0</v>
      </c>
      <c r="AG42" s="251"/>
      <c r="AH42" s="446" t="str">
        <f t="shared" si="5"/>
        <v/>
      </c>
      <c r="AI42" s="448">
        <f t="shared" si="6"/>
        <v>0</v>
      </c>
      <c r="AJ42" s="440">
        <f t="shared" si="7"/>
        <v>0</v>
      </c>
      <c r="AK42" s="441">
        <f t="shared" si="8"/>
        <v>0</v>
      </c>
      <c r="AL42" s="442">
        <f t="shared" si="9"/>
        <v>0</v>
      </c>
      <c r="AM42" s="443">
        <f t="shared" si="10"/>
        <v>0</v>
      </c>
      <c r="AN42" s="444">
        <f t="shared" si="11"/>
        <v>0</v>
      </c>
      <c r="AO42" s="11"/>
    </row>
    <row r="43" spans="1:41" x14ac:dyDescent="0.35">
      <c r="A43" s="11"/>
      <c r="B43" s="11"/>
      <c r="C43" s="11"/>
      <c r="D43" s="11"/>
      <c r="E43" s="11"/>
      <c r="F43" s="11"/>
      <c r="G43" s="11"/>
      <c r="H43" s="88" t="s">
        <v>649</v>
      </c>
      <c r="I43" s="122" t="str">
        <f>IF(_epmOfflineCondition_,"N",_xll.EVPRO($B$1,$H43,"STYLE"))</f>
        <v>N</v>
      </c>
      <c r="J43" s="122" t="str">
        <f>IF(_epmOfflineCondition_,"N",_xll.EVPRO($B$1,$H43,"CALC"))</f>
        <v>N</v>
      </c>
      <c r="K43" s="179" t="str">
        <f t="shared" si="0"/>
        <v/>
      </c>
      <c r="L43" s="90" t="str">
        <f>IF(_epmOfflineCondition_,"455565",_xll.EVPRO($B$1,H43,"JDEID"))</f>
        <v>455565</v>
      </c>
      <c r="M43" s="90" t="str">
        <f>IF(_epmOfflineCondition_,"207080",IF(AND(I43="N",J43="N"),_xll.EVPRO($B$1,H43,"PSFTID"),""))</f>
        <v>207080</v>
      </c>
      <c r="N43" s="90" t="str">
        <f>IF(_epmOfflineCondition_,"Other Breakage",IF(_xll.EVDES(H43,$B$1)="#NODATA","",_xll.EVDES(H43,$B$1)))</f>
        <v>Other Breakage</v>
      </c>
      <c r="O43" s="445"/>
      <c r="P43" s="251"/>
      <c r="Q43" s="251"/>
      <c r="R43" s="251"/>
      <c r="S43" s="251"/>
      <c r="T43" s="251"/>
      <c r="U43" s="251"/>
      <c r="V43" s="251"/>
      <c r="W43" s="251"/>
      <c r="X43" s="251"/>
      <c r="Y43" s="251"/>
      <c r="Z43" s="251"/>
      <c r="AA43" s="251">
        <f t="shared" si="1"/>
        <v>0</v>
      </c>
      <c r="AB43" s="446" t="str">
        <f t="shared" si="2"/>
        <v/>
      </c>
      <c r="AC43" s="437"/>
      <c r="AD43" s="251"/>
      <c r="AE43" s="446" t="str">
        <f t="shared" si="3"/>
        <v/>
      </c>
      <c r="AF43" s="447">
        <f t="shared" si="4"/>
        <v>0</v>
      </c>
      <c r="AG43" s="251"/>
      <c r="AH43" s="446" t="str">
        <f t="shared" si="5"/>
        <v/>
      </c>
      <c r="AI43" s="448">
        <f t="shared" si="6"/>
        <v>0</v>
      </c>
      <c r="AJ43" s="440">
        <f t="shared" si="7"/>
        <v>0</v>
      </c>
      <c r="AK43" s="441">
        <f t="shared" si="8"/>
        <v>0</v>
      </c>
      <c r="AL43" s="442">
        <f t="shared" si="9"/>
        <v>0</v>
      </c>
      <c r="AM43" s="443">
        <f t="shared" si="10"/>
        <v>0</v>
      </c>
      <c r="AN43" s="444">
        <f t="shared" si="11"/>
        <v>0</v>
      </c>
      <c r="AO43" s="11"/>
    </row>
    <row r="44" spans="1:41" x14ac:dyDescent="0.35">
      <c r="A44" s="62" t="s">
        <v>23</v>
      </c>
      <c r="B44" s="63" t="s">
        <v>24</v>
      </c>
      <c r="C44" s="11"/>
      <c r="D44" s="11"/>
      <c r="E44" s="11"/>
      <c r="F44" s="11"/>
      <c r="G44" s="11"/>
      <c r="H44" s="88" t="s">
        <v>650</v>
      </c>
      <c r="I44" s="122" t="str">
        <f>IF(_epmOfflineCondition_,"N",_xll.EVPRO($B$1,$H44,"STYLE"))</f>
        <v>N</v>
      </c>
      <c r="J44" s="122" t="str">
        <f>IF(_epmOfflineCondition_,"N",_xll.EVPRO($B$1,$H44,"CALC"))</f>
        <v>N</v>
      </c>
      <c r="K44" s="179" t="str">
        <f t="shared" si="0"/>
        <v/>
      </c>
      <c r="L44" s="90" t="str">
        <f>IF(_epmOfflineCondition_,"455570",_xll.EVPRO($B$1,H44,"JDEID"))</f>
        <v>455570</v>
      </c>
      <c r="M44" s="90" t="str">
        <f>IF(_epmOfflineCondition_,"NA",IF(AND(I44="N",J44="N"),_xll.EVPRO($B$1,H44,"PSFTID"),""))</f>
        <v>NA</v>
      </c>
      <c r="N44" s="90" t="str">
        <f>IF(_epmOfflineCondition_,"Interest Income - FF&amp;E Reserves",IF(_xll.EVDES(H44,$B$1)="#NODATA","",_xll.EVDES(H44,$B$1)))</f>
        <v>Interest Income - FF&amp;E Reserves</v>
      </c>
      <c r="O44" s="445"/>
      <c r="P44" s="251"/>
      <c r="Q44" s="251"/>
      <c r="R44" s="251"/>
      <c r="S44" s="251"/>
      <c r="T44" s="251"/>
      <c r="U44" s="251"/>
      <c r="V44" s="251"/>
      <c r="W44" s="251"/>
      <c r="X44" s="251"/>
      <c r="Y44" s="251"/>
      <c r="Z44" s="251"/>
      <c r="AA44" s="251">
        <f t="shared" si="1"/>
        <v>0</v>
      </c>
      <c r="AB44" s="446" t="str">
        <f t="shared" si="2"/>
        <v/>
      </c>
      <c r="AC44" s="437"/>
      <c r="AD44" s="251"/>
      <c r="AE44" s="446" t="str">
        <f t="shared" si="3"/>
        <v/>
      </c>
      <c r="AF44" s="447">
        <f t="shared" si="4"/>
        <v>0</v>
      </c>
      <c r="AG44" s="251"/>
      <c r="AH44" s="446" t="str">
        <f t="shared" si="5"/>
        <v/>
      </c>
      <c r="AI44" s="448">
        <f t="shared" si="6"/>
        <v>0</v>
      </c>
      <c r="AJ44" s="440">
        <f t="shared" si="7"/>
        <v>0</v>
      </c>
      <c r="AK44" s="441">
        <f t="shared" si="8"/>
        <v>0</v>
      </c>
      <c r="AL44" s="442">
        <f t="shared" si="9"/>
        <v>0</v>
      </c>
      <c r="AM44" s="443">
        <f t="shared" si="10"/>
        <v>0</v>
      </c>
      <c r="AN44" s="444">
        <f t="shared" si="11"/>
        <v>0</v>
      </c>
      <c r="AO44" s="11"/>
    </row>
    <row r="45" spans="1:41" ht="14.25" customHeight="1" x14ac:dyDescent="0.35">
      <c r="A45" s="65" t="s">
        <v>25</v>
      </c>
      <c r="B45" s="66"/>
      <c r="C45" s="11"/>
      <c r="D45" s="11"/>
      <c r="E45" s="11"/>
      <c r="F45" s="11"/>
      <c r="G45" s="11"/>
      <c r="H45" s="88" t="s">
        <v>651</v>
      </c>
      <c r="I45" s="122" t="str">
        <f>IF(_epmOfflineCondition_,"T5",_xll.EVPRO($B$1,$H45,"STYLE"))</f>
        <v>T5</v>
      </c>
      <c r="J45" s="122" t="str">
        <f>IF(_epmOfflineCondition_,"Y",_xll.EVPRO($B$1,$H45,"CALC"))</f>
        <v>Y</v>
      </c>
      <c r="K45" s="179" t="str">
        <f t="shared" si="0"/>
        <v>&gt;</v>
      </c>
      <c r="L45" s="90" t="str">
        <f>IF(_epmOfflineCondition_,"455575",_xll.EVPRO($B$1,H45,"JDEID"))</f>
        <v>455575</v>
      </c>
      <c r="M45" s="90" t="str">
        <f>IF(_epmOfflineCondition_,"",IF(AND(I45="N",J45="N"),_xll.EVPRO($B$1,H45,"PSFTID"),""))</f>
        <v/>
      </c>
      <c r="N45" s="90" t="str">
        <f>IF(_epmOfflineCondition_,"Package Breakage",IF(_xll.EVDES(H45,$B$1)="#NODATA","",_xll.EVDES(H45,$B$1)))</f>
        <v>Package Breakage</v>
      </c>
      <c r="O45" s="445">
        <v>144.82</v>
      </c>
      <c r="P45" s="251"/>
      <c r="Q45" s="251">
        <v>-101.39</v>
      </c>
      <c r="R45" s="251">
        <v>-26.39</v>
      </c>
      <c r="S45" s="251">
        <v>296.99</v>
      </c>
      <c r="T45" s="251">
        <v>382.84</v>
      </c>
      <c r="U45" s="251">
        <v>668.97</v>
      </c>
      <c r="V45" s="251">
        <v>-48.56</v>
      </c>
      <c r="W45" s="251">
        <v>359.57</v>
      </c>
      <c r="X45" s="251">
        <v>362.7</v>
      </c>
      <c r="Y45" s="251">
        <v>347.21</v>
      </c>
      <c r="Z45" s="251">
        <v>368.32</v>
      </c>
      <c r="AA45" s="251">
        <f t="shared" si="1"/>
        <v>2755.08</v>
      </c>
      <c r="AB45" s="446">
        <f t="shared" si="2"/>
        <v>3.0151590242265642E-3</v>
      </c>
      <c r="AC45" s="437"/>
      <c r="AD45" s="251">
        <v>5900.0000000004002</v>
      </c>
      <c r="AE45" s="446">
        <f t="shared" si="3"/>
        <v>6.9457293790366184E-3</v>
      </c>
      <c r="AF45" s="447">
        <f t="shared" si="4"/>
        <v>-3144.9200000004003</v>
      </c>
      <c r="AG45" s="251">
        <v>1987.93</v>
      </c>
      <c r="AH45" s="446">
        <f t="shared" si="5"/>
        <v>4.2911996656718274E-3</v>
      </c>
      <c r="AI45" s="448">
        <f t="shared" si="6"/>
        <v>767.14999999999986</v>
      </c>
      <c r="AJ45" s="440">
        <f t="shared" si="7"/>
        <v>6.8501951813819337E-2</v>
      </c>
      <c r="AK45" s="441">
        <f t="shared" si="8"/>
        <v>0.15722851432379481</v>
      </c>
      <c r="AL45" s="442">
        <f t="shared" si="9"/>
        <v>9.9148628428927688E-2</v>
      </c>
      <c r="AM45" s="443" t="str">
        <f t="shared" si="10"/>
        <v>-0.39 pts.</v>
      </c>
      <c r="AN45" s="444" t="str">
        <f t="shared" si="11"/>
        <v>-0.13 pts.</v>
      </c>
      <c r="AO45" s="11"/>
    </row>
    <row r="46" spans="1:41" x14ac:dyDescent="0.35">
      <c r="A46" s="65" t="s">
        <v>26</v>
      </c>
      <c r="B46" s="66"/>
      <c r="C46" s="11"/>
      <c r="D46" s="11"/>
      <c r="E46" s="11"/>
      <c r="F46" s="11"/>
      <c r="G46" s="11"/>
      <c r="H46" s="88" t="s">
        <v>652</v>
      </c>
      <c r="I46" s="122" t="str">
        <f>IF(_epmOfflineCondition_,"N",_xll.EVPRO($B$1,$H46,"STYLE"))</f>
        <v>N</v>
      </c>
      <c r="J46" s="122" t="str">
        <f>IF(_epmOfflineCondition_,"N",_xll.EVPRO($B$1,$H46,"CALC"))</f>
        <v>N</v>
      </c>
      <c r="K46" s="179" t="str">
        <f t="shared" si="0"/>
        <v/>
      </c>
      <c r="L46" s="90" t="str">
        <f>IF(_epmOfflineCondition_,"455580",_xll.EVPRO($B$1,H46,"JDEID"))</f>
        <v>455580</v>
      </c>
      <c r="M46" s="90" t="str">
        <f>IF(_epmOfflineCondition_,"207095",IF(AND(I46="N",J46="N"),_xll.EVPRO($B$1,H46,"PSFTID"),""))</f>
        <v>207095</v>
      </c>
      <c r="N46" s="90" t="str">
        <f>IF(_epmOfflineCondition_,"Resort Fees",IF(_xll.EVDES(H46,$B$1)="#NODATA","",_xll.EVDES(H46,$B$1)))</f>
        <v>Resort Fees</v>
      </c>
      <c r="O46" s="445">
        <v>76778.16</v>
      </c>
      <c r="P46" s="251">
        <v>71093.429999999993</v>
      </c>
      <c r="Q46" s="251">
        <v>78974.84</v>
      </c>
      <c r="R46" s="251">
        <v>72969.240000000005</v>
      </c>
      <c r="S46" s="251">
        <v>78333.990000000005</v>
      </c>
      <c r="T46" s="251">
        <v>78889.88</v>
      </c>
      <c r="U46" s="251">
        <v>72506.25</v>
      </c>
      <c r="V46" s="251">
        <v>57111.17</v>
      </c>
      <c r="W46" s="251">
        <v>48232.07</v>
      </c>
      <c r="X46" s="251">
        <v>62362.19</v>
      </c>
      <c r="Y46" s="251">
        <v>68320.55</v>
      </c>
      <c r="Z46" s="251">
        <v>82588.87</v>
      </c>
      <c r="AA46" s="251">
        <f t="shared" si="1"/>
        <v>848160.64</v>
      </c>
      <c r="AB46" s="446">
        <f t="shared" si="2"/>
        <v>0.9282268419391736</v>
      </c>
      <c r="AC46" s="437"/>
      <c r="AD46" s="251">
        <v>789826.2</v>
      </c>
      <c r="AE46" s="446">
        <f t="shared" si="3"/>
        <v>0.92981678672414914</v>
      </c>
      <c r="AF46" s="447">
        <f t="shared" si="4"/>
        <v>58334.440000000061</v>
      </c>
      <c r="AG46" s="251">
        <v>417166.18</v>
      </c>
      <c r="AH46" s="446">
        <f t="shared" si="5"/>
        <v>0.90050624123867196</v>
      </c>
      <c r="AI46" s="448">
        <f t="shared" si="6"/>
        <v>430994.46</v>
      </c>
      <c r="AJ46" s="440">
        <f t="shared" si="7"/>
        <v>21.088556155051094</v>
      </c>
      <c r="AK46" s="441">
        <f t="shared" si="8"/>
        <v>21.047999999999998</v>
      </c>
      <c r="AL46" s="442">
        <f t="shared" si="9"/>
        <v>20.806293266832917</v>
      </c>
      <c r="AM46" s="443" t="str">
        <f t="shared" si="10"/>
        <v>-0.16 pts.</v>
      </c>
      <c r="AN46" s="444" t="str">
        <f t="shared" si="11"/>
        <v>2.77 pts.</v>
      </c>
      <c r="AO46" s="11"/>
    </row>
    <row r="47" spans="1:41" x14ac:dyDescent="0.35">
      <c r="A47" s="65" t="s">
        <v>27</v>
      </c>
      <c r="B47" s="66"/>
      <c r="C47" s="11"/>
      <c r="D47" s="11"/>
      <c r="E47" s="11"/>
      <c r="F47" s="11"/>
      <c r="G47" s="11"/>
      <c r="H47" s="88" t="s">
        <v>653</v>
      </c>
      <c r="I47" s="122" t="str">
        <f>IF(_epmOfflineCondition_,"N",_xll.EVPRO($B$1,$H47,"STYLE"))</f>
        <v>N</v>
      </c>
      <c r="J47" s="122" t="str">
        <f>IF(_epmOfflineCondition_,"N",_xll.EVPRO($B$1,$H47,"CALC"))</f>
        <v>N</v>
      </c>
      <c r="K47" s="179" t="str">
        <f t="shared" si="0"/>
        <v/>
      </c>
      <c r="L47" s="90" t="str">
        <f>IF(_epmOfflineCondition_,"455600",_xll.EVPRO($B$1,H47,"JDEID"))</f>
        <v>455600</v>
      </c>
      <c r="M47" s="90" t="str">
        <f>IF(_epmOfflineCondition_,"290040",IF(AND(I47="N",J47="N"),_xll.EVPRO($B$1,H47,"PSFTID"),""))</f>
        <v>290040</v>
      </c>
      <c r="N47" s="90" t="str">
        <f>IF(_epmOfflineCondition_,"Proceeds from Business Interruption",IF(_xll.EVDES(H47,$B$1)="#NODATA","",_xll.EVDES(H47,$B$1)))</f>
        <v>Proceeds from Business Interruption</v>
      </c>
      <c r="O47" s="445"/>
      <c r="P47" s="251"/>
      <c r="Q47" s="251"/>
      <c r="R47" s="251"/>
      <c r="S47" s="251"/>
      <c r="T47" s="251"/>
      <c r="U47" s="251"/>
      <c r="V47" s="251"/>
      <c r="W47" s="251"/>
      <c r="X47" s="251"/>
      <c r="Y47" s="251"/>
      <c r="Z47" s="251"/>
      <c r="AA47" s="251">
        <f t="shared" si="1"/>
        <v>0</v>
      </c>
      <c r="AB47" s="446" t="str">
        <f t="shared" si="2"/>
        <v/>
      </c>
      <c r="AC47" s="437"/>
      <c r="AD47" s="251"/>
      <c r="AE47" s="446" t="str">
        <f t="shared" si="3"/>
        <v/>
      </c>
      <c r="AF47" s="447">
        <f t="shared" si="4"/>
        <v>0</v>
      </c>
      <c r="AG47" s="251"/>
      <c r="AH47" s="446" t="str">
        <f t="shared" si="5"/>
        <v/>
      </c>
      <c r="AI47" s="448">
        <f t="shared" si="6"/>
        <v>0</v>
      </c>
      <c r="AJ47" s="440">
        <f t="shared" si="7"/>
        <v>0</v>
      </c>
      <c r="AK47" s="441">
        <f t="shared" si="8"/>
        <v>0</v>
      </c>
      <c r="AL47" s="442">
        <f t="shared" si="9"/>
        <v>0</v>
      </c>
      <c r="AM47" s="443">
        <f t="shared" si="10"/>
        <v>0</v>
      </c>
      <c r="AN47" s="444">
        <f t="shared" si="11"/>
        <v>0</v>
      </c>
      <c r="AO47" s="11"/>
    </row>
    <row r="48" spans="1:41" x14ac:dyDescent="0.35">
      <c r="A48" s="65" t="s">
        <v>28</v>
      </c>
      <c r="B48" s="66"/>
      <c r="C48" s="11"/>
      <c r="D48" s="11"/>
      <c r="E48" s="11"/>
      <c r="F48" s="11"/>
      <c r="G48" s="11"/>
      <c r="H48" s="88" t="s">
        <v>654</v>
      </c>
      <c r="I48" s="122" t="str">
        <f>IF(_epmOfflineCondition_,"N",_xll.EVPRO($B$1,$H48,"STYLE"))</f>
        <v>N</v>
      </c>
      <c r="J48" s="122" t="str">
        <f>IF(_epmOfflineCondition_,"N",_xll.EVPRO($B$1,$H48,"CALC"))</f>
        <v>N</v>
      </c>
      <c r="K48" s="179" t="str">
        <f t="shared" si="0"/>
        <v/>
      </c>
      <c r="L48" s="90" t="str">
        <f>IF(_epmOfflineCondition_,"455610",_xll.EVPRO($B$1,H48,"JDEID"))</f>
        <v>455610</v>
      </c>
      <c r="M48" s="90" t="str">
        <f>IF(_epmOfflineCondition_,"NA",IF(AND(I48="N",J48="N"),_xll.EVPRO($B$1,H48,"PSFTID"),""))</f>
        <v>NA</v>
      </c>
      <c r="N48" s="90" t="str">
        <f>IF(_epmOfflineCondition_,"Shared Facilities &amp; Services Revenue",IF(_xll.EVDES(H48,$B$1)="#NODATA","",_xll.EVDES(H48,$B$1)))</f>
        <v>Shared Facilities &amp; Services Revenue</v>
      </c>
      <c r="O48" s="445"/>
      <c r="P48" s="251"/>
      <c r="Q48" s="251"/>
      <c r="R48" s="251"/>
      <c r="S48" s="251"/>
      <c r="T48" s="251"/>
      <c r="U48" s="251"/>
      <c r="V48" s="251"/>
      <c r="W48" s="251"/>
      <c r="X48" s="251"/>
      <c r="Y48" s="251"/>
      <c r="Z48" s="251"/>
      <c r="AA48" s="251">
        <f t="shared" si="1"/>
        <v>0</v>
      </c>
      <c r="AB48" s="446" t="str">
        <f t="shared" si="2"/>
        <v/>
      </c>
      <c r="AC48" s="437"/>
      <c r="AD48" s="251"/>
      <c r="AE48" s="446" t="str">
        <f t="shared" si="3"/>
        <v/>
      </c>
      <c r="AF48" s="447">
        <f t="shared" si="4"/>
        <v>0</v>
      </c>
      <c r="AG48" s="251"/>
      <c r="AH48" s="446" t="str">
        <f t="shared" si="5"/>
        <v/>
      </c>
      <c r="AI48" s="448">
        <f t="shared" si="6"/>
        <v>0</v>
      </c>
      <c r="AJ48" s="440">
        <f t="shared" si="7"/>
        <v>0</v>
      </c>
      <c r="AK48" s="441">
        <f t="shared" si="8"/>
        <v>0</v>
      </c>
      <c r="AL48" s="442">
        <f t="shared" si="9"/>
        <v>0</v>
      </c>
      <c r="AM48" s="443">
        <f t="shared" si="10"/>
        <v>0</v>
      </c>
      <c r="AN48" s="444">
        <f t="shared" si="11"/>
        <v>0</v>
      </c>
      <c r="AO48" s="11"/>
    </row>
    <row r="49" spans="1:41" x14ac:dyDescent="0.35">
      <c r="A49" s="65" t="s">
        <v>29</v>
      </c>
      <c r="B49" s="66"/>
      <c r="C49" s="11"/>
      <c r="D49" s="11"/>
      <c r="E49" s="11"/>
      <c r="F49" s="11"/>
      <c r="G49" s="11"/>
      <c r="H49" s="88" t="s">
        <v>655</v>
      </c>
      <c r="I49" s="122" t="str">
        <f>IF(_epmOfflineCondition_,"N",_xll.EVPRO($B$1,$H49,"STYLE"))</f>
        <v>N</v>
      </c>
      <c r="J49" s="122" t="str">
        <f>IF(_epmOfflineCondition_,"N",_xll.EVPRO($B$1,$H49,"CALC"))</f>
        <v>N</v>
      </c>
      <c r="K49" s="179" t="str">
        <f t="shared" si="0"/>
        <v/>
      </c>
      <c r="L49" s="90" t="str">
        <f>IF(_epmOfflineCondition_,"455650",_xll.EVPRO($B$1,H49,"JDEID"))</f>
        <v>455650</v>
      </c>
      <c r="M49" s="90" t="str">
        <f>IF(_epmOfflineCondition_,"290098",IF(AND(I49="N",J49="N"),_xll.EVPRO($B$1,H49,"PSFTID"),""))</f>
        <v>290098</v>
      </c>
      <c r="N49" s="90" t="str">
        <f>IF(_epmOfflineCondition_,"Other",IF(_xll.EVDES(H49,$B$1)="#NODATA","",_xll.EVDES(H49,$B$1)))</f>
        <v>Other</v>
      </c>
      <c r="O49" s="445"/>
      <c r="P49" s="251">
        <v>92</v>
      </c>
      <c r="Q49" s="251"/>
      <c r="R49" s="251"/>
      <c r="S49" s="251"/>
      <c r="T49" s="251">
        <v>90</v>
      </c>
      <c r="U49" s="251"/>
      <c r="V49" s="251"/>
      <c r="W49" s="251">
        <v>-182</v>
      </c>
      <c r="X49" s="251"/>
      <c r="Y49" s="251"/>
      <c r="Z49" s="251"/>
      <c r="AA49" s="251">
        <f t="shared" si="1"/>
        <v>0</v>
      </c>
      <c r="AB49" s="446" t="str">
        <f t="shared" si="2"/>
        <v/>
      </c>
      <c r="AC49" s="437"/>
      <c r="AD49" s="251"/>
      <c r="AE49" s="446" t="str">
        <f t="shared" si="3"/>
        <v/>
      </c>
      <c r="AF49" s="447">
        <f t="shared" si="4"/>
        <v>0</v>
      </c>
      <c r="AG49" s="251"/>
      <c r="AH49" s="446" t="str">
        <f t="shared" si="5"/>
        <v/>
      </c>
      <c r="AI49" s="448">
        <f t="shared" si="6"/>
        <v>0</v>
      </c>
      <c r="AJ49" s="449">
        <f t="shared" si="7"/>
        <v>0</v>
      </c>
      <c r="AK49" s="450">
        <f t="shared" si="8"/>
        <v>0</v>
      </c>
      <c r="AL49" s="451">
        <f t="shared" si="9"/>
        <v>0</v>
      </c>
      <c r="AM49" s="452">
        <f t="shared" si="10"/>
        <v>0</v>
      </c>
      <c r="AN49" s="453">
        <f t="shared" si="11"/>
        <v>0</v>
      </c>
      <c r="AO49" s="11"/>
    </row>
    <row r="50" spans="1:41" x14ac:dyDescent="0.35">
      <c r="A50" s="65" t="s">
        <v>30</v>
      </c>
      <c r="B50" s="66" t="s">
        <v>78</v>
      </c>
      <c r="C50" s="11"/>
      <c r="D50" s="11"/>
      <c r="E50" s="11"/>
      <c r="F50" s="11"/>
      <c r="G50" s="11"/>
      <c r="H50" s="88" t="s">
        <v>280</v>
      </c>
      <c r="I50" s="188" t="str">
        <f>IF(_epmOfflineCondition_,"T3",_xll.EVPRO($B$1,$H50,"STYLE"))</f>
        <v>T3</v>
      </c>
      <c r="J50" s="188" t="str">
        <f>IF(_epmOfflineCondition_,"Y",_xll.EVPRO($B$1,$H50,"CALC"))</f>
        <v>Y</v>
      </c>
      <c r="K50" s="189" t="str">
        <f t="shared" si="0"/>
        <v/>
      </c>
      <c r="L50" s="190" t="str">
        <f>IF(_epmOfflineCondition_,"400000",_xll.EVPRO($B$1,H50,"JDEID"))</f>
        <v>400000</v>
      </c>
      <c r="M50" s="190" t="str">
        <f>IF(_epmOfflineCondition_,"",IF(AND(I50="N",J50="N"),_xll.EVPRO($B$1,H50,"PSFTID"),""))</f>
        <v/>
      </c>
      <c r="N50" s="190" t="str">
        <f>IF(_epmOfflineCondition_,"Total Revenue",IF(_xll.EVDES(H50,$B$1)="#NODATA","",_xll.EVDES(H50,$B$1)))</f>
        <v>Total Revenue</v>
      </c>
      <c r="O50" s="454">
        <v>81866.39</v>
      </c>
      <c r="P50" s="225">
        <v>60952.85</v>
      </c>
      <c r="Q50" s="225">
        <v>79928.55</v>
      </c>
      <c r="R50" s="225">
        <v>81448.06</v>
      </c>
      <c r="S50" s="225">
        <v>81946.17</v>
      </c>
      <c r="T50" s="225">
        <v>98820.11</v>
      </c>
      <c r="U50" s="225">
        <v>89975.18</v>
      </c>
      <c r="V50" s="225">
        <v>64785.19</v>
      </c>
      <c r="W50" s="225">
        <v>52459.39</v>
      </c>
      <c r="X50" s="225">
        <v>67359.87</v>
      </c>
      <c r="Y50" s="225">
        <v>68052.58</v>
      </c>
      <c r="Z50" s="225">
        <v>86148.51</v>
      </c>
      <c r="AA50" s="225">
        <f t="shared" si="1"/>
        <v>913742.85</v>
      </c>
      <c r="AB50" s="226">
        <f t="shared" si="2"/>
        <v>1</v>
      </c>
      <c r="AC50" s="227"/>
      <c r="AD50" s="225">
        <v>849442.82710000104</v>
      </c>
      <c r="AE50" s="226">
        <f t="shared" si="3"/>
        <v>1</v>
      </c>
      <c r="AF50" s="228">
        <f t="shared" si="4"/>
        <v>64300.022899998934</v>
      </c>
      <c r="AG50" s="225">
        <v>463257.4</v>
      </c>
      <c r="AH50" s="226">
        <f t="shared" si="5"/>
        <v>1</v>
      </c>
      <c r="AI50" s="455">
        <f t="shared" si="6"/>
        <v>450485.44999999995</v>
      </c>
      <c r="AJ50" s="229">
        <f t="shared" si="7"/>
        <v>22.719183719137721</v>
      </c>
      <c r="AK50" s="230">
        <f t="shared" si="8"/>
        <v>22.636717577614952</v>
      </c>
      <c r="AL50" s="232">
        <f t="shared" si="9"/>
        <v>23.105107231920201</v>
      </c>
      <c r="AM50" s="427" t="str">
        <f t="shared" si="10"/>
        <v>0 pts.</v>
      </c>
      <c r="AN50" s="456" t="str">
        <f t="shared" si="11"/>
        <v>0 pts.</v>
      </c>
      <c r="AO50" s="11"/>
    </row>
    <row r="51" spans="1:41" x14ac:dyDescent="0.35">
      <c r="A51" s="65" t="s">
        <v>31</v>
      </c>
      <c r="B51" s="66" t="s">
        <v>78</v>
      </c>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ht="15" thickBot="1" x14ac:dyDescent="0.4">
      <c r="A52" s="65" t="s">
        <v>32</v>
      </c>
      <c r="B52" s="66"/>
      <c r="C52" s="11"/>
      <c r="D52" s="11"/>
      <c r="E52" s="11"/>
      <c r="F52" s="11"/>
      <c r="G52" s="11"/>
      <c r="H52" s="88" t="s">
        <v>81</v>
      </c>
      <c r="I52" s="136" t="str">
        <f>IF(_epmOfflineCondition_,"T3",_xll.EVPRO($B$1,$H52,"STYLE"))</f>
        <v>T3</v>
      </c>
      <c r="J52" s="136" t="str">
        <f>IF(_epmOfflineCondition_,"Y",_xll.EVPRO($B$1,$H52,"CALC"))</f>
        <v>Y</v>
      </c>
      <c r="K52" s="106"/>
      <c r="L52" s="106"/>
      <c r="M52" s="106"/>
      <c r="N52" s="106" t="str">
        <f>IF(_epmOfflineCondition_,"Department Profit (Loss)",IF(_xll.EVDES(H52,$B$1)="#NODATA","",_xll.EVDES(H52,$B$1)))</f>
        <v>Department Profit (Loss)</v>
      </c>
      <c r="O52" s="126">
        <f>IF(_epmOfflineCondition_,81866.39,_xll.EVGTS($B$1,1,$B$3,$B$5,$B$7,$B$9,O$16,O$17,O$18,$B$6,$H52))</f>
        <v>81866.39</v>
      </c>
      <c r="P52" s="126">
        <f>IF(_epmOfflineCondition_,60952.85,_xll.EVGTS($B$1,1,$B$3,$B$5,$B$7,$B$9,P$16,P$17,P$18,$B$6,$H52))</f>
        <v>60952.85</v>
      </c>
      <c r="Q52" s="126">
        <f>IF(_epmOfflineCondition_,79928.55,_xll.EVGTS($B$1,1,$B$3,$B$5,$B$7,$B$9,Q$16,Q$17,Q$18,$B$6,$H52))</f>
        <v>79928.55</v>
      </c>
      <c r="R52" s="126">
        <f>IF(_epmOfflineCondition_,81448.06,_xll.EVGTS($B$1,1,$B$3,$B$5,$B$7,$B$9,R$16,R$17,R$18,$B$6,$H52))</f>
        <v>81448.06</v>
      </c>
      <c r="S52" s="126">
        <f>IF(_epmOfflineCondition_,81946.17,_xll.EVGTS($B$1,1,$B$3,$B$5,$B$7,$B$9,S$16,S$17,S$18,$B$6,$H52))</f>
        <v>81946.17</v>
      </c>
      <c r="T52" s="126">
        <f>IF(_epmOfflineCondition_,98820.11,_xll.EVGTS($B$1,1,$B$3,$B$5,$B$7,$B$9,T$16,T$17,T$18,$B$6,$H52))</f>
        <v>98820.11</v>
      </c>
      <c r="U52" s="126">
        <f>IF(_epmOfflineCondition_,89975.18,_xll.EVGTS($B$1,1,$B$3,$B$5,$B$7,$B$9,U$16,U$17,U$18,$B$6,$H52))</f>
        <v>89975.18</v>
      </c>
      <c r="V52" s="126">
        <f>IF(_epmOfflineCondition_,64785.19,_xll.EVGTS($B$1,1,$B$3,$B$5,$B$7,$B$9,V$16,V$17,V$18,$B$6,$H52))</f>
        <v>64785.19</v>
      </c>
      <c r="W52" s="126">
        <f>IF(_epmOfflineCondition_,52459.39,_xll.EVGTS($B$1,1,$B$3,$B$5,$B$7,$B$9,W$16,W$17,W$18,$B$6,$H52))</f>
        <v>52459.39</v>
      </c>
      <c r="X52" s="126">
        <f>IF(_epmOfflineCondition_,67359.87,_xll.EVGTS($B$1,1,$B$3,$B$5,$B$7,$B$9,X$16,X$17,X$18,$B$6,$H52))</f>
        <v>67359.87</v>
      </c>
      <c r="Y52" s="126">
        <f>IF(_epmOfflineCondition_,68052.58,_xll.EVGTS($B$1,1,$B$3,$B$5,$B$7,$B$9,Y$16,Y$17,Y$18,$B$6,$H52))</f>
        <v>68052.58</v>
      </c>
      <c r="Z52" s="126">
        <f>IF(_epmOfflineCondition_,86148.51,_xll.EVGTS($B$1,1,$B$3,$B$5,$B$7,$B$9,Z$16,Z$17,Z$18,$B$6,$H52))</f>
        <v>86148.51</v>
      </c>
      <c r="AA52" s="126">
        <f>IF($I52="B1","",SUM(O52:Z52))</f>
        <v>913742.85</v>
      </c>
      <c r="AB52" s="127">
        <f>IF(AA52=0,"",IFERROR(AA52/AA$19,""))</f>
        <v>1</v>
      </c>
      <c r="AC52" s="11"/>
      <c r="AD52" s="126">
        <f>IF(_epmOfflineCondition_,849442.827100001,_xll.EVGTS($B$1,1,$B$3,$B$5,$B$7,$B$9,AD$16,AD$17,AD$18,$B$6,$H52))</f>
        <v>849442.82710000104</v>
      </c>
      <c r="AE52" s="127">
        <f>IF(AD52=0,"",IFERROR(AD52/AD$19,""))</f>
        <v>1</v>
      </c>
      <c r="AF52" s="128">
        <f>IF(AND($AA52="",AD52=""),"",$AA52-AD52)</f>
        <v>64300.022899998934</v>
      </c>
      <c r="AG52" s="126">
        <f>IF(_epmOfflineCondition_,463257.4,_xll.EVGTS($B$1,1,$B$3,$B$5,$B$7,$B$9,AG$16,AG$17,AG$18,$B$6,$H52))</f>
        <v>463257.4</v>
      </c>
      <c r="AH52" s="127">
        <f>IF(AG52=0,"",IFERROR(AG52/AG$19,""))</f>
        <v>1</v>
      </c>
      <c r="AI52" s="128">
        <f>IF(AND($AA52="",AG52=""),"",$AA52-AG52)</f>
        <v>450485.44999999995</v>
      </c>
      <c r="AJ52" s="419">
        <f>IFERROR(AA52/AA$20,0)</f>
        <v>22.719183719137721</v>
      </c>
      <c r="AK52" s="420">
        <f>IFERROR(AD52/AD$20,0)</f>
        <v>22.636717577614952</v>
      </c>
      <c r="AL52" s="421">
        <f>IFERROR(AG52/AG$20,0)</f>
        <v>23.105107231920201</v>
      </c>
      <c r="AM52" s="422" t="str">
        <f>+IFERROR(ROUND(($AB52-AE52)*100,2)&amp;" pts.",0)</f>
        <v>0 pts.</v>
      </c>
      <c r="AN52" s="545" t="str">
        <f>+IFERROR(ROUND(($AB52-AH52)*100,2)&amp;" pts.",0)</f>
        <v>0 pts.</v>
      </c>
      <c r="AO52" s="11"/>
    </row>
    <row r="53" spans="1:41" ht="15" thickTop="1" x14ac:dyDescent="0.35">
      <c r="A53" s="65" t="s">
        <v>33</v>
      </c>
      <c r="B53" s="66"/>
      <c r="C53" s="11"/>
      <c r="D53" s="11"/>
      <c r="E53" s="11"/>
      <c r="F53" s="11"/>
      <c r="G53" s="11"/>
      <c r="H53" s="11"/>
      <c r="I53" s="59"/>
      <c r="J53" s="59"/>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34</v>
      </c>
      <c r="B54" s="66"/>
      <c r="C54" s="11"/>
      <c r="D54" s="11"/>
      <c r="E54" s="11"/>
      <c r="F54" s="11"/>
      <c r="G54" s="11"/>
      <c r="H54" s="11"/>
      <c r="I54" s="59"/>
      <c r="J54" s="59"/>
      <c r="K54" s="11"/>
      <c r="L54" s="11"/>
      <c r="M54" s="11"/>
      <c r="N54" s="104" t="str">
        <f>N52&amp;" - Check"</f>
        <v>Department Profit (Loss) - Check</v>
      </c>
      <c r="O54" s="209">
        <f t="shared" ref="O54:AA54" si="12">SUMIF($H$34:$H$50,"400000",O$34:O$50)-O52</f>
        <v>0</v>
      </c>
      <c r="P54" s="209">
        <f t="shared" si="12"/>
        <v>0</v>
      </c>
      <c r="Q54" s="209">
        <f t="shared" si="12"/>
        <v>0</v>
      </c>
      <c r="R54" s="209">
        <f t="shared" si="12"/>
        <v>0</v>
      </c>
      <c r="S54" s="209">
        <f t="shared" si="12"/>
        <v>0</v>
      </c>
      <c r="T54" s="209">
        <f t="shared" si="12"/>
        <v>0</v>
      </c>
      <c r="U54" s="209">
        <f t="shared" si="12"/>
        <v>0</v>
      </c>
      <c r="V54" s="209">
        <f t="shared" si="12"/>
        <v>0</v>
      </c>
      <c r="W54" s="209">
        <f t="shared" si="12"/>
        <v>0</v>
      </c>
      <c r="X54" s="209">
        <f t="shared" si="12"/>
        <v>0</v>
      </c>
      <c r="Y54" s="209">
        <f t="shared" si="12"/>
        <v>0</v>
      </c>
      <c r="Z54" s="209">
        <f t="shared" si="12"/>
        <v>0</v>
      </c>
      <c r="AA54" s="209">
        <f t="shared" si="12"/>
        <v>0</v>
      </c>
      <c r="AB54" s="100"/>
      <c r="AC54" s="11"/>
      <c r="AD54" s="209">
        <f>SUMIF($H$34:$H$50,"400000",AD$34:AD$50)-AD52</f>
        <v>0</v>
      </c>
      <c r="AE54" s="209"/>
      <c r="AF54" s="91"/>
      <c r="AG54" s="209">
        <f>SUMIF($H$34:$H$50,"400000",AG$34:AG$50)-AG52</f>
        <v>0</v>
      </c>
      <c r="AH54" s="100"/>
      <c r="AI54" s="91"/>
      <c r="AJ54" s="11"/>
      <c r="AK54" s="11"/>
      <c r="AL54" s="11"/>
      <c r="AM54" s="11"/>
      <c r="AN54" s="11"/>
      <c r="AO54" s="11"/>
    </row>
    <row r="55" spans="1:41" x14ac:dyDescent="0.35">
      <c r="A55" s="65" t="s">
        <v>35</v>
      </c>
      <c r="B55" s="66"/>
      <c r="C55" s="11"/>
      <c r="D55" s="11"/>
      <c r="E55" s="11"/>
      <c r="F55" s="11"/>
      <c r="G55" s="11"/>
      <c r="H55" s="11"/>
      <c r="I55" s="59"/>
      <c r="J55" s="59"/>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36</v>
      </c>
      <c r="B56" s="66"/>
      <c r="C56" s="11"/>
      <c r="D56" s="11"/>
      <c r="E56" s="11"/>
      <c r="F56" s="11"/>
      <c r="G56" s="11"/>
      <c r="H56" s="11"/>
      <c r="I56" s="59"/>
      <c r="J56" s="59"/>
      <c r="K56" s="11"/>
      <c r="L56" s="11"/>
      <c r="M56" s="11"/>
      <c r="N56" s="11"/>
      <c r="O56" s="137"/>
      <c r="P56" s="137"/>
      <c r="Q56" s="137"/>
      <c r="R56" s="137"/>
      <c r="S56" s="137"/>
      <c r="T56" s="137"/>
      <c r="U56" s="137"/>
      <c r="V56" s="137"/>
      <c r="W56" s="137"/>
      <c r="X56" s="137"/>
      <c r="Y56" s="137"/>
      <c r="Z56" s="137"/>
      <c r="AA56" s="137"/>
      <c r="AB56" s="11"/>
      <c r="AC56" s="11"/>
      <c r="AD56" s="137"/>
      <c r="AE56" s="11"/>
      <c r="AF56" s="11"/>
      <c r="AG56" s="137"/>
      <c r="AH56" s="11"/>
      <c r="AI56" s="11"/>
      <c r="AJ56" s="11"/>
      <c r="AK56" s="11"/>
      <c r="AL56" s="11"/>
      <c r="AM56" s="11"/>
      <c r="AN56" s="11"/>
      <c r="AO56" s="11"/>
    </row>
    <row r="57" spans="1:41" x14ac:dyDescent="0.35">
      <c r="A57" s="65" t="s">
        <v>37</v>
      </c>
      <c r="B57" s="66"/>
      <c r="C57" s="11"/>
      <c r="D57" s="11"/>
      <c r="E57" s="11"/>
      <c r="F57" s="11"/>
      <c r="G57" s="11"/>
      <c r="H57" s="11"/>
      <c r="I57" s="59"/>
      <c r="J57" s="59"/>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38</v>
      </c>
      <c r="B58" s="66"/>
      <c r="C58" s="11"/>
      <c r="D58" s="11"/>
      <c r="E58" s="11"/>
      <c r="F58" s="11"/>
      <c r="G58" s="11"/>
      <c r="H58" s="11"/>
      <c r="I58" s="59"/>
      <c r="J58" s="59"/>
      <c r="K58" s="11"/>
      <c r="L58" s="11"/>
      <c r="M58" s="11"/>
      <c r="N58" s="11"/>
      <c r="O58" s="137"/>
      <c r="P58" s="137"/>
      <c r="Q58" s="137"/>
      <c r="R58" s="137"/>
      <c r="S58" s="137"/>
      <c r="T58" s="137"/>
      <c r="U58" s="137"/>
      <c r="V58" s="137"/>
      <c r="W58" s="137"/>
      <c r="X58" s="137"/>
      <c r="Y58" s="137"/>
      <c r="Z58" s="137"/>
      <c r="AA58" s="137"/>
      <c r="AB58" s="11"/>
      <c r="AC58" s="11"/>
      <c r="AD58" s="137"/>
      <c r="AE58" s="11"/>
      <c r="AF58" s="11"/>
      <c r="AG58" s="137"/>
      <c r="AH58" s="11"/>
      <c r="AI58" s="11"/>
      <c r="AJ58" s="11"/>
      <c r="AK58" s="11"/>
      <c r="AL58" s="11"/>
      <c r="AM58" s="11"/>
      <c r="AN58" s="11"/>
      <c r="AO58" s="11"/>
    </row>
    <row r="59" spans="1:41" x14ac:dyDescent="0.35">
      <c r="A59" s="65" t="s">
        <v>39</v>
      </c>
      <c r="B59" s="66"/>
      <c r="C59" s="11"/>
      <c r="D59" s="11"/>
      <c r="E59" s="11"/>
      <c r="F59" s="11"/>
      <c r="G59" s="11"/>
      <c r="H59" s="11"/>
      <c r="I59" s="59"/>
      <c r="J59" s="59"/>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65" t="s">
        <v>40</v>
      </c>
      <c r="B60" s="66"/>
      <c r="C60" s="11"/>
      <c r="D60" s="11"/>
      <c r="E60" s="11"/>
      <c r="F60" s="11"/>
      <c r="G60" s="11"/>
      <c r="H60" s="11"/>
      <c r="I60" s="59"/>
      <c r="J60" s="59"/>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65" t="s">
        <v>41</v>
      </c>
      <c r="B61" s="66"/>
      <c r="C61" s="11"/>
      <c r="D61" s="11"/>
      <c r="E61" s="11"/>
      <c r="F61" s="11"/>
      <c r="G61" s="11"/>
      <c r="H61" s="11"/>
      <c r="I61" s="59"/>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42</v>
      </c>
      <c r="B62" s="66"/>
      <c r="C62" s="11"/>
      <c r="D62" s="11"/>
      <c r="E62" s="11"/>
      <c r="F62" s="11"/>
      <c r="G62" s="11"/>
      <c r="H62" s="59"/>
      <c r="I62" s="59"/>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43</v>
      </c>
      <c r="B63" s="66"/>
      <c r="C63" s="11"/>
      <c r="D63" s="11"/>
      <c r="E63" s="11"/>
      <c r="F63" s="11"/>
      <c r="G63" s="11"/>
      <c r="H63" s="59"/>
      <c r="I63" s="59"/>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44</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45</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46</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208"/>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208"/>
      <c r="D68" s="11"/>
      <c r="E68" s="11"/>
      <c r="F68" s="11"/>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59"/>
      <c r="I84" s="59"/>
      <c r="J84" s="59"/>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11"/>
      <c r="I85" s="59"/>
      <c r="J85" s="59"/>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267"/>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267"/>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c r="B108" s="11"/>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11"/>
      <c r="B116" s="11"/>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11"/>
      <c r="B117" s="11"/>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11"/>
      <c r="B118" s="11"/>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11"/>
      <c r="B119" s="11"/>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11"/>
      <c r="B124" s="11"/>
      <c r="C124" s="11"/>
      <c r="D124" s="11"/>
      <c r="E124" s="11"/>
      <c r="F124" s="11"/>
      <c r="G124" s="11"/>
      <c r="H124" s="11"/>
      <c r="I124" s="59"/>
      <c r="J124" s="11"/>
      <c r="K124" s="267"/>
      <c r="L124" s="267"/>
      <c r="M124" s="267"/>
      <c r="N124" s="11"/>
      <c r="O124" s="267"/>
      <c r="P124" s="267"/>
      <c r="Q124" s="267"/>
      <c r="R124" s="267"/>
      <c r="S124" s="267"/>
      <c r="T124" s="267"/>
      <c r="U124" s="267"/>
      <c r="V124" s="267"/>
      <c r="W124" s="267"/>
      <c r="X124" s="267"/>
      <c r="Y124" s="267"/>
      <c r="Z124" s="267"/>
      <c r="AA124" s="267"/>
      <c r="AB124" s="11"/>
      <c r="AC124" s="11"/>
      <c r="AD124" s="267"/>
      <c r="AE124" s="11"/>
      <c r="AF124" s="267"/>
      <c r="AG124" s="11"/>
      <c r="AH124" s="267"/>
      <c r="AI124" s="11"/>
      <c r="AJ124" s="11"/>
      <c r="AK124" s="11"/>
      <c r="AL124" s="11"/>
      <c r="AM124" s="11"/>
      <c r="AN124" s="11"/>
      <c r="AO124" s="11"/>
    </row>
    <row r="125" spans="1:41" x14ac:dyDescent="0.35">
      <c r="A125" s="11"/>
      <c r="B125" s="11"/>
      <c r="C125" s="11"/>
      <c r="D125" s="11"/>
      <c r="E125" s="11"/>
      <c r="F125" s="11"/>
      <c r="G125" s="11"/>
      <c r="H125" s="11"/>
      <c r="I125" s="267"/>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11"/>
      <c r="B126" s="11"/>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11"/>
      <c r="B127" s="11"/>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11"/>
      <c r="B128" s="11"/>
      <c r="C128" s="11"/>
      <c r="D128" s="11"/>
      <c r="E128" s="11"/>
      <c r="F128" s="11"/>
      <c r="G128" s="11"/>
      <c r="H128" s="11"/>
      <c r="I128" s="59"/>
      <c r="J128" s="11"/>
      <c r="K128" s="267"/>
      <c r="L128" s="267"/>
      <c r="M128" s="267"/>
      <c r="N128" s="11"/>
      <c r="O128" s="267"/>
      <c r="P128" s="267"/>
      <c r="Q128" s="267"/>
      <c r="R128" s="267"/>
      <c r="S128" s="267"/>
      <c r="T128" s="267"/>
      <c r="U128" s="267"/>
      <c r="V128" s="267"/>
      <c r="W128" s="267"/>
      <c r="X128" s="267"/>
      <c r="Y128" s="267"/>
      <c r="Z128" s="267"/>
      <c r="AA128" s="267"/>
      <c r="AB128" s="11"/>
      <c r="AC128" s="11"/>
      <c r="AD128" s="267"/>
      <c r="AE128" s="11"/>
      <c r="AF128" s="267"/>
      <c r="AG128" s="11"/>
      <c r="AH128" s="267"/>
      <c r="AI128" s="11"/>
      <c r="AJ128" s="11"/>
      <c r="AK128" s="11"/>
      <c r="AL128" s="11"/>
      <c r="AM128" s="11"/>
      <c r="AN128" s="11"/>
      <c r="AO128" s="11"/>
    </row>
    <row r="129" spans="1:41" x14ac:dyDescent="0.35">
      <c r="A129" s="11"/>
      <c r="B129" s="11"/>
      <c r="C129" s="11"/>
      <c r="D129" s="11"/>
      <c r="E129" s="11"/>
      <c r="F129" s="11"/>
      <c r="G129" s="11"/>
      <c r="H129" s="11"/>
      <c r="I129" s="267"/>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11"/>
      <c r="B130" s="11"/>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11"/>
      <c r="B132" s="11"/>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11"/>
      <c r="B136" s="11"/>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267"/>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267"/>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sheetData>
  <sheetProtection algorithmName="SHA-512" hashValue="VAPG0DlPUFDB/t9c8Q90YuZiJdEfDVP+o1e8yOYir6bcR85uxUK1DXbcBdm38LKZHflhtNwkkZoQI+RFZh9R0A==" saltValue="nGA53czUNe7R8NQRQCdtig==" spinCount="100000" sheet="1" scenarios="1"/>
  <mergeCells count="2">
    <mergeCell ref="AD31:AE31"/>
    <mergeCell ref="AG31:AH31"/>
  </mergeCells>
  <dataValidations disablePrompts="1" count="2">
    <dataValidation type="list" allowBlank="1" sqref="B28" xr:uid="{00000000-0002-0000-2500-000000000000}">
      <formula1>"ACCOUNT,BUSINESSUNIT,CATEGORY,DATASRC,DEPARTMENT,INTCO,MEASURES,RPTCURRENCY,TIME"</formula1>
    </dataValidation>
    <dataValidation type="list" allowBlank="1" sqref="B29" xr:uid="{00000000-0002-0000-25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20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1206" r:id="rId7" name="FPMExcelClientSheetOptionstb1"/>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2">
    <tabColor theme="2" tint="-0.499984740745262"/>
    <pageSetUpPr fitToPage="1"/>
  </sheetPr>
  <dimension ref="A1:AO10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497</v>
      </c>
      <c r="C6" s="11" t="str">
        <f>IF(_epmOfflineCondition_,"Administrative &amp; General",_xll.EVDES(B6,$B$1))</f>
        <v>Administrative &amp; General</v>
      </c>
      <c r="D6" s="11"/>
      <c r="E6" s="58" t="str">
        <f>IF(_epmOfflineCondition_,"D_AG",_xll.EVPRO($B$1,$B$6,$F$6))</f>
        <v>D_AG</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IF(_epmOfflineCondition_,"Evdre:Ok",_xll.EVDRE($B$1,A17:B24,A27:C33))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IF(_epmOfflineCondition_,"'AG'!$B$2:$B$10",_xll.EVRNG($B$2:$B$10))</f>
        <v>'AG'!$B$2:$B$10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IF(_epmOfflineCondition_,"'AG'!$O$16:$AN$18",_xll.EVRNG($O$16:$AN$18))</f>
        <v>'AG'!$O$16:$AN$18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IF(_epmOfflineCondition_,"'AG'!$G$35:$H$36,'AG'!$G$38:$H$47,'AG'!$G$50:$H$67",_xll.EVRNG(G35:H36,G38:H47,G50:H67))</f>
        <v>'AG'!$G$35:$H$36,'AG'!$G$38:$H$47,'AG'!$G$50:$H$67</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IF(_epmOfflineCondition_,"'AG'!$A$36:$F$42",_xll.EVRNG(A36:F42))</f>
        <v>'AG'!$A$36:$F$42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IF(_epmOfflineCondition_,"'AG'!$A$59:$B$80",_xll.EVRNG($A$59:$B$80))</f>
        <v>'AG'!$A$59:$B$80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63" t="s">
        <v>357</v>
      </c>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66" t="s">
        <v>21</v>
      </c>
      <c r="D27" s="11"/>
      <c r="E27" s="11"/>
      <c r="F27" s="11"/>
      <c r="G27" s="11"/>
      <c r="H27" s="11"/>
      <c r="I27" s="59"/>
      <c r="J27" s="59"/>
      <c r="K27" s="11"/>
      <c r="L27" s="59"/>
      <c r="M27" s="59"/>
      <c r="N27" s="71" t="str">
        <f>IF(_epmOfflineCondition_,"Administrative &amp; General Department",IF(_xll.EVDES(B6,$B$1)="#NODATA","",_xll.EVDES(B6,$B$1)&amp;" Department"))</f>
        <v>Administrative &amp; General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52</v>
      </c>
      <c r="C28" s="66" t="s">
        <v>22</v>
      </c>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738</v>
      </c>
      <c r="C29" s="66" t="s">
        <v>735</v>
      </c>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66"/>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66"/>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2" t="s">
        <v>78</v>
      </c>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66"/>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88" t="s">
        <v>497</v>
      </c>
      <c r="H35" s="88" t="s">
        <v>855</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10">
        <v>20804.490000000002</v>
      </c>
      <c r="P35" s="210">
        <v>23665.78</v>
      </c>
      <c r="Q35" s="210">
        <v>23279.05</v>
      </c>
      <c r="R35" s="210">
        <v>19939.34</v>
      </c>
      <c r="S35" s="210">
        <v>20155.23</v>
      </c>
      <c r="T35" s="210">
        <v>22785.16</v>
      </c>
      <c r="U35" s="210">
        <v>22605.94</v>
      </c>
      <c r="V35" s="210">
        <v>17076.45</v>
      </c>
      <c r="W35" s="210">
        <v>24365.18</v>
      </c>
      <c r="X35" s="210">
        <v>27732.34</v>
      </c>
      <c r="Y35" s="210">
        <v>26276.93</v>
      </c>
      <c r="Z35" s="210">
        <v>21300.92</v>
      </c>
      <c r="AA35" s="250">
        <f t="shared" ref="AA35:AA47" si="1">IF($I35="B1","",SUM(O35:Z35))</f>
        <v>269986.81</v>
      </c>
      <c r="AB35" s="211">
        <f>IF(AA35=0,"",IFERROR(AA35/AA$19,""))</f>
        <v>2.2675534898033665E-2</v>
      </c>
      <c r="AC35" s="140"/>
      <c r="AD35" s="143">
        <v>283558.91135973699</v>
      </c>
      <c r="AE35" s="144">
        <f>IF(AD35=0,"",IFERROR(AD35/AD$19,""))</f>
        <v>3.4029785547657725E-2</v>
      </c>
      <c r="AF35" s="145">
        <f>IF(AND($AA35="",AD35=""),"",$AA35-AD35)</f>
        <v>-13572.101359736989</v>
      </c>
      <c r="AG35" s="143">
        <v>262638.76</v>
      </c>
      <c r="AH35" s="144">
        <f>IF(AG35=0,"",IFERROR(AG35/AG$19,""))</f>
        <v>5.037816149176088E-2</v>
      </c>
      <c r="AI35" s="145">
        <f>IF(AND($AA35="",AG35=""),"",$AA35-AG35)</f>
        <v>7348.0499999999884</v>
      </c>
      <c r="AJ35" s="440">
        <f t="shared" ref="AJ35:AJ47" si="2">IFERROR(AA35/AA$20,0)</f>
        <v>5.6037112909921127</v>
      </c>
      <c r="AK35" s="441">
        <f t="shared" ref="AK35:AK47" si="3">IFERROR(AD35/AD$20,0)</f>
        <v>5.8854070435810915</v>
      </c>
      <c r="AL35" s="442">
        <f t="shared" ref="AL35:AL47" si="4">IFERROR(AG35/AG$20,0)</f>
        <v>5.4363048517966552</v>
      </c>
      <c r="AM35" s="443" t="str">
        <f t="shared" ref="AM35:AM47" si="5">+IFERROR(ROUND(($AB35-AE35)*100,2)&amp;" pts.",0)</f>
        <v>-1.14 pts.</v>
      </c>
      <c r="AN35" s="444" t="str">
        <f t="shared" ref="AN35:AN47" si="6">+IFERROR(ROUND(($AB35-AH35)*100,2)&amp;" pts.",0)</f>
        <v>-2.77 pts.</v>
      </c>
      <c r="AO35" s="11"/>
    </row>
    <row r="36" spans="1:41" hidden="1" x14ac:dyDescent="0.35">
      <c r="A36" s="11"/>
      <c r="B36" s="11"/>
      <c r="C36" s="11"/>
      <c r="D36" s="11"/>
      <c r="E36" s="11"/>
      <c r="F36" s="11"/>
      <c r="G36" s="88"/>
      <c r="H36" s="185"/>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10"/>
      <c r="P36" s="210"/>
      <c r="Q36" s="210"/>
      <c r="R36" s="210"/>
      <c r="S36" s="210"/>
      <c r="T36" s="210"/>
      <c r="U36" s="210"/>
      <c r="V36" s="210"/>
      <c r="W36" s="210"/>
      <c r="X36" s="210"/>
      <c r="Y36" s="210"/>
      <c r="Z36" s="210"/>
      <c r="AA36" s="250">
        <f t="shared" si="1"/>
        <v>0</v>
      </c>
      <c r="AB36" s="211" t="str">
        <f>IF(AA36=0,"",IFERROR(AA36/AA$19,""))</f>
        <v/>
      </c>
      <c r="AC36" s="140"/>
      <c r="AD36" s="143"/>
      <c r="AE36" s="144" t="str">
        <f>IF(AD36=0,"",IFERROR(AD36/AD$19,""))</f>
        <v/>
      </c>
      <c r="AF36" s="145">
        <f>IF(AND($AA36="",AD36=""),"",$AA36-AD36)</f>
        <v>0</v>
      </c>
      <c r="AG36" s="143"/>
      <c r="AH36" s="144" t="str">
        <f>IF(AG36=0,"",IFERROR(AG36/AG$19,""))</f>
        <v/>
      </c>
      <c r="AI36" s="145">
        <f>IF(AND($AA36="",AG36=""),"",$AA36-AG36)</f>
        <v>0</v>
      </c>
      <c r="AJ36" s="440">
        <f t="shared" si="2"/>
        <v>0</v>
      </c>
      <c r="AK36" s="441">
        <f t="shared" si="3"/>
        <v>0</v>
      </c>
      <c r="AL36" s="442">
        <f t="shared" si="4"/>
        <v>0</v>
      </c>
      <c r="AM36" s="443">
        <f t="shared" si="5"/>
        <v>0</v>
      </c>
      <c r="AN36" s="444">
        <f t="shared" si="6"/>
        <v>0</v>
      </c>
      <c r="AO36" s="11"/>
    </row>
    <row r="37" spans="1:41" x14ac:dyDescent="0.35">
      <c r="A37" s="11" t="s">
        <v>108</v>
      </c>
      <c r="B37" s="11"/>
      <c r="C37" s="104" t="s">
        <v>101</v>
      </c>
      <c r="D37" s="11" t="s">
        <v>106</v>
      </c>
      <c r="E37" s="11"/>
      <c r="F37" s="11" t="s">
        <v>98</v>
      </c>
      <c r="G37" s="88" t="s">
        <v>497</v>
      </c>
      <c r="H37" s="185" t="s">
        <v>75</v>
      </c>
      <c r="I37" s="122" t="str">
        <f>IF(_epmOfflineCondition_,"B1",_xll.EVPRO($B$1,$H37,"STYLE"))</f>
        <v>B1</v>
      </c>
      <c r="J37" s="122" t="str">
        <f>IF(_epmOfflineCondition_,"Y",_xll.EVPRO($B$1,$H37,"CALC"))</f>
        <v>Y</v>
      </c>
      <c r="K37" s="179" t="str">
        <f t="shared" si="0"/>
        <v/>
      </c>
      <c r="L37" s="90" t="str">
        <f>IF(_epmOfflineCondition_,"",_xll.EVPRO($B$1,H37,"JDEID"))</f>
        <v/>
      </c>
      <c r="M37" s="90" t="str">
        <f>IF(_epmOfflineCondition_,"",IF(AND(I37="N",J37="N"),_xll.EVPRO($B$1,H37,"PSFTID"),""))</f>
        <v/>
      </c>
      <c r="N37" s="53"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c r="AC37" s="11"/>
      <c r="AD37" s="91"/>
      <c r="AE37" s="100"/>
      <c r="AF37" s="92"/>
      <c r="AG37" s="91"/>
      <c r="AH37" s="100"/>
      <c r="AI37" s="92"/>
      <c r="AJ37" s="397">
        <f t="shared" si="2"/>
        <v>0</v>
      </c>
      <c r="AK37" s="398">
        <f t="shared" si="3"/>
        <v>0</v>
      </c>
      <c r="AL37" s="399">
        <f t="shared" si="4"/>
        <v>0</v>
      </c>
      <c r="AM37" s="400" t="str">
        <f t="shared" si="5"/>
        <v>0 pts.</v>
      </c>
      <c r="AN37" s="401" t="str">
        <f t="shared" si="6"/>
        <v>0 pts.</v>
      </c>
      <c r="AO37" s="11"/>
    </row>
    <row r="38" spans="1:41" x14ac:dyDescent="0.35">
      <c r="A38" s="11" t="s">
        <v>100</v>
      </c>
      <c r="B38" s="11"/>
      <c r="C38" s="53" t="s">
        <v>101</v>
      </c>
      <c r="D38" s="11" t="s">
        <v>106</v>
      </c>
      <c r="E38" s="11"/>
      <c r="F38" s="11" t="s">
        <v>98</v>
      </c>
      <c r="G38" s="88" t="s">
        <v>497</v>
      </c>
      <c r="H38" s="185" t="s">
        <v>846</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IF(_epmOfflineCondition_,"Accounting",IF(_xll.EVDES(H38,$B$1)="#NODATA","",_xll.EVDES(H38,$B$1)))</f>
        <v>Accounting</v>
      </c>
      <c r="O38" s="216">
        <v>3603.27</v>
      </c>
      <c r="P38" s="216">
        <v>4017.03</v>
      </c>
      <c r="Q38" s="216">
        <v>5209.58</v>
      </c>
      <c r="R38" s="216">
        <v>6746.75</v>
      </c>
      <c r="S38" s="216">
        <v>7166.51</v>
      </c>
      <c r="T38" s="216">
        <v>7089.63</v>
      </c>
      <c r="U38" s="216">
        <v>7835.43</v>
      </c>
      <c r="V38" s="216">
        <v>7275.32</v>
      </c>
      <c r="W38" s="216">
        <v>6620.21</v>
      </c>
      <c r="X38" s="216">
        <v>7005.07</v>
      </c>
      <c r="Y38" s="216">
        <v>6231.69</v>
      </c>
      <c r="Z38" s="216">
        <v>6925.71</v>
      </c>
      <c r="AA38" s="216">
        <f t="shared" si="1"/>
        <v>75726.2</v>
      </c>
      <c r="AB38" s="218">
        <f t="shared" ref="AB38:AB47" si="7">IF(AA38=0,"",IFERROR(AA38/AA$19,""))</f>
        <v>6.3600591850967716E-3</v>
      </c>
      <c r="AC38" s="140"/>
      <c r="AD38" s="217">
        <v>70417.028571428498</v>
      </c>
      <c r="AE38" s="219">
        <f t="shared" ref="AE38:AE47" si="8">IF(AD38=0,"",IFERROR(AD38/AD$19,""))</f>
        <v>8.4507179467513283E-3</v>
      </c>
      <c r="AF38" s="220">
        <f t="shared" ref="AF38:AF47" si="9">IF(AND($AA38="",AD38=""),"",$AA38-AD38)</f>
        <v>5309.1714285714988</v>
      </c>
      <c r="AG38" s="217">
        <v>40078.03</v>
      </c>
      <c r="AH38" s="219">
        <f t="shared" ref="AH38:AH47" si="10">IF(AG38=0,"",IFERROR(AG38/AG$19,""))</f>
        <v>7.6875837656697633E-3</v>
      </c>
      <c r="AI38" s="220">
        <f t="shared" ref="AI38:AI47" si="11">IF(AND($AA38="",AG38=""),"",$AA38-AG38)</f>
        <v>35648.17</v>
      </c>
      <c r="AJ38" s="449">
        <f t="shared" si="2"/>
        <v>1.5717351598173515</v>
      </c>
      <c r="AK38" s="450">
        <f t="shared" si="3"/>
        <v>1.4615406511296907</v>
      </c>
      <c r="AL38" s="451">
        <f t="shared" si="4"/>
        <v>0.82956677430038084</v>
      </c>
      <c r="AM38" s="452" t="str">
        <f t="shared" si="5"/>
        <v>-0.21 pts.</v>
      </c>
      <c r="AN38" s="453" t="str">
        <f t="shared" si="6"/>
        <v>-0.13 pts.</v>
      </c>
      <c r="AO38" s="11"/>
    </row>
    <row r="39" spans="1:41" x14ac:dyDescent="0.35">
      <c r="A39" s="11" t="s">
        <v>109</v>
      </c>
      <c r="B39" s="11"/>
      <c r="C39" s="106" t="s">
        <v>101</v>
      </c>
      <c r="D39" s="11" t="s">
        <v>106</v>
      </c>
      <c r="E39" s="11"/>
      <c r="F39" s="11" t="s">
        <v>98</v>
      </c>
      <c r="G39" s="88" t="s">
        <v>497</v>
      </c>
      <c r="H39" s="185" t="s">
        <v>847</v>
      </c>
      <c r="I39" s="122" t="str">
        <f>IF(_epmOfflineCondition_,"T3",_xll.EVPRO($B$1,$H39,"STYLE"))</f>
        <v>T3</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IF(_epmOfflineCondition_,"Human Resources",IF(_xll.EVDES(H39,$B$1)="#NODATA","",_xll.EVDES(H39,$B$1)))</f>
        <v>Human Resources</v>
      </c>
      <c r="O39" s="216"/>
      <c r="P39" s="216"/>
      <c r="Q39" s="216">
        <v>389.32</v>
      </c>
      <c r="R39" s="216">
        <v>718.1</v>
      </c>
      <c r="S39" s="216">
        <v>682.7</v>
      </c>
      <c r="T39" s="216">
        <v>751.44</v>
      </c>
      <c r="U39" s="216">
        <v>738.38</v>
      </c>
      <c r="V39" s="216">
        <v>727.27</v>
      </c>
      <c r="W39" s="216">
        <v>612.70000000000005</v>
      </c>
      <c r="X39" s="216">
        <v>685.05</v>
      </c>
      <c r="Y39" s="216">
        <v>733.11</v>
      </c>
      <c r="Z39" s="216">
        <v>772.81</v>
      </c>
      <c r="AA39" s="216">
        <f t="shared" si="1"/>
        <v>6810.880000000001</v>
      </c>
      <c r="AB39" s="218">
        <f t="shared" si="7"/>
        <v>5.7202923034025094E-4</v>
      </c>
      <c r="AC39" s="140"/>
      <c r="AD39" s="217">
        <v>6573.0377142855004</v>
      </c>
      <c r="AE39" s="219">
        <f t="shared" si="8"/>
        <v>7.888274882323535E-4</v>
      </c>
      <c r="AF39" s="220">
        <f t="shared" si="9"/>
        <v>237.84228571450058</v>
      </c>
      <c r="AG39" s="217">
        <v>1306.43</v>
      </c>
      <c r="AH39" s="219">
        <f t="shared" si="10"/>
        <v>2.5059340638708915E-4</v>
      </c>
      <c r="AI39" s="220">
        <f t="shared" si="11"/>
        <v>5504.4500000000007</v>
      </c>
      <c r="AJ39" s="449">
        <f t="shared" si="2"/>
        <v>0.14136322125363224</v>
      </c>
      <c r="AK39" s="450">
        <f t="shared" si="3"/>
        <v>0.13642668564311955</v>
      </c>
      <c r="AL39" s="451">
        <f t="shared" si="4"/>
        <v>2.7041521775128335E-2</v>
      </c>
      <c r="AM39" s="452" t="str">
        <f t="shared" si="5"/>
        <v>-0.02 pts.</v>
      </c>
      <c r="AN39" s="453" t="str">
        <f t="shared" si="6"/>
        <v>0.03 pts.</v>
      </c>
      <c r="AO39" s="11"/>
    </row>
    <row r="40" spans="1:41" x14ac:dyDescent="0.35">
      <c r="A40" s="11" t="s">
        <v>109</v>
      </c>
      <c r="B40" s="11"/>
      <c r="C40" s="196" t="s">
        <v>101</v>
      </c>
      <c r="D40" s="11" t="s">
        <v>107</v>
      </c>
      <c r="E40" s="11"/>
      <c r="F40" s="11" t="s">
        <v>99</v>
      </c>
      <c r="G40" s="88" t="s">
        <v>497</v>
      </c>
      <c r="H40" s="185" t="s">
        <v>848</v>
      </c>
      <c r="I40" s="188" t="str">
        <f>IF(_epmOfflineCondition_,"T2",_xll.EVPRO($B$1,$H40,"STYLE"))</f>
        <v>T2</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Salaries and Wages",IF(_xll.EVDES(H40,$B$1)="#NODATA","",_xll.EVDES(H40,$B$1)))</f>
        <v>Total Salaries and Wages</v>
      </c>
      <c r="O40" s="225">
        <v>24407.759999999998</v>
      </c>
      <c r="P40" s="225">
        <v>27682.81</v>
      </c>
      <c r="Q40" s="225">
        <v>28877.95</v>
      </c>
      <c r="R40" s="225">
        <v>27404.19</v>
      </c>
      <c r="S40" s="225">
        <v>28004.44</v>
      </c>
      <c r="T40" s="225">
        <v>30626.23</v>
      </c>
      <c r="U40" s="225">
        <v>31179.75</v>
      </c>
      <c r="V40" s="225">
        <v>25079.040000000001</v>
      </c>
      <c r="W40" s="225">
        <v>31598.09</v>
      </c>
      <c r="X40" s="225">
        <v>35422.46</v>
      </c>
      <c r="Y40" s="225">
        <v>33241.730000000003</v>
      </c>
      <c r="Z40" s="225">
        <v>28999.439999999999</v>
      </c>
      <c r="AA40" s="225">
        <f t="shared" si="1"/>
        <v>352523.89</v>
      </c>
      <c r="AB40" s="226">
        <f t="shared" si="7"/>
        <v>2.960762331347069E-2</v>
      </c>
      <c r="AC40" s="227"/>
      <c r="AD40" s="225">
        <v>360548.97764545103</v>
      </c>
      <c r="AE40" s="226">
        <f t="shared" si="8"/>
        <v>4.3269330982641414E-2</v>
      </c>
      <c r="AF40" s="228">
        <f t="shared" si="9"/>
        <v>-8025.0876454510144</v>
      </c>
      <c r="AG40" s="225">
        <v>304023.21999999997</v>
      </c>
      <c r="AH40" s="226">
        <f t="shared" si="10"/>
        <v>5.8316338663817725E-2</v>
      </c>
      <c r="AI40" s="228">
        <f t="shared" si="11"/>
        <v>48500.670000000042</v>
      </c>
      <c r="AJ40" s="229">
        <f t="shared" si="2"/>
        <v>7.3168096720630968</v>
      </c>
      <c r="AK40" s="230">
        <f t="shared" si="3"/>
        <v>7.4833743803539026</v>
      </c>
      <c r="AL40" s="232">
        <f t="shared" si="4"/>
        <v>6.2929131478721638</v>
      </c>
      <c r="AM40" s="427" t="str">
        <f t="shared" si="5"/>
        <v>-1.37 pts.</v>
      </c>
      <c r="AN40" s="456" t="str">
        <f t="shared" si="6"/>
        <v>-2.87 pts.</v>
      </c>
      <c r="AO40" s="11"/>
    </row>
    <row r="41" spans="1:41" x14ac:dyDescent="0.35">
      <c r="A41" s="11" t="s">
        <v>110</v>
      </c>
      <c r="B41" s="11"/>
      <c r="C41" s="106" t="s">
        <v>101</v>
      </c>
      <c r="D41" s="11" t="s">
        <v>106</v>
      </c>
      <c r="E41" s="11"/>
      <c r="F41" s="11" t="s">
        <v>98</v>
      </c>
      <c r="G41" s="88" t="s">
        <v>497</v>
      </c>
      <c r="H41" s="185" t="s">
        <v>849</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16">
        <v>2704.74</v>
      </c>
      <c r="P41" s="216">
        <v>2704.74</v>
      </c>
      <c r="Q41" s="216">
        <v>2748.46</v>
      </c>
      <c r="R41" s="216">
        <v>4062.38</v>
      </c>
      <c r="S41" s="216">
        <v>3005.3</v>
      </c>
      <c r="T41" s="216">
        <v>3005.3</v>
      </c>
      <c r="U41" s="216">
        <v>5907.22</v>
      </c>
      <c r="V41" s="216">
        <v>8898.7000000000007</v>
      </c>
      <c r="W41" s="216">
        <v>5840.4</v>
      </c>
      <c r="X41" s="216">
        <v>18855.95</v>
      </c>
      <c r="Y41" s="216">
        <v>10855.94</v>
      </c>
      <c r="Z41" s="216">
        <v>10855.94</v>
      </c>
      <c r="AA41" s="216">
        <f t="shared" si="1"/>
        <v>79445.070000000007</v>
      </c>
      <c r="AB41" s="218">
        <f t="shared" si="7"/>
        <v>6.6723980229320369E-3</v>
      </c>
      <c r="AC41" s="140"/>
      <c r="AD41" s="216">
        <v>51623.605696938597</v>
      </c>
      <c r="AE41" s="218">
        <f t="shared" si="8"/>
        <v>6.1953271813594097E-3</v>
      </c>
      <c r="AF41" s="233">
        <f t="shared" si="9"/>
        <v>27821.46430306141</v>
      </c>
      <c r="AG41" s="216">
        <v>9085.1</v>
      </c>
      <c r="AH41" s="218">
        <f t="shared" si="10"/>
        <v>1.7426621834827304E-3</v>
      </c>
      <c r="AI41" s="233">
        <f t="shared" si="11"/>
        <v>70359.97</v>
      </c>
      <c r="AJ41" s="532">
        <f t="shared" si="2"/>
        <v>1.6489221668742218</v>
      </c>
      <c r="AK41" s="533">
        <f t="shared" si="3"/>
        <v>1.0714737587575467</v>
      </c>
      <c r="AL41" s="534">
        <f t="shared" si="4"/>
        <v>0.18805058784566983</v>
      </c>
      <c r="AM41" s="535" t="str">
        <f t="shared" si="5"/>
        <v>0.05 pts.</v>
      </c>
      <c r="AN41" s="536" t="str">
        <f t="shared" si="6"/>
        <v>0.49 pts.</v>
      </c>
      <c r="AO41" s="11"/>
    </row>
    <row r="42" spans="1:41" x14ac:dyDescent="0.35">
      <c r="A42" s="11" t="s">
        <v>110</v>
      </c>
      <c r="B42" s="11"/>
      <c r="C42" s="109" t="s">
        <v>101</v>
      </c>
      <c r="D42" s="11" t="s">
        <v>107</v>
      </c>
      <c r="E42" s="11"/>
      <c r="F42" s="11" t="s">
        <v>99</v>
      </c>
      <c r="G42" s="88" t="s">
        <v>497</v>
      </c>
      <c r="H42" s="185" t="s">
        <v>850</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5">
        <v>27112.5</v>
      </c>
      <c r="P42" s="225">
        <v>30387.55</v>
      </c>
      <c r="Q42" s="225">
        <v>31626.41</v>
      </c>
      <c r="R42" s="225">
        <v>31466.57</v>
      </c>
      <c r="S42" s="225">
        <v>31009.74</v>
      </c>
      <c r="T42" s="225">
        <v>33631.53</v>
      </c>
      <c r="U42" s="225">
        <v>37086.97</v>
      </c>
      <c r="V42" s="225">
        <v>33977.74</v>
      </c>
      <c r="W42" s="225">
        <v>37438.49</v>
      </c>
      <c r="X42" s="225">
        <v>54278.41</v>
      </c>
      <c r="Y42" s="225">
        <v>44097.67</v>
      </c>
      <c r="Z42" s="225">
        <v>39855.379999999997</v>
      </c>
      <c r="AA42" s="225">
        <f t="shared" si="1"/>
        <v>431968.96</v>
      </c>
      <c r="AB42" s="226">
        <f t="shared" si="7"/>
        <v>3.6280021336402728E-2</v>
      </c>
      <c r="AC42" s="227"/>
      <c r="AD42" s="225">
        <v>412172.58334238903</v>
      </c>
      <c r="AE42" s="226">
        <f t="shared" si="8"/>
        <v>4.9464658164000752E-2</v>
      </c>
      <c r="AF42" s="228">
        <f t="shared" si="9"/>
        <v>19796.376657610992</v>
      </c>
      <c r="AG42" s="225">
        <v>313108.32</v>
      </c>
      <c r="AH42" s="226">
        <f t="shared" si="10"/>
        <v>6.005900084730046E-2</v>
      </c>
      <c r="AI42" s="228">
        <f t="shared" si="11"/>
        <v>118860.64000000001</v>
      </c>
      <c r="AJ42" s="229">
        <f t="shared" si="2"/>
        <v>8.9657318389373195</v>
      </c>
      <c r="AK42" s="230">
        <f t="shared" si="3"/>
        <v>8.5548481391114368</v>
      </c>
      <c r="AL42" s="232">
        <f t="shared" si="4"/>
        <v>6.4809637357178342</v>
      </c>
      <c r="AM42" s="427" t="str">
        <f t="shared" si="5"/>
        <v>-1.32 pts.</v>
      </c>
      <c r="AN42" s="456" t="str">
        <f t="shared" si="6"/>
        <v>-2.38 pts.</v>
      </c>
      <c r="AO42" s="11"/>
    </row>
    <row r="43" spans="1:41" x14ac:dyDescent="0.35">
      <c r="A43" s="11"/>
      <c r="B43" s="11"/>
      <c r="C43" s="208"/>
      <c r="D43" s="11"/>
      <c r="E43" s="11"/>
      <c r="F43" s="11"/>
      <c r="G43" s="88" t="s">
        <v>497</v>
      </c>
      <c r="H43" s="185" t="s">
        <v>851</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16">
        <v>2204.42</v>
      </c>
      <c r="P43" s="216">
        <v>2075.0300000000002</v>
      </c>
      <c r="Q43" s="216">
        <v>2281.0500000000002</v>
      </c>
      <c r="R43" s="216">
        <v>3097.81</v>
      </c>
      <c r="S43" s="216">
        <v>2382.15</v>
      </c>
      <c r="T43" s="216">
        <v>2383.41</v>
      </c>
      <c r="U43" s="216">
        <v>2770.08</v>
      </c>
      <c r="V43" s="216">
        <v>2700.42</v>
      </c>
      <c r="W43" s="216">
        <v>3362.7</v>
      </c>
      <c r="X43" s="216">
        <v>3875.45</v>
      </c>
      <c r="Y43" s="216">
        <v>3300.08</v>
      </c>
      <c r="Z43" s="216">
        <v>3929.18</v>
      </c>
      <c r="AA43" s="216">
        <f t="shared" si="1"/>
        <v>34361.780000000006</v>
      </c>
      <c r="AB43" s="218">
        <f t="shared" si="7"/>
        <v>2.8859622495949169E-3</v>
      </c>
      <c r="AC43" s="140"/>
      <c r="AD43" s="216">
        <v>32785.369558338898</v>
      </c>
      <c r="AE43" s="218">
        <f t="shared" si="8"/>
        <v>3.9345583950122186E-3</v>
      </c>
      <c r="AF43" s="233">
        <f t="shared" si="9"/>
        <v>1576.4104416611081</v>
      </c>
      <c r="AG43" s="216">
        <v>24878.66</v>
      </c>
      <c r="AH43" s="218">
        <f t="shared" si="10"/>
        <v>4.7721103738785995E-3</v>
      </c>
      <c r="AI43" s="233">
        <f t="shared" si="11"/>
        <v>9483.1200000000063</v>
      </c>
      <c r="AJ43" s="532">
        <f t="shared" si="2"/>
        <v>0.7131959319219594</v>
      </c>
      <c r="AK43" s="533">
        <f t="shared" si="3"/>
        <v>0.68047674467287045</v>
      </c>
      <c r="AL43" s="534">
        <f t="shared" si="4"/>
        <v>0.51495818844179497</v>
      </c>
      <c r="AM43" s="535" t="str">
        <f t="shared" si="5"/>
        <v>-0.1 pts.</v>
      </c>
      <c r="AN43" s="536" t="str">
        <f t="shared" si="6"/>
        <v>-0.19 pts.</v>
      </c>
      <c r="AO43" s="11"/>
    </row>
    <row r="44" spans="1:41" x14ac:dyDescent="0.35">
      <c r="A44" s="11"/>
      <c r="B44" s="11"/>
      <c r="C44" s="11"/>
      <c r="D44" s="11"/>
      <c r="E44" s="11"/>
      <c r="F44" s="11"/>
      <c r="G44" s="88" t="s">
        <v>497</v>
      </c>
      <c r="H44" s="185" t="s">
        <v>852</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16">
        <v>3927.11</v>
      </c>
      <c r="P44" s="216">
        <v>1674.99</v>
      </c>
      <c r="Q44" s="216">
        <v>2200.4299999999998</v>
      </c>
      <c r="R44" s="216">
        <v>1854.66</v>
      </c>
      <c r="S44" s="216">
        <v>2756.53</v>
      </c>
      <c r="T44" s="216">
        <v>1538.59</v>
      </c>
      <c r="U44" s="216">
        <v>2877.88</v>
      </c>
      <c r="V44" s="216">
        <v>1186.6300000000001</v>
      </c>
      <c r="W44" s="216">
        <v>4317.45</v>
      </c>
      <c r="X44" s="216">
        <v>7211.43</v>
      </c>
      <c r="Y44" s="216">
        <v>2736.97</v>
      </c>
      <c r="Z44" s="216">
        <v>5883.33</v>
      </c>
      <c r="AA44" s="216">
        <f t="shared" si="1"/>
        <v>38166.000000000007</v>
      </c>
      <c r="AB44" s="218">
        <f t="shared" si="7"/>
        <v>3.2054694261484588E-3</v>
      </c>
      <c r="AC44" s="140"/>
      <c r="AD44" s="217">
        <v>30910.5066105404</v>
      </c>
      <c r="AE44" s="219">
        <f t="shared" si="8"/>
        <v>3.709556882138264E-3</v>
      </c>
      <c r="AF44" s="220">
        <f t="shared" si="9"/>
        <v>7255.493389459607</v>
      </c>
      <c r="AG44" s="217">
        <v>39912.36</v>
      </c>
      <c r="AH44" s="219">
        <f t="shared" si="10"/>
        <v>7.6558057066569204E-3</v>
      </c>
      <c r="AI44" s="220">
        <f t="shared" si="11"/>
        <v>-1746.3599999999933</v>
      </c>
      <c r="AJ44" s="449">
        <f t="shared" si="2"/>
        <v>0.79215442092154431</v>
      </c>
      <c r="AK44" s="450">
        <f t="shared" si="3"/>
        <v>0.64156302637070151</v>
      </c>
      <c r="AL44" s="451">
        <f t="shared" si="4"/>
        <v>0.82613760556383509</v>
      </c>
      <c r="AM44" s="452" t="str">
        <f t="shared" si="5"/>
        <v>-0.05 pts.</v>
      </c>
      <c r="AN44" s="453" t="str">
        <f t="shared" si="6"/>
        <v>-0.45 pts.</v>
      </c>
      <c r="AO44" s="11"/>
    </row>
    <row r="45" spans="1:41" x14ac:dyDescent="0.35">
      <c r="A45" s="61" t="str">
        <f>IF(_epmOfflineCondition_,"Evdre:Ok",_xll.EVDRE($B$1,A48:B55))</f>
        <v>Evdre:Ok</v>
      </c>
      <c r="B45" s="11" t="s">
        <v>736</v>
      </c>
      <c r="C45" s="11"/>
      <c r="D45" s="11"/>
      <c r="E45" s="11"/>
      <c r="F45" s="11"/>
      <c r="G45" s="88" t="s">
        <v>497</v>
      </c>
      <c r="H45" s="185" t="s">
        <v>853</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16">
        <v>2538.2800000000002</v>
      </c>
      <c r="P45" s="216">
        <v>2399.94</v>
      </c>
      <c r="Q45" s="216">
        <v>2811.64</v>
      </c>
      <c r="R45" s="216">
        <v>3325.82</v>
      </c>
      <c r="S45" s="216">
        <v>3063.97</v>
      </c>
      <c r="T45" s="216">
        <v>3063.52</v>
      </c>
      <c r="U45" s="216">
        <v>3145.23</v>
      </c>
      <c r="V45" s="216">
        <v>1816.1</v>
      </c>
      <c r="W45" s="216">
        <v>2668.58</v>
      </c>
      <c r="X45" s="216">
        <v>2692.13</v>
      </c>
      <c r="Y45" s="216">
        <v>2713.82</v>
      </c>
      <c r="Z45" s="216">
        <v>3248.89</v>
      </c>
      <c r="AA45" s="216">
        <f t="shared" si="1"/>
        <v>33487.919999999998</v>
      </c>
      <c r="AB45" s="218">
        <f t="shared" si="7"/>
        <v>2.8125688755778829E-3</v>
      </c>
      <c r="AC45" s="140"/>
      <c r="AD45" s="217">
        <v>38562.992477351901</v>
      </c>
      <c r="AE45" s="219">
        <f t="shared" si="8"/>
        <v>4.6279284886073862E-3</v>
      </c>
      <c r="AF45" s="220">
        <f t="shared" si="9"/>
        <v>-5075.0724773519032</v>
      </c>
      <c r="AG45" s="217">
        <v>31999.79</v>
      </c>
      <c r="AH45" s="219">
        <f t="shared" si="10"/>
        <v>6.1380528461314502E-3</v>
      </c>
      <c r="AI45" s="220">
        <f t="shared" si="11"/>
        <v>1488.1299999999974</v>
      </c>
      <c r="AJ45" s="449">
        <f t="shared" si="2"/>
        <v>0.6950585305105853</v>
      </c>
      <c r="AK45" s="450">
        <f t="shared" si="3"/>
        <v>0.80039419836761938</v>
      </c>
      <c r="AL45" s="451">
        <f t="shared" si="4"/>
        <v>0.66235697135287297</v>
      </c>
      <c r="AM45" s="452" t="str">
        <f t="shared" si="5"/>
        <v>-0.18 pts.</v>
      </c>
      <c r="AN45" s="453" t="str">
        <f t="shared" si="6"/>
        <v>-0.33 pts.</v>
      </c>
      <c r="AO45" s="11"/>
    </row>
    <row r="46" spans="1:41" x14ac:dyDescent="0.35">
      <c r="A46" s="11"/>
      <c r="B46" s="11"/>
      <c r="C46" s="11"/>
      <c r="D46" s="11"/>
      <c r="E46" s="11"/>
      <c r="F46" s="11"/>
      <c r="G46" s="88" t="s">
        <v>497</v>
      </c>
      <c r="H46" s="185" t="s">
        <v>854</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38">
        <v>8669.81</v>
      </c>
      <c r="P46" s="238">
        <v>6149.96</v>
      </c>
      <c r="Q46" s="238">
        <v>7293.12</v>
      </c>
      <c r="R46" s="238">
        <v>8278.2900000000009</v>
      </c>
      <c r="S46" s="238">
        <v>8202.65</v>
      </c>
      <c r="T46" s="238">
        <v>6985.52</v>
      </c>
      <c r="U46" s="238">
        <v>8793.19</v>
      </c>
      <c r="V46" s="238">
        <v>5703.15</v>
      </c>
      <c r="W46" s="238">
        <v>10348.73</v>
      </c>
      <c r="X46" s="238">
        <v>13779.01</v>
      </c>
      <c r="Y46" s="238">
        <v>8750.8700000000008</v>
      </c>
      <c r="Z46" s="238">
        <v>13061.4</v>
      </c>
      <c r="AA46" s="238">
        <f t="shared" si="1"/>
        <v>106015.7</v>
      </c>
      <c r="AB46" s="239">
        <f t="shared" si="7"/>
        <v>8.9040005513212582E-3</v>
      </c>
      <c r="AC46" s="240"/>
      <c r="AD46" s="238">
        <v>102258.868646231</v>
      </c>
      <c r="AE46" s="239">
        <f t="shared" si="8"/>
        <v>1.2272043765757844E-2</v>
      </c>
      <c r="AF46" s="241">
        <f t="shared" si="9"/>
        <v>3756.8313537689974</v>
      </c>
      <c r="AG46" s="238">
        <v>96790.81</v>
      </c>
      <c r="AH46" s="239">
        <f t="shared" si="10"/>
        <v>1.8565968926666968E-2</v>
      </c>
      <c r="AI46" s="241">
        <f t="shared" si="11"/>
        <v>9224.89</v>
      </c>
      <c r="AJ46" s="242">
        <f t="shared" si="2"/>
        <v>2.2004088833540889</v>
      </c>
      <c r="AK46" s="243">
        <f t="shared" si="3"/>
        <v>2.1224339694111873</v>
      </c>
      <c r="AL46" s="245">
        <f t="shared" si="4"/>
        <v>2.003452765358503</v>
      </c>
      <c r="AM46" s="431" t="str">
        <f t="shared" si="5"/>
        <v>-0.34 pts.</v>
      </c>
      <c r="AN46" s="465" t="str">
        <f t="shared" si="6"/>
        <v>-0.97 pts.</v>
      </c>
      <c r="AO46" s="11"/>
    </row>
    <row r="47" spans="1:41" x14ac:dyDescent="0.35">
      <c r="A47" s="62" t="s">
        <v>0</v>
      </c>
      <c r="B47" s="63" t="s">
        <v>1</v>
      </c>
      <c r="C47" s="11"/>
      <c r="D47" s="11"/>
      <c r="E47" s="11"/>
      <c r="F47" s="11"/>
      <c r="G47" s="88" t="s">
        <v>497</v>
      </c>
      <c r="H47" s="185"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38">
        <v>35782.31</v>
      </c>
      <c r="P47" s="238">
        <v>36537.51</v>
      </c>
      <c r="Q47" s="238">
        <v>38919.53</v>
      </c>
      <c r="R47" s="238">
        <v>39744.86</v>
      </c>
      <c r="S47" s="238">
        <v>39212.39</v>
      </c>
      <c r="T47" s="238">
        <v>40617.050000000003</v>
      </c>
      <c r="U47" s="238">
        <v>45880.160000000003</v>
      </c>
      <c r="V47" s="238">
        <v>39680.89</v>
      </c>
      <c r="W47" s="238">
        <v>47787.22</v>
      </c>
      <c r="X47" s="238">
        <v>68057.42</v>
      </c>
      <c r="Y47" s="238">
        <v>52848.54</v>
      </c>
      <c r="Z47" s="238">
        <v>52916.78</v>
      </c>
      <c r="AA47" s="238">
        <f t="shared" si="1"/>
        <v>537984.66</v>
      </c>
      <c r="AB47" s="239">
        <f t="shared" si="7"/>
        <v>4.5184021887723982E-2</v>
      </c>
      <c r="AC47" s="240"/>
      <c r="AD47" s="238">
        <v>514431.45198862097</v>
      </c>
      <c r="AE47" s="239">
        <f t="shared" si="8"/>
        <v>6.1736701929758712E-2</v>
      </c>
      <c r="AF47" s="241">
        <f t="shared" si="9"/>
        <v>23553.208011379058</v>
      </c>
      <c r="AG47" s="238">
        <v>409899.13</v>
      </c>
      <c r="AH47" s="239">
        <f t="shared" si="10"/>
        <v>7.8624969773967435E-2</v>
      </c>
      <c r="AI47" s="241">
        <f t="shared" si="11"/>
        <v>128085.53000000003</v>
      </c>
      <c r="AJ47" s="242">
        <f t="shared" si="2"/>
        <v>11.166140722291408</v>
      </c>
      <c r="AK47" s="243">
        <f t="shared" si="3"/>
        <v>10.677282108522643</v>
      </c>
      <c r="AL47" s="245">
        <f t="shared" si="4"/>
        <v>8.4844165010763373</v>
      </c>
      <c r="AM47" s="431" t="str">
        <f t="shared" si="5"/>
        <v>-1.66 pts.</v>
      </c>
      <c r="AN47" s="465" t="str">
        <f t="shared" si="6"/>
        <v>-3.34 pts.</v>
      </c>
      <c r="AO47" s="11"/>
    </row>
    <row r="48" spans="1:41" x14ac:dyDescent="0.35">
      <c r="A48" s="65" t="s">
        <v>2</v>
      </c>
      <c r="B48" s="66" t="str">
        <f>IF(_epmOfflineCondition_,"'AG'!$B$2:$B$10",_xll.EVRNG($B$2:$B$10))</f>
        <v>'AG'!$B$2:$B$10</v>
      </c>
      <c r="C48" s="11"/>
      <c r="D48" s="11"/>
      <c r="E48" s="11"/>
      <c r="F48" s="11"/>
      <c r="G48" s="106"/>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35">
      <c r="A49" s="65" t="s">
        <v>3</v>
      </c>
      <c r="B49" s="66" t="str">
        <f>IF(_epmOfflineCondition_,"'AG'!$O$16:$AN$18",_xll.EVRNG($O$16:$AN$18))</f>
        <v>'AG'!$O$16:$AN$18</v>
      </c>
      <c r="C49" s="11"/>
      <c r="D49" s="11"/>
      <c r="E49" s="11"/>
      <c r="F49" s="11"/>
      <c r="G49" s="76"/>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35">
      <c r="A50" s="65" t="s">
        <v>4</v>
      </c>
      <c r="B50" s="66" t="str">
        <f>IF(_epmOfflineCondition_,"'AG'!$G$68:$H$72",_xll.EVRNG(G68:H72))</f>
        <v>'AG'!$G$68:$H$72</v>
      </c>
      <c r="C50" s="11"/>
      <c r="D50" s="11"/>
      <c r="E50" s="11"/>
      <c r="F50" s="11"/>
      <c r="G50" s="88" t="s">
        <v>827</v>
      </c>
      <c r="H50" s="88" t="s">
        <v>828</v>
      </c>
      <c r="I50" s="122" t="str">
        <f>IF(_epmOfflineCondition_,"N",_xll.EVPRO($B$1,$H50,"STYLE"))</f>
        <v>N</v>
      </c>
      <c r="J50" s="122" t="str">
        <f>IF(_epmOfflineCondition_,"N",_xll.EVPRO($B$1,$H50,"CALC"))</f>
        <v>N</v>
      </c>
      <c r="K50" s="179" t="str">
        <f t="shared" ref="K50:K67"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43"/>
      <c r="P50" s="143"/>
      <c r="Q50" s="143"/>
      <c r="R50" s="143"/>
      <c r="S50" s="143"/>
      <c r="T50" s="143"/>
      <c r="U50" s="143"/>
      <c r="V50" s="143"/>
      <c r="W50" s="143"/>
      <c r="X50" s="143">
        <v>398.5</v>
      </c>
      <c r="Y50" s="143">
        <v>22</v>
      </c>
      <c r="Z50" s="143"/>
      <c r="AA50" s="143">
        <f t="shared" ref="AA50:AA69" si="13">IF($I50="B1","",SUM(O50:Z50))</f>
        <v>420.5</v>
      </c>
      <c r="AB50" s="144">
        <f t="shared" ref="AB50:AB69" si="14">IF(AA50=0,"",IFERROR(AA50/AA$19,""))</f>
        <v>3.5316771306802565E-5</v>
      </c>
      <c r="AC50" s="140"/>
      <c r="AD50" s="143">
        <v>845</v>
      </c>
      <c r="AE50" s="144">
        <f t="shared" ref="AE50:AE69" si="15">IF(AD50=0,"",IFERROR(AD50/AD$19,""))</f>
        <v>1.0140809417655909E-4</v>
      </c>
      <c r="AF50" s="145">
        <f t="shared" ref="AF50:AF69" si="16">IF(AND($AA50="",AD50=""),"",$AA50-AD50)</f>
        <v>-424.5</v>
      </c>
      <c r="AG50" s="143"/>
      <c r="AH50" s="144" t="str">
        <f t="shared" ref="AH50:AH69" si="17">IF(AG50=0,"",IFERROR(AG50/AG$19,""))</f>
        <v/>
      </c>
      <c r="AI50" s="145">
        <f t="shared" ref="AI50:AI69" si="18">IF(AND($AA50="",AG50=""),"",$AA50-AG50)</f>
        <v>420.5</v>
      </c>
      <c r="AJ50" s="440">
        <f t="shared" ref="AJ50:AJ69" si="19">IFERROR(AA50/AA$20,0)</f>
        <v>8.7276878372768776E-3</v>
      </c>
      <c r="AK50" s="441">
        <f t="shared" ref="AK50:AK69" si="20">IFERROR(AD50/AD$20,0)</f>
        <v>1.7538397675383975E-2</v>
      </c>
      <c r="AL50" s="442">
        <f t="shared" ref="AL50:AL69" si="21">IFERROR(AG50/AG$20,0)</f>
        <v>0</v>
      </c>
      <c r="AM50" s="443" t="str">
        <f t="shared" ref="AM50:AM69" si="22">+IFERROR(ROUND(($AB50-AE50)*100,2)&amp;" pts.",0)</f>
        <v>-0.01 pts.</v>
      </c>
      <c r="AN50" s="444">
        <f t="shared" ref="AN50:AN69" si="23">+IFERROR(ROUND(($AB50-AH50)*100,2)&amp;" pts.",0)</f>
        <v>0</v>
      </c>
      <c r="AO50" s="11"/>
    </row>
    <row r="51" spans="1:41" x14ac:dyDescent="0.35">
      <c r="A51" s="65" t="s">
        <v>5</v>
      </c>
      <c r="B51" s="66"/>
      <c r="C51" s="11"/>
      <c r="D51" s="11"/>
      <c r="E51" s="11"/>
      <c r="F51" s="11"/>
      <c r="G51" s="88" t="s">
        <v>827</v>
      </c>
      <c r="H51" s="88" t="s">
        <v>829</v>
      </c>
      <c r="I51" s="122" t="str">
        <f>IF(_epmOfflineCondition_,"N",_xll.EVPRO($B$1,$H51,"STYLE"))</f>
        <v>N</v>
      </c>
      <c r="J51" s="122" t="str">
        <f>IF(_epmOfflineCondition_,"N",_xll.EVPRO($B$1,$H51,"CALC"))</f>
        <v>N</v>
      </c>
      <c r="K51" s="179" t="str">
        <f t="shared" si="12"/>
        <v/>
      </c>
      <c r="L51" s="90" t="str">
        <f>IF(_epmOfflineCondition_,"701200",_xll.EVPRO($B$1,H51,"JDEID"))</f>
        <v>701200</v>
      </c>
      <c r="M51" s="90" t="str">
        <f>IF(_epmOfflineCondition_,"690010",IF(AND(I51="N",J51="N"),_xll.EVPRO($B$1,H51,"PSFTID"),""))</f>
        <v>690010</v>
      </c>
      <c r="N51" s="90" t="str">
        <f>IF(_epmOfflineCondition_,"Postage and Overnight Delivery",IF(_xll.EVDES(H51,$B$1)="#NODATA","",_xll.EVDES(H51,$B$1)))</f>
        <v>Postage and Overnight Delivery</v>
      </c>
      <c r="O51" s="143">
        <v>194.38</v>
      </c>
      <c r="P51" s="143">
        <v>232.76</v>
      </c>
      <c r="Q51" s="143">
        <v>166.92</v>
      </c>
      <c r="R51" s="143">
        <v>110.91</v>
      </c>
      <c r="S51" s="143">
        <v>333.35</v>
      </c>
      <c r="T51" s="143">
        <v>34.74</v>
      </c>
      <c r="U51" s="143">
        <v>501.85</v>
      </c>
      <c r="V51" s="143">
        <v>406.07</v>
      </c>
      <c r="W51" s="143">
        <v>130.9</v>
      </c>
      <c r="X51" s="143">
        <v>240.14</v>
      </c>
      <c r="Y51" s="143">
        <v>206.32</v>
      </c>
      <c r="Z51" s="143">
        <v>87.25</v>
      </c>
      <c r="AA51" s="143">
        <f t="shared" si="13"/>
        <v>2645.5899999999997</v>
      </c>
      <c r="AB51" s="144">
        <f t="shared" si="14"/>
        <v>2.2219666349955716E-4</v>
      </c>
      <c r="AC51" s="140"/>
      <c r="AD51" s="143">
        <v>1800</v>
      </c>
      <c r="AE51" s="144">
        <f t="shared" si="15"/>
        <v>2.1601724203290694E-4</v>
      </c>
      <c r="AF51" s="145">
        <f t="shared" si="16"/>
        <v>845.58999999999969</v>
      </c>
      <c r="AG51" s="143">
        <v>1693.77</v>
      </c>
      <c r="AH51" s="144">
        <f t="shared" si="17"/>
        <v>3.2489118738566927E-4</v>
      </c>
      <c r="AI51" s="145">
        <f t="shared" si="18"/>
        <v>951.81999999999971</v>
      </c>
      <c r="AJ51" s="440">
        <f t="shared" si="19"/>
        <v>5.4910543794105433E-2</v>
      </c>
      <c r="AK51" s="441">
        <f t="shared" si="20"/>
        <v>3.7359900373599E-2</v>
      </c>
      <c r="AL51" s="442">
        <f t="shared" si="21"/>
        <v>3.5058991554893192E-2</v>
      </c>
      <c r="AM51" s="443" t="str">
        <f t="shared" si="22"/>
        <v>0 pts.</v>
      </c>
      <c r="AN51" s="444" t="str">
        <f t="shared" si="23"/>
        <v>-0.01 pts.</v>
      </c>
      <c r="AO51" s="11"/>
    </row>
    <row r="52" spans="1:41" x14ac:dyDescent="0.35">
      <c r="A52" s="65" t="s">
        <v>6</v>
      </c>
      <c r="B52" s="66"/>
      <c r="C52" s="11"/>
      <c r="D52" s="11"/>
      <c r="E52" s="11"/>
      <c r="F52" s="11"/>
      <c r="G52" s="88" t="s">
        <v>827</v>
      </c>
      <c r="H52" s="88" t="s">
        <v>830</v>
      </c>
      <c r="I52" s="122" t="str">
        <f>IF(_epmOfflineCondition_,"N",_xll.EVPRO($B$1,$H52,"STYLE"))</f>
        <v>N</v>
      </c>
      <c r="J52" s="122" t="str">
        <f>IF(_epmOfflineCondition_,"N",_xll.EVPRO($B$1,$H52,"CALC"))</f>
        <v>N</v>
      </c>
      <c r="K52" s="179" t="str">
        <f t="shared" si="12"/>
        <v/>
      </c>
      <c r="L52" s="90" t="str">
        <f>IF(_epmOfflineCondition_,"701400",_xll.EVPRO($B$1,H52,"JDEID"))</f>
        <v>701400</v>
      </c>
      <c r="M52" s="90" t="str">
        <f>IF(_epmOfflineCondition_,"590399",IF(AND(I52="N",J52="N"),_xll.EVPRO($B$1,H52,"PSFTID"),""))</f>
        <v>590399</v>
      </c>
      <c r="N52" s="90" t="str">
        <f>IF(_epmOfflineCondition_,"Professional Fees",IF(_xll.EVDES(H52,$B$1)="#NODATA","",_xll.EVDES(H52,$B$1)))</f>
        <v>Professional Fees</v>
      </c>
      <c r="O52" s="143"/>
      <c r="P52" s="143">
        <v>2000</v>
      </c>
      <c r="Q52" s="143"/>
      <c r="R52" s="143"/>
      <c r="S52" s="143"/>
      <c r="T52" s="143"/>
      <c r="U52" s="143"/>
      <c r="V52" s="143"/>
      <c r="W52" s="143"/>
      <c r="X52" s="143"/>
      <c r="Y52" s="143">
        <v>750</v>
      </c>
      <c r="Z52" s="143">
        <v>1267.5</v>
      </c>
      <c r="AA52" s="143">
        <f t="shared" si="13"/>
        <v>4017.5</v>
      </c>
      <c r="AB52" s="144">
        <f t="shared" si="14"/>
        <v>3.3742004453050966E-4</v>
      </c>
      <c r="AC52" s="140"/>
      <c r="AD52" s="143">
        <v>2750</v>
      </c>
      <c r="AE52" s="144">
        <f t="shared" si="15"/>
        <v>3.3002634199471892E-4</v>
      </c>
      <c r="AF52" s="145">
        <f t="shared" si="16"/>
        <v>1267.5</v>
      </c>
      <c r="AG52" s="143">
        <v>2908</v>
      </c>
      <c r="AH52" s="144">
        <f t="shared" si="17"/>
        <v>5.577992129495305E-4</v>
      </c>
      <c r="AI52" s="145">
        <f t="shared" si="18"/>
        <v>1109.5</v>
      </c>
      <c r="AJ52" s="440">
        <f t="shared" si="19"/>
        <v>8.3385222083852226E-2</v>
      </c>
      <c r="AK52" s="441">
        <f t="shared" si="20"/>
        <v>5.7077625570776253E-2</v>
      </c>
      <c r="AL52" s="442">
        <f t="shared" si="21"/>
        <v>6.0192084782248717E-2</v>
      </c>
      <c r="AM52" s="443" t="str">
        <f t="shared" si="22"/>
        <v>0 pts.</v>
      </c>
      <c r="AN52" s="444" t="str">
        <f t="shared" si="23"/>
        <v>-0.02 pts.</v>
      </c>
      <c r="AO52" s="11"/>
    </row>
    <row r="53" spans="1:41" x14ac:dyDescent="0.35">
      <c r="A53" s="65" t="s">
        <v>7</v>
      </c>
      <c r="B53" s="66"/>
      <c r="C53" s="11"/>
      <c r="D53" s="11"/>
      <c r="E53" s="11"/>
      <c r="F53" s="11"/>
      <c r="G53" s="88" t="s">
        <v>827</v>
      </c>
      <c r="H53" s="88" t="s">
        <v>831</v>
      </c>
      <c r="I53" s="122" t="str">
        <f>IF(_epmOfflineCondition_,"T4",_xll.EVPRO($B$1,$H53,"STYLE"))</f>
        <v>T4</v>
      </c>
      <c r="J53" s="122" t="str">
        <f>IF(_epmOfflineCondition_,"Y",_xll.EVPRO($B$1,$H53,"CALC"))</f>
        <v>Y</v>
      </c>
      <c r="K53" s="179" t="str">
        <f t="shared" si="12"/>
        <v>&gt;</v>
      </c>
      <c r="L53" s="90" t="str">
        <f>IF(_epmOfflineCondition_,"701500",_xll.EVPRO($B$1,H53,"JDEID"))</f>
        <v>701500</v>
      </c>
      <c r="M53" s="90" t="str">
        <f>IF(_epmOfflineCondition_,"",IF(AND(I53="N",J53="N"),_xll.EVPRO($B$1,H53,"PSFTID"),""))</f>
        <v/>
      </c>
      <c r="N53" s="90" t="str">
        <f>IF(_epmOfflineCondition_,"Operating Supplies",IF(_xll.EVDES(H53,$B$1)="#NODATA","",_xll.EVDES(H53,$B$1)))</f>
        <v>Operating Supplies</v>
      </c>
      <c r="O53" s="143"/>
      <c r="P53" s="143"/>
      <c r="Q53" s="143">
        <v>92.29</v>
      </c>
      <c r="R53" s="143">
        <v>1014.83</v>
      </c>
      <c r="S53" s="143">
        <v>407.24</v>
      </c>
      <c r="T53" s="143">
        <v>62.04</v>
      </c>
      <c r="U53" s="143">
        <v>222.77</v>
      </c>
      <c r="V53" s="143">
        <v>276.97000000000003</v>
      </c>
      <c r="W53" s="143">
        <v>602.27</v>
      </c>
      <c r="X53" s="143">
        <v>643.86</v>
      </c>
      <c r="Y53" s="143">
        <v>190.25</v>
      </c>
      <c r="Z53" s="143">
        <v>143.02000000000001</v>
      </c>
      <c r="AA53" s="143">
        <f t="shared" si="13"/>
        <v>3655.5400000000004</v>
      </c>
      <c r="AB53" s="144">
        <f t="shared" si="14"/>
        <v>3.0701990531003344E-4</v>
      </c>
      <c r="AC53" s="140"/>
      <c r="AD53" s="143">
        <v>1876.25</v>
      </c>
      <c r="AE53" s="144">
        <f t="shared" si="15"/>
        <v>2.2516797242457868E-4</v>
      </c>
      <c r="AF53" s="145">
        <f t="shared" si="16"/>
        <v>1779.2900000000004</v>
      </c>
      <c r="AG53" s="143">
        <v>1214.98</v>
      </c>
      <c r="AH53" s="144">
        <f t="shared" si="17"/>
        <v>2.3305188712153391E-4</v>
      </c>
      <c r="AI53" s="145">
        <f t="shared" si="18"/>
        <v>2440.5600000000004</v>
      </c>
      <c r="AJ53" s="440">
        <f t="shared" si="19"/>
        <v>7.5872561228725627E-2</v>
      </c>
      <c r="AK53" s="441">
        <f t="shared" si="20"/>
        <v>3.8942507264425073E-2</v>
      </c>
      <c r="AL53" s="442">
        <f t="shared" si="21"/>
        <v>2.5148617320748468E-2</v>
      </c>
      <c r="AM53" s="443" t="str">
        <f t="shared" si="22"/>
        <v>0.01 pts.</v>
      </c>
      <c r="AN53" s="444" t="str">
        <f t="shared" si="23"/>
        <v>0.01 pts.</v>
      </c>
      <c r="AO53" s="11"/>
    </row>
    <row r="54" spans="1:41" x14ac:dyDescent="0.35">
      <c r="A54" s="65" t="s">
        <v>47</v>
      </c>
      <c r="B54" s="66" t="str">
        <f>IF(_epmOfflineCondition_,"'AG'!$A$59:$B$80",_xll.EVRNG($A$59:$B$80))</f>
        <v>'AG'!$A$59:$B$80</v>
      </c>
      <c r="C54" s="11"/>
      <c r="D54" s="11"/>
      <c r="E54" s="11"/>
      <c r="F54" s="11"/>
      <c r="G54" s="88" t="s">
        <v>827</v>
      </c>
      <c r="H54" s="88" t="s">
        <v>832</v>
      </c>
      <c r="I54" s="122" t="str">
        <f>IF(_epmOfflineCondition_,"T4",_xll.EVPRO($B$1,$H54,"STYLE"))</f>
        <v>T4</v>
      </c>
      <c r="J54" s="122" t="str">
        <f>IF(_epmOfflineCondition_,"Y",_xll.EVPRO($B$1,$H54,"CALC"))</f>
        <v>Y</v>
      </c>
      <c r="K54" s="179" t="str">
        <f t="shared" si="12"/>
        <v>&gt;</v>
      </c>
      <c r="L54" s="90" t="str">
        <f>IF(_epmOfflineCondition_,"",_xll.EVPRO($B$1,H54,"JDEID"))</f>
        <v/>
      </c>
      <c r="M54" s="90" t="str">
        <f>IF(_epmOfflineCondition_,"",IF(AND(I54="N",J54="N"),_xll.EVPRO($B$1,H54,"PSFTID"),""))</f>
        <v/>
      </c>
      <c r="N54" s="90" t="str">
        <f>IF(_epmOfflineCondition_,"Contract Services",IF(_xll.EVDES(H54,$B$1)="#NODATA","",_xll.EVDES(H54,$B$1)))</f>
        <v>Contract Services</v>
      </c>
      <c r="O54" s="143">
        <v>189.89</v>
      </c>
      <c r="P54" s="143">
        <v>93.75</v>
      </c>
      <c r="Q54" s="143">
        <v>93.75</v>
      </c>
      <c r="R54" s="143">
        <v>93.75</v>
      </c>
      <c r="S54" s="143">
        <v>93.75</v>
      </c>
      <c r="T54" s="143">
        <v>93.75</v>
      </c>
      <c r="U54" s="143">
        <v>184.66</v>
      </c>
      <c r="V54" s="143">
        <v>184.66</v>
      </c>
      <c r="W54" s="143">
        <v>184.66</v>
      </c>
      <c r="X54" s="143">
        <v>2.84</v>
      </c>
      <c r="Y54" s="143">
        <v>93.75</v>
      </c>
      <c r="Z54" s="143">
        <v>93.75</v>
      </c>
      <c r="AA54" s="143">
        <f t="shared" si="13"/>
        <v>1402.96</v>
      </c>
      <c r="AB54" s="144">
        <f t="shared" si="14"/>
        <v>1.1783119494076511E-4</v>
      </c>
      <c r="AC54" s="140"/>
      <c r="AD54" s="143">
        <v>1128</v>
      </c>
      <c r="AE54" s="144">
        <f t="shared" si="15"/>
        <v>1.3537080500728834E-4</v>
      </c>
      <c r="AF54" s="145">
        <f t="shared" si="16"/>
        <v>274.96000000000004</v>
      </c>
      <c r="AG54" s="143">
        <v>4521.7</v>
      </c>
      <c r="AH54" s="144">
        <f t="shared" si="17"/>
        <v>8.6733174043806464E-4</v>
      </c>
      <c r="AI54" s="145">
        <f t="shared" si="18"/>
        <v>-3118.74</v>
      </c>
      <c r="AJ54" s="440">
        <f t="shared" si="19"/>
        <v>2.9119136571191365E-2</v>
      </c>
      <c r="AK54" s="441">
        <f t="shared" si="20"/>
        <v>2.3412204234122044E-2</v>
      </c>
      <c r="AL54" s="442">
        <f t="shared" si="21"/>
        <v>9.3593724126511013E-2</v>
      </c>
      <c r="AM54" s="443" t="str">
        <f t="shared" si="22"/>
        <v>0 pts.</v>
      </c>
      <c r="AN54" s="444" t="str">
        <f t="shared" si="23"/>
        <v>-0.07 pts.</v>
      </c>
      <c r="AO54" s="11"/>
    </row>
    <row r="55" spans="1:41" x14ac:dyDescent="0.35">
      <c r="A55" s="65" t="s">
        <v>8</v>
      </c>
      <c r="B55" s="66"/>
      <c r="C55" s="11"/>
      <c r="D55" s="11"/>
      <c r="E55" s="11"/>
      <c r="F55" s="11"/>
      <c r="G55" s="88" t="s">
        <v>827</v>
      </c>
      <c r="H55" s="88" t="s">
        <v>833</v>
      </c>
      <c r="I55" s="122" t="str">
        <f>IF(_epmOfflineCondition_,"T4",_xll.EVPRO($B$1,$H55,"STYLE"))</f>
        <v>T4</v>
      </c>
      <c r="J55" s="122" t="str">
        <f>IF(_epmOfflineCondition_,"Y",_xll.EVPRO($B$1,$H55,"CALC"))</f>
        <v>Y</v>
      </c>
      <c r="K55" s="179" t="str">
        <f t="shared" si="12"/>
        <v>&gt;</v>
      </c>
      <c r="L55" s="90" t="str">
        <f>IF(_epmOfflineCondition_,"",_xll.EVPRO($B$1,H55,"JDEID"))</f>
        <v/>
      </c>
      <c r="M55" s="90" t="str">
        <f>IF(_epmOfflineCondition_,"",IF(AND(I55="N",J55="N"),_xll.EVPRO($B$1,H55,"PSFTID"),""))</f>
        <v/>
      </c>
      <c r="N55" s="90" t="str">
        <f>IF(_epmOfflineCondition_,"Travel - Other",IF(_xll.EVDES(H55,$B$1)="#NODATA","",_xll.EVDES(H55,$B$1)))</f>
        <v>Travel - Other</v>
      </c>
      <c r="O55" s="143">
        <v>8.4</v>
      </c>
      <c r="P55" s="143"/>
      <c r="Q55" s="143"/>
      <c r="R55" s="143"/>
      <c r="S55" s="143"/>
      <c r="T55" s="143"/>
      <c r="U55" s="143"/>
      <c r="V55" s="143">
        <v>10.63</v>
      </c>
      <c r="W55" s="143"/>
      <c r="X55" s="143">
        <v>36.78</v>
      </c>
      <c r="Y55" s="143">
        <v>20</v>
      </c>
      <c r="Z55" s="143">
        <v>64.680000000000007</v>
      </c>
      <c r="AA55" s="143">
        <f t="shared" si="13"/>
        <v>140.49</v>
      </c>
      <c r="AB55" s="144">
        <f t="shared" si="14"/>
        <v>1.1799413081789994E-5</v>
      </c>
      <c r="AC55" s="140"/>
      <c r="AD55" s="143"/>
      <c r="AE55" s="144" t="str">
        <f t="shared" si="15"/>
        <v/>
      </c>
      <c r="AF55" s="145">
        <f t="shared" si="16"/>
        <v>140.49</v>
      </c>
      <c r="AG55" s="143">
        <v>2304.06</v>
      </c>
      <c r="AH55" s="144">
        <f t="shared" si="17"/>
        <v>4.419542140950809E-4</v>
      </c>
      <c r="AI55" s="145">
        <f t="shared" si="18"/>
        <v>-2163.5699999999997</v>
      </c>
      <c r="AJ55" s="440">
        <f t="shared" si="19"/>
        <v>2.9159402241594025E-3</v>
      </c>
      <c r="AK55" s="441">
        <f t="shared" si="20"/>
        <v>0</v>
      </c>
      <c r="AL55" s="442">
        <f t="shared" si="21"/>
        <v>4.7691256830601089E-2</v>
      </c>
      <c r="AM55" s="443">
        <f t="shared" si="22"/>
        <v>0</v>
      </c>
      <c r="AN55" s="444" t="str">
        <f t="shared" si="23"/>
        <v>-0.04 pts.</v>
      </c>
      <c r="AO55" s="11"/>
    </row>
    <row r="56" spans="1:41" x14ac:dyDescent="0.35">
      <c r="A56" s="11"/>
      <c r="B56" s="11"/>
      <c r="C56" s="11"/>
      <c r="D56" s="11"/>
      <c r="E56" s="11"/>
      <c r="F56" s="11"/>
      <c r="G56" s="88" t="s">
        <v>827</v>
      </c>
      <c r="H56" s="88" t="s">
        <v>834</v>
      </c>
      <c r="I56" s="122" t="str">
        <f>IF(_epmOfflineCondition_,"T4",_xll.EVPRO($B$1,$H56,"STYLE"))</f>
        <v>T4</v>
      </c>
      <c r="J56" s="122" t="str">
        <f>IF(_epmOfflineCondition_,"Y",_xll.EVPRO($B$1,$H56,"CALC"))</f>
        <v>Y</v>
      </c>
      <c r="K56" s="179" t="str">
        <f t="shared" si="12"/>
        <v>&gt;</v>
      </c>
      <c r="L56" s="90" t="str">
        <f>IF(_epmOfflineCondition_,"702900",_xll.EVPRO($B$1,H56,"JDEID"))</f>
        <v>702900</v>
      </c>
      <c r="M56" s="90" t="str">
        <f>IF(_epmOfflineCondition_,"",IF(AND(I56="N",J56="N"),_xll.EVPRO($B$1,H56,"PSFTID"),""))</f>
        <v/>
      </c>
      <c r="N56" s="90" t="str">
        <f>IF(_epmOfflineCondition_,"Travel - Meals &amp; Entertainment",IF(_xll.EVDES(H56,$B$1)="#NODATA","",_xll.EVDES(H56,$B$1)))</f>
        <v>Travel - Meals &amp; Entertainment</v>
      </c>
      <c r="O56" s="143"/>
      <c r="P56" s="143"/>
      <c r="Q56" s="143"/>
      <c r="R56" s="143"/>
      <c r="S56" s="143"/>
      <c r="T56" s="143"/>
      <c r="U56" s="143">
        <v>59.81</v>
      </c>
      <c r="V56" s="143">
        <v>476.9</v>
      </c>
      <c r="W56" s="143">
        <v>669.18</v>
      </c>
      <c r="X56" s="143">
        <v>7.42</v>
      </c>
      <c r="Y56" s="143">
        <v>680.8</v>
      </c>
      <c r="Z56" s="143">
        <v>209.53</v>
      </c>
      <c r="AA56" s="143">
        <f t="shared" si="13"/>
        <v>2103.64</v>
      </c>
      <c r="AB56" s="144">
        <f t="shared" si="14"/>
        <v>1.7667960235872091E-4</v>
      </c>
      <c r="AC56" s="140"/>
      <c r="AD56" s="143"/>
      <c r="AE56" s="144" t="str">
        <f t="shared" si="15"/>
        <v/>
      </c>
      <c r="AF56" s="145">
        <f t="shared" si="16"/>
        <v>2103.64</v>
      </c>
      <c r="AG56" s="143">
        <v>763.22</v>
      </c>
      <c r="AH56" s="144">
        <f t="shared" si="17"/>
        <v>1.4639735739592182E-4</v>
      </c>
      <c r="AI56" s="145">
        <f t="shared" si="18"/>
        <v>1340.4199999999998</v>
      </c>
      <c r="AJ56" s="440">
        <f t="shared" si="19"/>
        <v>4.3662100456621E-2</v>
      </c>
      <c r="AK56" s="441">
        <f t="shared" si="20"/>
        <v>0</v>
      </c>
      <c r="AL56" s="442">
        <f t="shared" si="21"/>
        <v>1.579773141248551E-2</v>
      </c>
      <c r="AM56" s="443">
        <f t="shared" si="22"/>
        <v>0</v>
      </c>
      <c r="AN56" s="444" t="str">
        <f t="shared" si="23"/>
        <v>0 pts.</v>
      </c>
      <c r="AO56" s="11"/>
    </row>
    <row r="57" spans="1:41" x14ac:dyDescent="0.35">
      <c r="A57" s="11"/>
      <c r="B57" s="11"/>
      <c r="C57" s="11"/>
      <c r="D57" s="11"/>
      <c r="E57" s="11"/>
      <c r="F57" s="11"/>
      <c r="G57" s="88" t="s">
        <v>827</v>
      </c>
      <c r="H57" s="88" t="s">
        <v>835</v>
      </c>
      <c r="I57" s="122" t="str">
        <f>IF(_epmOfflineCondition_,"N",_xll.EVPRO($B$1,$H57,"STYLE"))</f>
        <v>N</v>
      </c>
      <c r="J57" s="122" t="str">
        <f>IF(_epmOfflineCondition_,"N",_xll.EVPRO($B$1,$H57,"CALC"))</f>
        <v>N</v>
      </c>
      <c r="K57" s="179" t="str">
        <f t="shared" si="12"/>
        <v/>
      </c>
      <c r="L57" s="90" t="str">
        <f>IF(_epmOfflineCondition_,"704600",_xll.EVPRO($B$1,H57,"JDEID"))</f>
        <v>704600</v>
      </c>
      <c r="M57" s="90" t="str">
        <f>IF(_epmOfflineCondition_,"590130",IF(AND(I57="N",J57="N"),_xll.EVPRO($B$1,H57,"PSFTID"),""))</f>
        <v>590130</v>
      </c>
      <c r="N57" s="90" t="str">
        <f>IF(_epmOfflineCondition_,"Credit Card Commissions",IF(_xll.EVDES(H57,$B$1)="#NODATA","",_xll.EVDES(H57,$B$1)))</f>
        <v>Credit Card Commissions</v>
      </c>
      <c r="O57" s="143">
        <v>19510.77</v>
      </c>
      <c r="P57" s="143">
        <v>24743.759999999998</v>
      </c>
      <c r="Q57" s="143">
        <v>29737.88</v>
      </c>
      <c r="R57" s="143">
        <v>24647.279999999999</v>
      </c>
      <c r="S57" s="143">
        <v>28406.81</v>
      </c>
      <c r="T57" s="143">
        <v>28195.46</v>
      </c>
      <c r="U57" s="143">
        <v>28192.03</v>
      </c>
      <c r="V57" s="143">
        <v>25840.639999999999</v>
      </c>
      <c r="W57" s="143">
        <v>2556.35</v>
      </c>
      <c r="X57" s="143">
        <v>21207.32</v>
      </c>
      <c r="Y57" s="143">
        <v>26364.11</v>
      </c>
      <c r="Z57" s="143">
        <v>40380.5</v>
      </c>
      <c r="AA57" s="143">
        <f t="shared" si="13"/>
        <v>299782.91000000003</v>
      </c>
      <c r="AB57" s="144">
        <f t="shared" si="14"/>
        <v>2.5178036799423965E-2</v>
      </c>
      <c r="AC57" s="140"/>
      <c r="AD57" s="143">
        <v>246801.84875558701</v>
      </c>
      <c r="AE57" s="144">
        <f t="shared" si="15"/>
        <v>2.9618585942669182E-2</v>
      </c>
      <c r="AF57" s="145">
        <f t="shared" si="16"/>
        <v>52981.061244413024</v>
      </c>
      <c r="AG57" s="143">
        <v>138980.95000000001</v>
      </c>
      <c r="AH57" s="144">
        <f t="shared" si="17"/>
        <v>2.6658687938438123E-2</v>
      </c>
      <c r="AI57" s="145">
        <f t="shared" si="18"/>
        <v>160801.96000000002</v>
      </c>
      <c r="AJ57" s="440">
        <f t="shared" si="19"/>
        <v>6.2221442507264433</v>
      </c>
      <c r="AK57" s="441">
        <f t="shared" si="20"/>
        <v>5.1224958230715441</v>
      </c>
      <c r="AL57" s="442">
        <f t="shared" si="21"/>
        <v>2.8767376635204505</v>
      </c>
      <c r="AM57" s="443" t="str">
        <f t="shared" si="22"/>
        <v>-0.44 pts.</v>
      </c>
      <c r="AN57" s="444" t="str">
        <f t="shared" si="23"/>
        <v>-0.15 pts.</v>
      </c>
      <c r="AO57" s="11"/>
    </row>
    <row r="58" spans="1:41" x14ac:dyDescent="0.35">
      <c r="A58" s="62" t="s">
        <v>23</v>
      </c>
      <c r="B58" s="63" t="s">
        <v>24</v>
      </c>
      <c r="C58" s="11"/>
      <c r="D58" s="11"/>
      <c r="E58" s="11"/>
      <c r="F58" s="11"/>
      <c r="G58" s="88" t="s">
        <v>827</v>
      </c>
      <c r="H58" s="88" t="s">
        <v>836</v>
      </c>
      <c r="I58" s="122" t="str">
        <f>IF(_epmOfflineCondition_,"N",_xll.EVPRO($B$1,$H58,"STYLE"))</f>
        <v>N</v>
      </c>
      <c r="J58" s="122" t="str">
        <f>IF(_epmOfflineCondition_,"N",_xll.EVPRO($B$1,$H58,"CALC"))</f>
        <v>N</v>
      </c>
      <c r="K58" s="179" t="str">
        <f t="shared" si="12"/>
        <v/>
      </c>
      <c r="L58" s="90" t="str">
        <f>IF(_epmOfflineCondition_,"704700",_xll.EVPRO($B$1,H58,"JDEID"))</f>
        <v>704700</v>
      </c>
      <c r="M58" s="90" t="str">
        <f>IF(_epmOfflineCondition_,"690130",IF(AND(I58="N",J58="N"),_xll.EVPRO($B$1,H58,"PSFTID"),""))</f>
        <v>690130</v>
      </c>
      <c r="N58" s="90" t="str">
        <f>IF(_epmOfflineCondition_,"Cash Overages &amp; Shortages",IF(_xll.EVDES(H58,$B$1)="#NODATA","",_xll.EVDES(H58,$B$1)))</f>
        <v>Cash Overages &amp; Shortages</v>
      </c>
      <c r="O58" s="143"/>
      <c r="P58" s="143"/>
      <c r="Q58" s="143"/>
      <c r="R58" s="143"/>
      <c r="S58" s="143"/>
      <c r="T58" s="143"/>
      <c r="U58" s="143"/>
      <c r="V58" s="143"/>
      <c r="W58" s="143"/>
      <c r="X58" s="143"/>
      <c r="Y58" s="143"/>
      <c r="Z58" s="143"/>
      <c r="AA58" s="143">
        <f t="shared" si="13"/>
        <v>0</v>
      </c>
      <c r="AB58" s="144" t="str">
        <f t="shared" si="14"/>
        <v/>
      </c>
      <c r="AC58" s="140"/>
      <c r="AD58" s="143"/>
      <c r="AE58" s="144" t="str">
        <f t="shared" si="15"/>
        <v/>
      </c>
      <c r="AF58" s="145">
        <f t="shared" si="16"/>
        <v>0</v>
      </c>
      <c r="AG58" s="143">
        <v>-209.83</v>
      </c>
      <c r="AH58" s="144">
        <f t="shared" si="17"/>
        <v>-4.0248627528610725E-5</v>
      </c>
      <c r="AI58" s="145">
        <f t="shared" si="18"/>
        <v>209.83</v>
      </c>
      <c r="AJ58" s="440">
        <f t="shared" si="19"/>
        <v>0</v>
      </c>
      <c r="AK58" s="441">
        <f t="shared" si="20"/>
        <v>0</v>
      </c>
      <c r="AL58" s="442">
        <f t="shared" si="21"/>
        <v>-4.3432273555224377E-3</v>
      </c>
      <c r="AM58" s="443">
        <f t="shared" si="22"/>
        <v>0</v>
      </c>
      <c r="AN58" s="444">
        <f t="shared" si="23"/>
        <v>0</v>
      </c>
      <c r="AO58" s="11"/>
    </row>
    <row r="59" spans="1:41" x14ac:dyDescent="0.35">
      <c r="A59" s="65" t="s">
        <v>25</v>
      </c>
      <c r="B59" s="66"/>
      <c r="C59" s="11"/>
      <c r="D59" s="11"/>
      <c r="E59" s="11"/>
      <c r="F59" s="11"/>
      <c r="G59" s="88" t="s">
        <v>827</v>
      </c>
      <c r="H59" s="88" t="s">
        <v>837</v>
      </c>
      <c r="I59" s="122" t="str">
        <f>IF(_epmOfflineCondition_,"N",_xll.EVPRO($B$1,$H59,"STYLE"))</f>
        <v>N</v>
      </c>
      <c r="J59" s="122" t="str">
        <f>IF(_epmOfflineCondition_,"N",_xll.EVPRO($B$1,$H59,"CALC"))</f>
        <v>N</v>
      </c>
      <c r="K59" s="179" t="str">
        <f t="shared" si="12"/>
        <v/>
      </c>
      <c r="L59" s="90" t="str">
        <f>IF(_epmOfflineCondition_,"704800",_xll.EVPRO($B$1,H59,"JDEID"))</f>
        <v>704800</v>
      </c>
      <c r="M59" s="90" t="str">
        <f>IF(_epmOfflineCondition_,"690052",IF(AND(I59="N",J59="N"),_xll.EVPRO($B$1,H59,"PSFTID"),""))</f>
        <v>690052</v>
      </c>
      <c r="N59" s="90" t="str">
        <f>IF(_epmOfflineCondition_,"Provision for Doubtful Accounts",IF(_xll.EVDES(H59,$B$1)="#NODATA","",_xll.EVDES(H59,$B$1)))</f>
        <v>Provision for Doubtful Accounts</v>
      </c>
      <c r="O59" s="143">
        <v>3878.91</v>
      </c>
      <c r="P59" s="143">
        <v>2440.31</v>
      </c>
      <c r="Q59" s="143">
        <v>1173.1199999999999</v>
      </c>
      <c r="R59" s="143">
        <v>5632.88</v>
      </c>
      <c r="S59" s="143">
        <v>4663.68</v>
      </c>
      <c r="T59" s="143">
        <v>3766.87</v>
      </c>
      <c r="U59" s="143">
        <v>868.59</v>
      </c>
      <c r="V59" s="143">
        <v>-10</v>
      </c>
      <c r="W59" s="143">
        <v>3918.46</v>
      </c>
      <c r="X59" s="143">
        <v>1156.8699999999999</v>
      </c>
      <c r="Y59" s="143">
        <v>2560.2800000000002</v>
      </c>
      <c r="Z59" s="143">
        <v>2208.7600000000002</v>
      </c>
      <c r="AA59" s="143">
        <f t="shared" si="13"/>
        <v>32258.729999999996</v>
      </c>
      <c r="AB59" s="144">
        <f t="shared" si="14"/>
        <v>2.7093321998998597E-3</v>
      </c>
      <c r="AC59" s="140"/>
      <c r="AD59" s="143">
        <v>8000.0000000004002</v>
      </c>
      <c r="AE59" s="144">
        <f t="shared" si="15"/>
        <v>9.6007663125741215E-4</v>
      </c>
      <c r="AF59" s="145">
        <f t="shared" si="16"/>
        <v>24258.729999999596</v>
      </c>
      <c r="AG59" s="143">
        <v>17700.43</v>
      </c>
      <c r="AH59" s="144">
        <f t="shared" si="17"/>
        <v>3.3952152417016019E-3</v>
      </c>
      <c r="AI59" s="145">
        <f t="shared" si="18"/>
        <v>14558.299999999996</v>
      </c>
      <c r="AJ59" s="440">
        <f t="shared" si="19"/>
        <v>0.66954607721046067</v>
      </c>
      <c r="AK59" s="441">
        <f t="shared" si="20"/>
        <v>0.16604400166044833</v>
      </c>
      <c r="AL59" s="442">
        <f t="shared" si="21"/>
        <v>0.36637750455373408</v>
      </c>
      <c r="AM59" s="443" t="str">
        <f t="shared" si="22"/>
        <v>0.17 pts.</v>
      </c>
      <c r="AN59" s="444" t="str">
        <f t="shared" si="23"/>
        <v>-0.07 pts.</v>
      </c>
      <c r="AO59" s="11"/>
    </row>
    <row r="60" spans="1:41" x14ac:dyDescent="0.35">
      <c r="A60" s="65" t="s">
        <v>26</v>
      </c>
      <c r="B60" s="66"/>
      <c r="C60" s="11"/>
      <c r="D60" s="11"/>
      <c r="E60" s="11"/>
      <c r="F60" s="11"/>
      <c r="G60" s="88" t="s">
        <v>827</v>
      </c>
      <c r="H60" s="88" t="s">
        <v>838</v>
      </c>
      <c r="I60" s="122" t="str">
        <f>IF(_epmOfflineCondition_,"N",_xll.EVPRO($B$1,$H60,"STYLE"))</f>
        <v>N</v>
      </c>
      <c r="J60" s="122" t="str">
        <f>IF(_epmOfflineCondition_,"N",_xll.EVPRO($B$1,$H60,"CALC"))</f>
        <v>N</v>
      </c>
      <c r="K60" s="179" t="str">
        <f t="shared" si="12"/>
        <v/>
      </c>
      <c r="L60" s="90" t="str">
        <f>IF(_epmOfflineCondition_,"705000",_xll.EVPRO($B$1,H60,"JDEID"))</f>
        <v>705000</v>
      </c>
      <c r="M60" s="90" t="str">
        <f>IF(_epmOfflineCondition_,"690200",IF(AND(I60="N",J60="N"),_xll.EVPRO($B$1,H60,"PSFTID"),""))</f>
        <v>690200</v>
      </c>
      <c r="N60" s="90" t="str">
        <f>IF(_epmOfflineCondition_,"Bank Charges",IF(_xll.EVDES(H60,$B$1)="#NODATA","",_xll.EVDES(H60,$B$1)))</f>
        <v>Bank Charges</v>
      </c>
      <c r="O60" s="143">
        <v>2205.2600000000002</v>
      </c>
      <c r="P60" s="143">
        <v>1932.03</v>
      </c>
      <c r="Q60" s="143">
        <v>1842.87</v>
      </c>
      <c r="R60" s="143">
        <v>2502.69</v>
      </c>
      <c r="S60" s="143">
        <v>1891.67</v>
      </c>
      <c r="T60" s="143">
        <v>1890.22</v>
      </c>
      <c r="U60" s="143">
        <v>2014.99</v>
      </c>
      <c r="V60" s="143">
        <v>1949.33</v>
      </c>
      <c r="W60" s="143">
        <v>2083.63</v>
      </c>
      <c r="X60" s="143">
        <v>2048.6799999999998</v>
      </c>
      <c r="Y60" s="143">
        <v>1834.79</v>
      </c>
      <c r="Z60" s="143">
        <v>1940.03</v>
      </c>
      <c r="AA60" s="143">
        <f t="shared" si="13"/>
        <v>24136.19</v>
      </c>
      <c r="AB60" s="144">
        <f t="shared" si="14"/>
        <v>2.0271398393520452E-3</v>
      </c>
      <c r="AC60" s="140"/>
      <c r="AD60" s="143">
        <v>25788</v>
      </c>
      <c r="AE60" s="144">
        <f t="shared" si="15"/>
        <v>3.0948070208581132E-3</v>
      </c>
      <c r="AF60" s="145">
        <f t="shared" si="16"/>
        <v>-1651.8100000000013</v>
      </c>
      <c r="AG60" s="143">
        <v>24206.33</v>
      </c>
      <c r="AH60" s="144">
        <f t="shared" si="17"/>
        <v>4.6431471191185044E-3</v>
      </c>
      <c r="AI60" s="145">
        <f t="shared" si="18"/>
        <v>-70.140000000003056</v>
      </c>
      <c r="AJ60" s="440">
        <f t="shared" si="19"/>
        <v>0.50095869655458691</v>
      </c>
      <c r="AK60" s="441">
        <f t="shared" si="20"/>
        <v>0.53524283935242845</v>
      </c>
      <c r="AL60" s="442">
        <f t="shared" si="21"/>
        <v>0.50104177016062268</v>
      </c>
      <c r="AM60" s="443" t="str">
        <f t="shared" si="22"/>
        <v>-0.11 pts.</v>
      </c>
      <c r="AN60" s="444" t="str">
        <f t="shared" si="23"/>
        <v>-0.26 pts.</v>
      </c>
      <c r="AO60" s="11"/>
    </row>
    <row r="61" spans="1:41" x14ac:dyDescent="0.35">
      <c r="A61" s="65" t="s">
        <v>27</v>
      </c>
      <c r="B61" s="66"/>
      <c r="C61" s="11"/>
      <c r="D61" s="11"/>
      <c r="E61" s="11"/>
      <c r="F61" s="11"/>
      <c r="G61" s="88" t="s">
        <v>827</v>
      </c>
      <c r="H61" s="88" t="s">
        <v>839</v>
      </c>
      <c r="I61" s="122" t="str">
        <f>IF(_epmOfflineCondition_,"N",_xll.EVPRO($B$1,$H61,"STYLE"))</f>
        <v>N</v>
      </c>
      <c r="J61" s="122" t="str">
        <f>IF(_epmOfflineCondition_,"N",_xll.EVPRO($B$1,$H61,"CALC"))</f>
        <v>N</v>
      </c>
      <c r="K61" s="179" t="str">
        <f t="shared" si="12"/>
        <v/>
      </c>
      <c r="L61" s="90" t="str">
        <f>IF(_epmOfflineCondition_,"705100",_xll.EVPRO($B$1,H61,"JDEID"))</f>
        <v>705100</v>
      </c>
      <c r="M61" s="90" t="str">
        <f>IF(_epmOfflineCondition_,"590055",IF(AND(I61="N",J61="N"),_xll.EVPRO($B$1,H61,"PSFTID"),""))</f>
        <v>590055</v>
      </c>
      <c r="N61" s="90" t="str">
        <f>IF(_epmOfflineCondition_,"Payroll Processing",IF(_xll.EVDES(H61,$B$1)="#NODATA","",_xll.EVDES(H61,$B$1)))</f>
        <v>Payroll Processing</v>
      </c>
      <c r="O61" s="143">
        <v>956.45</v>
      </c>
      <c r="P61" s="143">
        <v>369.75</v>
      </c>
      <c r="Q61" s="143">
        <v>47.86</v>
      </c>
      <c r="R61" s="143">
        <v>376.26</v>
      </c>
      <c r="S61" s="143">
        <v>351.8</v>
      </c>
      <c r="T61" s="143">
        <v>366.26</v>
      </c>
      <c r="U61" s="143">
        <v>366.26</v>
      </c>
      <c r="V61" s="143">
        <v>870.51</v>
      </c>
      <c r="W61" s="143">
        <v>366.26</v>
      </c>
      <c r="X61" s="143">
        <v>366.26</v>
      </c>
      <c r="Y61" s="143">
        <v>238.69</v>
      </c>
      <c r="Z61" s="143">
        <v>377.4</v>
      </c>
      <c r="AA61" s="143">
        <f t="shared" si="13"/>
        <v>5053.76</v>
      </c>
      <c r="AB61" s="144">
        <f t="shared" si="14"/>
        <v>4.2445299919017013E-4</v>
      </c>
      <c r="AC61" s="140"/>
      <c r="AD61" s="143">
        <v>4649.0000000004002</v>
      </c>
      <c r="AE61" s="144">
        <f t="shared" si="15"/>
        <v>5.5792453233948381E-4</v>
      </c>
      <c r="AF61" s="145">
        <f t="shared" si="16"/>
        <v>404.75999999960004</v>
      </c>
      <c r="AG61" s="143">
        <v>4357.72</v>
      </c>
      <c r="AH61" s="144">
        <f t="shared" si="17"/>
        <v>8.3587784946851035E-4</v>
      </c>
      <c r="AI61" s="145">
        <f t="shared" si="18"/>
        <v>696.04</v>
      </c>
      <c r="AJ61" s="440">
        <f t="shared" si="19"/>
        <v>0.10489331672893318</v>
      </c>
      <c r="AK61" s="441">
        <f t="shared" si="20"/>
        <v>9.6492320464931516E-2</v>
      </c>
      <c r="AL61" s="442">
        <f t="shared" si="21"/>
        <v>9.0199536347077336E-2</v>
      </c>
      <c r="AM61" s="443" t="str">
        <f t="shared" si="22"/>
        <v>-0.01 pts.</v>
      </c>
      <c r="AN61" s="444" t="str">
        <f t="shared" si="23"/>
        <v>-0.04 pts.</v>
      </c>
      <c r="AO61" s="11"/>
    </row>
    <row r="62" spans="1:41" x14ac:dyDescent="0.35">
      <c r="A62" s="65" t="s">
        <v>28</v>
      </c>
      <c r="B62" s="66"/>
      <c r="C62" s="11"/>
      <c r="D62" s="11"/>
      <c r="E62" s="11"/>
      <c r="F62" s="11"/>
      <c r="G62" s="88" t="s">
        <v>827</v>
      </c>
      <c r="H62" s="88" t="s">
        <v>840</v>
      </c>
      <c r="I62" s="122" t="str">
        <f>IF(_epmOfflineCondition_,"N",_xll.EVPRO($B$1,$H62,"STYLE"))</f>
        <v>N</v>
      </c>
      <c r="J62" s="122" t="str">
        <f>IF(_epmOfflineCondition_,"N",_xll.EVPRO($B$1,$H62,"CALC"))</f>
        <v>N</v>
      </c>
      <c r="K62" s="179" t="str">
        <f t="shared" si="12"/>
        <v/>
      </c>
      <c r="L62" s="90" t="str">
        <f>IF(_epmOfflineCondition_,"705200",_xll.EVPRO($B$1,H62,"JDEID"))</f>
        <v>705200</v>
      </c>
      <c r="M62" s="90" t="str">
        <f>IF(_epmOfflineCondition_,"590305",IF(AND(I62="N",J62="N"),_xll.EVPRO($B$1,H62,"PSFTID"),""))</f>
        <v>590305</v>
      </c>
      <c r="N62" s="90" t="str">
        <f>IF(_epmOfflineCondition_,"Legal Services",IF(_xll.EVDES(H62,$B$1)="#NODATA","",_xll.EVDES(H62,$B$1)))</f>
        <v>Legal Services</v>
      </c>
      <c r="O62" s="143"/>
      <c r="P62" s="143"/>
      <c r="Q62" s="143"/>
      <c r="R62" s="143"/>
      <c r="S62" s="143"/>
      <c r="T62" s="143"/>
      <c r="U62" s="143"/>
      <c r="V62" s="143"/>
      <c r="W62" s="143"/>
      <c r="X62" s="143"/>
      <c r="Y62" s="143"/>
      <c r="Z62" s="143"/>
      <c r="AA62" s="143">
        <f t="shared" si="13"/>
        <v>0</v>
      </c>
      <c r="AB62" s="144" t="str">
        <f t="shared" si="14"/>
        <v/>
      </c>
      <c r="AC62" s="140"/>
      <c r="AD62" s="143">
        <v>1500</v>
      </c>
      <c r="AE62" s="144">
        <f t="shared" si="15"/>
        <v>1.8001436836075579E-4</v>
      </c>
      <c r="AF62" s="145">
        <f t="shared" si="16"/>
        <v>-1500</v>
      </c>
      <c r="AG62" s="143">
        <v>633.82000000000005</v>
      </c>
      <c r="AH62" s="144">
        <f t="shared" si="17"/>
        <v>1.2157644331212911E-4</v>
      </c>
      <c r="AI62" s="145">
        <f t="shared" si="18"/>
        <v>-633.82000000000005</v>
      </c>
      <c r="AJ62" s="440">
        <f t="shared" si="19"/>
        <v>0</v>
      </c>
      <c r="AK62" s="441">
        <f t="shared" si="20"/>
        <v>3.1133250311332503E-2</v>
      </c>
      <c r="AL62" s="442">
        <f t="shared" si="21"/>
        <v>1.3119307832422588E-2</v>
      </c>
      <c r="AM62" s="443">
        <f t="shared" si="22"/>
        <v>0</v>
      </c>
      <c r="AN62" s="444">
        <f t="shared" si="23"/>
        <v>0</v>
      </c>
      <c r="AO62" s="11"/>
    </row>
    <row r="63" spans="1:41" x14ac:dyDescent="0.35">
      <c r="A63" s="65" t="s">
        <v>29</v>
      </c>
      <c r="B63" s="66"/>
      <c r="C63" s="11"/>
      <c r="D63" s="11"/>
      <c r="E63" s="11"/>
      <c r="F63" s="11"/>
      <c r="G63" s="88" t="s">
        <v>827</v>
      </c>
      <c r="H63" s="88" t="s">
        <v>841</v>
      </c>
      <c r="I63" s="122" t="str">
        <f>IF(_epmOfflineCondition_,"N",_xll.EVPRO($B$1,$H63,"STYLE"))</f>
        <v>N</v>
      </c>
      <c r="J63" s="122" t="str">
        <f>IF(_epmOfflineCondition_,"N",_xll.EVPRO($B$1,$H63,"CALC"))</f>
        <v>N</v>
      </c>
      <c r="K63" s="179" t="str">
        <f t="shared" si="12"/>
        <v/>
      </c>
      <c r="L63" s="90" t="str">
        <f>IF(_epmOfflineCondition_,"705500",_xll.EVPRO($B$1,H63,"JDEID"))</f>
        <v>705500</v>
      </c>
      <c r="M63" s="90" t="str">
        <f>IF(_epmOfflineCondition_,"690105",IF(AND(I63="N",J63="N"),_xll.EVPRO($B$1,H63,"PSFTID"),""))</f>
        <v>690105</v>
      </c>
      <c r="N63" s="90" t="str">
        <f>IF(_epmOfflineCondition_,"Licenses &amp; Permits",IF(_xll.EVDES(H63,$B$1)="#NODATA","",_xll.EVDES(H63,$B$1)))</f>
        <v>Licenses &amp; Permits</v>
      </c>
      <c r="O63" s="143"/>
      <c r="P63" s="143"/>
      <c r="Q63" s="143"/>
      <c r="R63" s="143">
        <v>206</v>
      </c>
      <c r="S63" s="143"/>
      <c r="T63" s="143">
        <v>3702</v>
      </c>
      <c r="U63" s="143">
        <v>1383.5</v>
      </c>
      <c r="V63" s="143">
        <v>425</v>
      </c>
      <c r="W63" s="143">
        <v>961</v>
      </c>
      <c r="X63" s="143">
        <v>4360.71</v>
      </c>
      <c r="Y63" s="143">
        <v>322.5</v>
      </c>
      <c r="Z63" s="143">
        <v>801</v>
      </c>
      <c r="AA63" s="143">
        <f t="shared" si="13"/>
        <v>12161.71</v>
      </c>
      <c r="AB63" s="144">
        <f t="shared" si="14"/>
        <v>1.0214324156234335E-3</v>
      </c>
      <c r="AC63" s="140"/>
      <c r="AD63" s="143">
        <v>5715</v>
      </c>
      <c r="AE63" s="144">
        <f t="shared" si="15"/>
        <v>6.8585474345447947E-4</v>
      </c>
      <c r="AF63" s="145">
        <f t="shared" si="16"/>
        <v>6446.7099999999991</v>
      </c>
      <c r="AG63" s="143">
        <v>5600.65</v>
      </c>
      <c r="AH63" s="144">
        <f t="shared" si="17"/>
        <v>1.0742909773059793E-3</v>
      </c>
      <c r="AI63" s="145">
        <f t="shared" si="18"/>
        <v>6561.0599999999995</v>
      </c>
      <c r="AJ63" s="440">
        <f t="shared" si="19"/>
        <v>0.25242237442922372</v>
      </c>
      <c r="AK63" s="441">
        <f t="shared" si="20"/>
        <v>0.11861768368617684</v>
      </c>
      <c r="AL63" s="442">
        <f t="shared" si="21"/>
        <v>0.1159266848816029</v>
      </c>
      <c r="AM63" s="443" t="str">
        <f t="shared" si="22"/>
        <v>0.03 pts.</v>
      </c>
      <c r="AN63" s="444" t="str">
        <f t="shared" si="23"/>
        <v>-0.01 pts.</v>
      </c>
      <c r="AO63" s="11"/>
    </row>
    <row r="64" spans="1:41" x14ac:dyDescent="0.35">
      <c r="A64" s="65" t="s">
        <v>30</v>
      </c>
      <c r="B64" s="66" t="s">
        <v>78</v>
      </c>
      <c r="C64" s="11"/>
      <c r="D64" s="11"/>
      <c r="E64" s="11"/>
      <c r="F64" s="11"/>
      <c r="G64" s="88" t="s">
        <v>827</v>
      </c>
      <c r="H64" s="88" t="s">
        <v>842</v>
      </c>
      <c r="I64" s="122" t="str">
        <f>IF(_epmOfflineCondition_,"N",_xll.EVPRO($B$1,$H64,"STYLE"))</f>
        <v>N</v>
      </c>
      <c r="J64" s="122" t="str">
        <f>IF(_epmOfflineCondition_,"N",_xll.EVPRO($B$1,$H64,"CALC"))</f>
        <v>N</v>
      </c>
      <c r="K64" s="179" t="str">
        <f t="shared" si="12"/>
        <v/>
      </c>
      <c r="L64" s="90" t="str">
        <f>IF(_epmOfflineCondition_,"705800",_xll.EVPRO($B$1,H64,"JDEID"))</f>
        <v>705800</v>
      </c>
      <c r="M64" s="90" t="str">
        <f>IF(_epmOfflineCondition_,"690025",IF(AND(I64="N",J64="N"),_xll.EVPRO($B$1,H64,"PSFTID"),""))</f>
        <v>690025</v>
      </c>
      <c r="N64" s="90" t="str">
        <f>IF(_epmOfflineCondition_,"Donations",IF(_xll.EVDES(H64,$B$1)="#NODATA","",_xll.EVDES(H64,$B$1)))</f>
        <v>Donations</v>
      </c>
      <c r="O64" s="143"/>
      <c r="P64" s="143"/>
      <c r="Q64" s="143"/>
      <c r="R64" s="143"/>
      <c r="S64" s="143"/>
      <c r="T64" s="143"/>
      <c r="U64" s="143"/>
      <c r="V64" s="143"/>
      <c r="W64" s="143">
        <v>600</v>
      </c>
      <c r="X64" s="143"/>
      <c r="Y64" s="143"/>
      <c r="Z64" s="143">
        <v>1575</v>
      </c>
      <c r="AA64" s="143">
        <f t="shared" si="13"/>
        <v>2175</v>
      </c>
      <c r="AB64" s="144">
        <f t="shared" si="14"/>
        <v>1.8267295503518569E-4</v>
      </c>
      <c r="AC64" s="140"/>
      <c r="AD64" s="143"/>
      <c r="AE64" s="144" t="str">
        <f t="shared" si="15"/>
        <v/>
      </c>
      <c r="AF64" s="145">
        <f t="shared" si="16"/>
        <v>2175</v>
      </c>
      <c r="AG64" s="143">
        <v>162.5</v>
      </c>
      <c r="AH64" s="144">
        <f t="shared" si="17"/>
        <v>3.1170004162413586E-5</v>
      </c>
      <c r="AI64" s="145">
        <f t="shared" si="18"/>
        <v>2012.5</v>
      </c>
      <c r="AJ64" s="440">
        <f t="shared" si="19"/>
        <v>4.514321295143213E-2</v>
      </c>
      <c r="AK64" s="441">
        <f t="shared" si="20"/>
        <v>0</v>
      </c>
      <c r="AL64" s="442">
        <f t="shared" si="21"/>
        <v>3.3635535684716014E-3</v>
      </c>
      <c r="AM64" s="443">
        <f t="shared" si="22"/>
        <v>0</v>
      </c>
      <c r="AN64" s="444" t="str">
        <f t="shared" si="23"/>
        <v>0.02 pts.</v>
      </c>
      <c r="AO64" s="11"/>
    </row>
    <row r="65" spans="1:41" x14ac:dyDescent="0.35">
      <c r="A65" s="65" t="s">
        <v>31</v>
      </c>
      <c r="B65" s="66" t="s">
        <v>78</v>
      </c>
      <c r="C65" s="11"/>
      <c r="D65" s="11"/>
      <c r="E65" s="11"/>
      <c r="F65" s="11"/>
      <c r="G65" s="88" t="s">
        <v>827</v>
      </c>
      <c r="H65" s="88" t="s">
        <v>843</v>
      </c>
      <c r="I65" s="122" t="str">
        <f>IF(_epmOfflineCondition_,"N",_xll.EVPRO($B$1,$H65,"STYLE"))</f>
        <v>N</v>
      </c>
      <c r="J65" s="122" t="str">
        <f>IF(_epmOfflineCondition_,"N",_xll.EVPRO($B$1,$H65,"CALC"))</f>
        <v>N</v>
      </c>
      <c r="K65" s="179" t="str">
        <f t="shared" si="12"/>
        <v/>
      </c>
      <c r="L65" s="90" t="str">
        <f>IF(_epmOfflineCondition_,"706000",_xll.EVPRO($B$1,H65,"JDEID"))</f>
        <v>706000</v>
      </c>
      <c r="M65" s="90" t="str">
        <f>IF(_epmOfflineCondition_,"590320",IF(AND(I65="N",J65="N"),_xll.EVPRO($B$1,H65,"PSFTID"),""))</f>
        <v>590320</v>
      </c>
      <c r="N65" s="90" t="str">
        <f>IF(_epmOfflineCondition_,"Security",IF(_xll.EVDES(H65,$B$1)="#NODATA","",_xll.EVDES(H65,$B$1)))</f>
        <v>Security</v>
      </c>
      <c r="O65" s="143">
        <v>817.68</v>
      </c>
      <c r="P65" s="143">
        <v>3384.39</v>
      </c>
      <c r="Q65" s="143">
        <v>6590.39</v>
      </c>
      <c r="R65" s="143">
        <v>7986.02</v>
      </c>
      <c r="S65" s="143">
        <v>6957.43</v>
      </c>
      <c r="T65" s="143">
        <v>4096.2299999999996</v>
      </c>
      <c r="U65" s="143">
        <v>2426.2800000000002</v>
      </c>
      <c r="V65" s="143">
        <v>3202.64</v>
      </c>
      <c r="W65" s="143">
        <v>1739.21</v>
      </c>
      <c r="X65" s="143">
        <v>296.32</v>
      </c>
      <c r="Y65" s="143">
        <v>324.91000000000003</v>
      </c>
      <c r="Z65" s="143">
        <v>1249.54</v>
      </c>
      <c r="AA65" s="143">
        <f t="shared" si="13"/>
        <v>39071.040000000001</v>
      </c>
      <c r="AB65" s="144">
        <f t="shared" si="14"/>
        <v>3.2814815324588237E-3</v>
      </c>
      <c r="AC65" s="140"/>
      <c r="AD65" s="143">
        <v>5340</v>
      </c>
      <c r="AE65" s="144">
        <f t="shared" si="15"/>
        <v>6.4085115136429058E-4</v>
      </c>
      <c r="AF65" s="145">
        <f t="shared" si="16"/>
        <v>33731.040000000001</v>
      </c>
      <c r="AG65" s="143">
        <v>4099.79</v>
      </c>
      <c r="AH65" s="144">
        <f t="shared" si="17"/>
        <v>7.8640290070782512E-4</v>
      </c>
      <c r="AI65" s="145">
        <f t="shared" si="18"/>
        <v>34971.25</v>
      </c>
      <c r="AJ65" s="440">
        <f t="shared" si="19"/>
        <v>0.81093897882938981</v>
      </c>
      <c r="AK65" s="441">
        <f t="shared" si="20"/>
        <v>0.11083437110834371</v>
      </c>
      <c r="AL65" s="442">
        <f t="shared" si="21"/>
        <v>8.4860697135287294E-2</v>
      </c>
      <c r="AM65" s="443" t="str">
        <f t="shared" si="22"/>
        <v>0.26 pts.</v>
      </c>
      <c r="AN65" s="444" t="str">
        <f t="shared" si="23"/>
        <v>0.25 pts.</v>
      </c>
      <c r="AO65" s="11"/>
    </row>
    <row r="66" spans="1:41" x14ac:dyDescent="0.35">
      <c r="A66" s="65" t="s">
        <v>32</v>
      </c>
      <c r="B66" s="66"/>
      <c r="C66" s="11"/>
      <c r="D66" s="11"/>
      <c r="E66" s="11"/>
      <c r="F66" s="11"/>
      <c r="G66" s="88" t="s">
        <v>827</v>
      </c>
      <c r="H66" s="88" t="s">
        <v>844</v>
      </c>
      <c r="I66" s="122" t="str">
        <f>IF(_epmOfflineCondition_,"T4",_xll.EVPRO($B$1,$H66,"STYLE"))</f>
        <v>T4</v>
      </c>
      <c r="J66" s="122" t="str">
        <f>IF(_epmOfflineCondition_,"Y",_xll.EVPRO($B$1,$H66,"CALC"))</f>
        <v>Y</v>
      </c>
      <c r="K66" s="179" t="str">
        <f t="shared" si="12"/>
        <v>&gt;</v>
      </c>
      <c r="L66" s="90" t="str">
        <f>IF(_epmOfflineCondition_,"706100",_xll.EVPRO($B$1,H66,"JDEID"))</f>
        <v>706100</v>
      </c>
      <c r="M66" s="90" t="str">
        <f>IF(_epmOfflineCondition_,"",IF(AND(I66="N",J66="N"),_xll.EVPRO($B$1,H66,"PSFTID"),""))</f>
        <v/>
      </c>
      <c r="N66" s="90" t="str">
        <f>IF(_epmOfflineCondition_,"Miscellaneous",IF(_xll.EVDES(H66,$B$1)="#NODATA","",_xll.EVDES(H66,$B$1)))</f>
        <v>Miscellaneous</v>
      </c>
      <c r="O66" s="143"/>
      <c r="P66" s="143"/>
      <c r="Q66" s="143"/>
      <c r="R66" s="143"/>
      <c r="S66" s="143"/>
      <c r="T66" s="143"/>
      <c r="U66" s="143"/>
      <c r="V66" s="143"/>
      <c r="W66" s="143"/>
      <c r="X66" s="143"/>
      <c r="Y66" s="143"/>
      <c r="Z66" s="143"/>
      <c r="AA66" s="143">
        <f t="shared" si="13"/>
        <v>0</v>
      </c>
      <c r="AB66" s="144" t="str">
        <f t="shared" si="14"/>
        <v/>
      </c>
      <c r="AC66" s="140"/>
      <c r="AD66" s="143"/>
      <c r="AE66" s="144" t="str">
        <f t="shared" si="15"/>
        <v/>
      </c>
      <c r="AF66" s="145">
        <f t="shared" si="16"/>
        <v>0</v>
      </c>
      <c r="AG66" s="143">
        <v>100</v>
      </c>
      <c r="AH66" s="144">
        <f t="shared" si="17"/>
        <v>1.9181541023023746E-5</v>
      </c>
      <c r="AI66" s="145">
        <f t="shared" si="18"/>
        <v>-100</v>
      </c>
      <c r="AJ66" s="440">
        <f t="shared" si="19"/>
        <v>0</v>
      </c>
      <c r="AK66" s="441">
        <f t="shared" si="20"/>
        <v>0</v>
      </c>
      <c r="AL66" s="442">
        <f t="shared" si="21"/>
        <v>2.0698791190594469E-3</v>
      </c>
      <c r="AM66" s="443">
        <f t="shared" si="22"/>
        <v>0</v>
      </c>
      <c r="AN66" s="444">
        <f t="shared" si="23"/>
        <v>0</v>
      </c>
      <c r="AO66" s="11"/>
    </row>
    <row r="67" spans="1:41" x14ac:dyDescent="0.35">
      <c r="A67" s="65" t="s">
        <v>33</v>
      </c>
      <c r="B67" s="66"/>
      <c r="C67" s="11"/>
      <c r="D67" s="11"/>
      <c r="E67" s="11"/>
      <c r="F67" s="11"/>
      <c r="G67" s="88" t="s">
        <v>827</v>
      </c>
      <c r="H67" s="88" t="s">
        <v>845</v>
      </c>
      <c r="I67" s="122" t="str">
        <f>IF(_epmOfflineCondition_,"T4",_xll.EVPRO($B$1,$H67,"STYLE"))</f>
        <v>T4</v>
      </c>
      <c r="J67" s="122" t="str">
        <f>IF(_epmOfflineCondition_,"Y",_xll.EVPRO($B$1,$H67,"CALC"))</f>
        <v>Y</v>
      </c>
      <c r="K67" s="179" t="str">
        <f t="shared" si="12"/>
        <v>&gt;</v>
      </c>
      <c r="L67" s="90" t="str">
        <f>IF(_epmOfflineCondition_,"706500",_xll.EVPRO($B$1,H67,"JDEID"))</f>
        <v>706500</v>
      </c>
      <c r="M67" s="90" t="str">
        <f>IF(_epmOfflineCondition_,"",IF(AND(I67="N",J67="N"),_xll.EVPRO($B$1,H67,"PSFTID"),""))</f>
        <v/>
      </c>
      <c r="N67" s="90" t="str">
        <f>IF(_epmOfflineCondition_,"Corporate Office Reimbursement",IF(_xll.EVDES(H67,$B$1)="#NODATA","",_xll.EVDES(H67,$B$1)))</f>
        <v>Corporate Office Reimbursement</v>
      </c>
      <c r="O67" s="143">
        <v>4678.41</v>
      </c>
      <c r="P67" s="143">
        <v>5491.06</v>
      </c>
      <c r="Q67" s="143">
        <v>6988.93</v>
      </c>
      <c r="R67" s="143">
        <v>6924.08</v>
      </c>
      <c r="S67" s="143">
        <v>7909.5</v>
      </c>
      <c r="T67" s="143">
        <v>6828.42</v>
      </c>
      <c r="U67" s="143">
        <v>7577.4</v>
      </c>
      <c r="V67" s="143">
        <v>4910.5</v>
      </c>
      <c r="W67" s="143">
        <v>3220.52</v>
      </c>
      <c r="X67" s="143">
        <v>4719.74</v>
      </c>
      <c r="Y67" s="143">
        <v>6277.04</v>
      </c>
      <c r="Z67" s="143">
        <v>8496.17</v>
      </c>
      <c r="AA67" s="143">
        <f t="shared" si="13"/>
        <v>74021.77</v>
      </c>
      <c r="AB67" s="144">
        <f t="shared" si="14"/>
        <v>6.2169082587746468E-3</v>
      </c>
      <c r="AC67" s="140"/>
      <c r="AD67" s="143">
        <v>55035.652116065401</v>
      </c>
      <c r="AE67" s="144">
        <f t="shared" si="15"/>
        <v>6.6048054353305364E-3</v>
      </c>
      <c r="AF67" s="145">
        <f t="shared" si="16"/>
        <v>18986.117883934603</v>
      </c>
      <c r="AG67" s="143">
        <v>33253.39</v>
      </c>
      <c r="AH67" s="144">
        <f t="shared" si="17"/>
        <v>6.3785126443960758E-3</v>
      </c>
      <c r="AI67" s="145">
        <f t="shared" si="18"/>
        <v>40768.380000000005</v>
      </c>
      <c r="AJ67" s="440">
        <f t="shared" si="19"/>
        <v>1.5363588625985887</v>
      </c>
      <c r="AK67" s="441">
        <f t="shared" si="20"/>
        <v>1.1422924889179202</v>
      </c>
      <c r="AL67" s="442">
        <f t="shared" si="21"/>
        <v>0.68830497598940221</v>
      </c>
      <c r="AM67" s="443" t="str">
        <f t="shared" si="22"/>
        <v>-0.04 pts.</v>
      </c>
      <c r="AN67" s="444" t="str">
        <f t="shared" si="23"/>
        <v>-0.02 pts.</v>
      </c>
      <c r="AO67" s="11"/>
    </row>
    <row r="68" spans="1:41" x14ac:dyDescent="0.35">
      <c r="A68" s="65" t="s">
        <v>34</v>
      </c>
      <c r="B68" s="66"/>
      <c r="C68" s="11"/>
      <c r="D68" s="11"/>
      <c r="E68" s="11"/>
      <c r="F68" s="11"/>
      <c r="G68" s="88" t="s">
        <v>498</v>
      </c>
      <c r="H68" s="88" t="s">
        <v>79</v>
      </c>
      <c r="I68" s="136" t="str">
        <f>IF(_epmOfflineCondition_,"T3",_xll.EVPRO($B$1,$H68,"STYLE"))</f>
        <v>T3</v>
      </c>
      <c r="J68" s="136" t="str">
        <f>IF(_epmOfflineCondition_,"Y",_xll.EVPRO($B$1,$H68,"CALC"))</f>
        <v>Y</v>
      </c>
      <c r="K68" s="179"/>
      <c r="L68" s="90"/>
      <c r="M68" s="90"/>
      <c r="N68" s="90" t="str">
        <f>IF(_epmOfflineCondition_,"Human Resources (Consolidated)",IF(_xll.EVDES(G68,$B$1)="#NODATA","",_xll.EVDES(G68,$B$1)))</f>
        <v>Human Resources (Consolidated)</v>
      </c>
      <c r="O68" s="143">
        <v>1506.32</v>
      </c>
      <c r="P68" s="143">
        <v>2103.19</v>
      </c>
      <c r="Q68" s="143">
        <v>2911.96</v>
      </c>
      <c r="R68" s="143">
        <v>4728.8599999999997</v>
      </c>
      <c r="S68" s="143">
        <v>2463.0700000000002</v>
      </c>
      <c r="T68" s="143">
        <v>993.86</v>
      </c>
      <c r="U68" s="143">
        <v>5337.36</v>
      </c>
      <c r="V68" s="143">
        <v>1944.45</v>
      </c>
      <c r="W68" s="143">
        <v>3770.89</v>
      </c>
      <c r="X68" s="143">
        <v>5409.98</v>
      </c>
      <c r="Y68" s="143">
        <v>6800.88</v>
      </c>
      <c r="Z68" s="143">
        <v>8438.1200000000008</v>
      </c>
      <c r="AA68" s="143">
        <f t="shared" si="13"/>
        <v>46408.94</v>
      </c>
      <c r="AB68" s="144">
        <f t="shared" si="14"/>
        <v>3.8977738895864971E-3</v>
      </c>
      <c r="AC68" s="140"/>
      <c r="AD68" s="143">
        <v>26241.0000000004</v>
      </c>
      <c r="AE68" s="144">
        <f t="shared" si="15"/>
        <v>3.1491713601031097E-3</v>
      </c>
      <c r="AF68" s="145">
        <f t="shared" si="16"/>
        <v>20167.939999999602</v>
      </c>
      <c r="AG68" s="143">
        <v>21760.49</v>
      </c>
      <c r="AH68" s="144">
        <f t="shared" si="17"/>
        <v>4.1739973161609798E-3</v>
      </c>
      <c r="AI68" s="145">
        <f t="shared" si="18"/>
        <v>24648.45</v>
      </c>
      <c r="AJ68" s="449">
        <f t="shared" si="19"/>
        <v>0.96324076380240764</v>
      </c>
      <c r="AK68" s="450">
        <f t="shared" si="20"/>
        <v>0.54464508094645914</v>
      </c>
      <c r="AL68" s="451">
        <f t="shared" si="21"/>
        <v>0.45041583871501906</v>
      </c>
      <c r="AM68" s="452" t="str">
        <f t="shared" si="22"/>
        <v>0.07 pts.</v>
      </c>
      <c r="AN68" s="453" t="str">
        <f t="shared" si="23"/>
        <v>-0.03 pts.</v>
      </c>
      <c r="AO68" s="11"/>
    </row>
    <row r="69" spans="1:41" x14ac:dyDescent="0.35">
      <c r="A69" s="65" t="s">
        <v>35</v>
      </c>
      <c r="B69" s="66"/>
      <c r="C69" s="11"/>
      <c r="D69" s="11"/>
      <c r="E69" s="11"/>
      <c r="F69" s="11"/>
      <c r="G69" s="88" t="s">
        <v>497</v>
      </c>
      <c r="H69" s="88" t="s">
        <v>79</v>
      </c>
      <c r="I69" s="136" t="str">
        <f>IF(_epmOfflineCondition_,"T3",_xll.EVPRO($B$1,$H69,"STYLE"))</f>
        <v>T3</v>
      </c>
      <c r="J69" s="136" t="str">
        <f>IF(_epmOfflineCondition_,"Y",_xll.EVPRO($B$1,$H69,"CALC"))</f>
        <v>Y</v>
      </c>
      <c r="K69" s="104"/>
      <c r="L69" s="59"/>
      <c r="M69" s="59"/>
      <c r="N69" s="106" t="str">
        <f>IF(_epmOfflineCondition_,"Total Operations Expense",IF(_xll.EVDES(H69,$B$1)="#NODATA","",_xll.EVDES(H69,$B$1)))</f>
        <v>Total Operations Expense</v>
      </c>
      <c r="O69" s="154">
        <v>33946.47</v>
      </c>
      <c r="P69" s="154">
        <v>42791</v>
      </c>
      <c r="Q69" s="154">
        <v>49645.97</v>
      </c>
      <c r="R69" s="154">
        <v>54223.56</v>
      </c>
      <c r="S69" s="154">
        <v>53478.3</v>
      </c>
      <c r="T69" s="154">
        <v>50029.85</v>
      </c>
      <c r="U69" s="154">
        <v>49135.5</v>
      </c>
      <c r="V69" s="154">
        <v>40488.300000000003</v>
      </c>
      <c r="W69" s="154">
        <v>20803.330000000002</v>
      </c>
      <c r="X69" s="154">
        <v>40895.42</v>
      </c>
      <c r="Y69" s="154">
        <v>46686.32</v>
      </c>
      <c r="Z69" s="154">
        <v>67332.25</v>
      </c>
      <c r="AA69" s="154">
        <f t="shared" si="13"/>
        <v>549456.27</v>
      </c>
      <c r="AB69" s="155">
        <f t="shared" si="14"/>
        <v>4.6147494484372803E-2</v>
      </c>
      <c r="AC69" s="140"/>
      <c r="AD69" s="154">
        <v>387469.75087165303</v>
      </c>
      <c r="AE69" s="155">
        <f t="shared" si="15"/>
        <v>4.6500081641373349E-2</v>
      </c>
      <c r="AF69" s="156">
        <f t="shared" si="16"/>
        <v>161986.51912834699</v>
      </c>
      <c r="AG69" s="154">
        <v>264051.96999999997</v>
      </c>
      <c r="AH69" s="155">
        <f t="shared" si="17"/>
        <v>5.0649236947652346E-2</v>
      </c>
      <c r="AI69" s="156">
        <f t="shared" si="18"/>
        <v>285404.30000000005</v>
      </c>
      <c r="AJ69" s="477">
        <f t="shared" si="19"/>
        <v>11.404239726027397</v>
      </c>
      <c r="AK69" s="478">
        <f t="shared" si="20"/>
        <v>8.042128494637879</v>
      </c>
      <c r="AL69" s="479">
        <f t="shared" si="21"/>
        <v>5.4655565904951144</v>
      </c>
      <c r="AM69" s="480" t="str">
        <f t="shared" si="22"/>
        <v>-0.04 pts.</v>
      </c>
      <c r="AN69" s="555" t="str">
        <f t="shared" si="23"/>
        <v>-0.45 pts.</v>
      </c>
      <c r="AO69" s="11"/>
    </row>
    <row r="70" spans="1:41" x14ac:dyDescent="0.35">
      <c r="A70" s="65" t="s">
        <v>36</v>
      </c>
      <c r="B70" s="66"/>
      <c r="C70" s="11"/>
      <c r="D70" s="11"/>
      <c r="E70" s="11"/>
      <c r="F70" s="11"/>
      <c r="G70" s="11"/>
      <c r="H70" s="11"/>
      <c r="I70" s="59"/>
      <c r="J70" s="59"/>
      <c r="K70" s="11"/>
      <c r="L70" s="59"/>
      <c r="M70" s="59"/>
      <c r="N70" s="11"/>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1"/>
    </row>
    <row r="71" spans="1:41" x14ac:dyDescent="0.35">
      <c r="A71" s="65" t="s">
        <v>37</v>
      </c>
      <c r="B71" s="66"/>
      <c r="C71" s="11"/>
      <c r="D71" s="11"/>
      <c r="E71" s="11"/>
      <c r="F71" s="11"/>
      <c r="G71" s="88" t="s">
        <v>497</v>
      </c>
      <c r="H71" s="88" t="s">
        <v>80</v>
      </c>
      <c r="I71" s="136" t="str">
        <f>IF(_epmOfflineCondition_,"T3",_xll.EVPRO($B$1,$H71,"STYLE"))</f>
        <v>T3</v>
      </c>
      <c r="J71" s="136" t="str">
        <f>IF(_epmOfflineCondition_,"Y",_xll.EVPRO($B$1,$H71,"CALC"))</f>
        <v>Y</v>
      </c>
      <c r="K71" s="106"/>
      <c r="L71" s="59"/>
      <c r="M71" s="59"/>
      <c r="N71" s="106" t="str">
        <f>IF(_epmOfflineCondition_,"Total Expenses",IF(_xll.EVDES(H71,$B$1)="#NODATA","",_xll.EVDES(H71,$B$1)))</f>
        <v>Total Expenses</v>
      </c>
      <c r="O71" s="238">
        <v>69728.78</v>
      </c>
      <c r="P71" s="238">
        <v>79328.509999999995</v>
      </c>
      <c r="Q71" s="238">
        <v>88565.5</v>
      </c>
      <c r="R71" s="238">
        <v>93968.42</v>
      </c>
      <c r="S71" s="238">
        <v>92690.69</v>
      </c>
      <c r="T71" s="238">
        <v>90646.9</v>
      </c>
      <c r="U71" s="238">
        <v>95015.66</v>
      </c>
      <c r="V71" s="238">
        <v>80169.19</v>
      </c>
      <c r="W71" s="238">
        <v>68590.55</v>
      </c>
      <c r="X71" s="238">
        <v>108952.84</v>
      </c>
      <c r="Y71" s="238">
        <v>99534.86</v>
      </c>
      <c r="Z71" s="238">
        <v>120249.03</v>
      </c>
      <c r="AA71" s="238">
        <f>IF($I71="B1","",SUM(O71:Z71))</f>
        <v>1087440.93</v>
      </c>
      <c r="AB71" s="239">
        <f>IF(AA71=0,"",IFERROR(AA71/AA$19,""))</f>
        <v>9.1331516372096785E-2</v>
      </c>
      <c r="AC71" s="140"/>
      <c r="AD71" s="238">
        <v>901901.20286027296</v>
      </c>
      <c r="AE71" s="239">
        <f>IF(AD71=0,"",IFERROR(AD71/AD$19,""))</f>
        <v>0.10823678357113194</v>
      </c>
      <c r="AF71" s="254">
        <f>IF(AND($AA71="",AD71=""),"",$AA71-AD71)</f>
        <v>185539.72713972698</v>
      </c>
      <c r="AG71" s="255">
        <v>673951.1</v>
      </c>
      <c r="AH71" s="256">
        <f>IF(AG71=0,"",IFERROR(AG71/AG$19,""))</f>
        <v>0.12927420672161977</v>
      </c>
      <c r="AI71" s="254">
        <f>IF(AND($AA71="",AG71=""),"",$AA71-AG71)</f>
        <v>413489.82999999996</v>
      </c>
      <c r="AJ71" s="466">
        <f>IFERROR(AA71/AA$20,0)</f>
        <v>22.570380448318804</v>
      </c>
      <c r="AK71" s="467">
        <f>IFERROR(AD71/AD$20,0)</f>
        <v>18.719410603160501</v>
      </c>
      <c r="AL71" s="468">
        <f>IFERROR(AG71/AG$20,0)</f>
        <v>13.949973091571453</v>
      </c>
      <c r="AM71" s="469" t="str">
        <f>+IFERROR(ROUND(($AB71-AE71)*100,2)&amp;" pts.",0)</f>
        <v>-1.69 pts.</v>
      </c>
      <c r="AN71" s="556" t="str">
        <f>+IFERROR(ROUND(($AB71-AH71)*100,2)&amp;" pts.",0)</f>
        <v>-3.79 pts.</v>
      </c>
      <c r="AO71" s="11"/>
    </row>
    <row r="72" spans="1:41" ht="15" thickBot="1" x14ac:dyDescent="0.4">
      <c r="A72" s="65" t="s">
        <v>38</v>
      </c>
      <c r="B72" s="66"/>
      <c r="C72" s="11"/>
      <c r="D72" s="11"/>
      <c r="E72" s="11"/>
      <c r="F72" s="11"/>
      <c r="G72" s="88" t="s">
        <v>497</v>
      </c>
      <c r="H72" s="88" t="s">
        <v>81</v>
      </c>
      <c r="I72" s="136" t="str">
        <f>IF(_epmOfflineCondition_,"T3",_xll.EVPRO($B$1,$H72,"STYLE"))</f>
        <v>T3</v>
      </c>
      <c r="J72" s="136" t="str">
        <f>IF(_epmOfflineCondition_,"Y",_xll.EVPRO($B$1,$H72,"CALC"))</f>
        <v>Y</v>
      </c>
      <c r="K72" s="106"/>
      <c r="L72" s="59"/>
      <c r="M72" s="59"/>
      <c r="N72" s="106" t="str">
        <f>IF(_epmOfflineCondition_,"Department Profit (Loss)",IF(_xll.EVDES(H72,$B$1)="#NODATA","",_xll.EVDES(H72,$B$1)))</f>
        <v>Department Profit (Loss)</v>
      </c>
      <c r="O72" s="169">
        <v>-69728.78</v>
      </c>
      <c r="P72" s="169">
        <v>-79328.509999999995</v>
      </c>
      <c r="Q72" s="169">
        <v>-88565.5</v>
      </c>
      <c r="R72" s="169">
        <v>-93968.42</v>
      </c>
      <c r="S72" s="169">
        <v>-92690.69</v>
      </c>
      <c r="T72" s="169">
        <v>-90646.9</v>
      </c>
      <c r="U72" s="169">
        <v>-95015.66</v>
      </c>
      <c r="V72" s="169">
        <v>-80169.19</v>
      </c>
      <c r="W72" s="169">
        <v>-68590.55</v>
      </c>
      <c r="X72" s="169">
        <v>-108952.84</v>
      </c>
      <c r="Y72" s="169">
        <v>-99534.86</v>
      </c>
      <c r="Z72" s="169">
        <v>-120249.03</v>
      </c>
      <c r="AA72" s="169">
        <f>IF($I72="B1","",SUM(O72:Z72))</f>
        <v>-1087440.93</v>
      </c>
      <c r="AB72" s="170">
        <f>IF(AA72=0,"",IFERROR(AA72/AA$19,""))</f>
        <v>-9.1331516372096785E-2</v>
      </c>
      <c r="AC72" s="140"/>
      <c r="AD72" s="169">
        <v>-901901.202860274</v>
      </c>
      <c r="AE72" s="170">
        <f>IF(AD72=0,"",IFERROR(AD72/AD$19,""))</f>
        <v>-0.10823678357113206</v>
      </c>
      <c r="AF72" s="171">
        <f>IF(AND($AA72="",AD72=""),"",$AA72-AD72)</f>
        <v>-185539.72713972593</v>
      </c>
      <c r="AG72" s="169">
        <v>-673951.1</v>
      </c>
      <c r="AH72" s="170">
        <f>IF(AG72=0,"",IFERROR(AG72/AG$19,""))</f>
        <v>-0.12927420672161977</v>
      </c>
      <c r="AI72" s="171">
        <f>IF(AND($AA72="",AG72=""),"",$AA72-AG72)</f>
        <v>-413489.82999999996</v>
      </c>
      <c r="AJ72" s="483">
        <f>IFERROR(AA72/AA$20,0)</f>
        <v>-22.570380448318804</v>
      </c>
      <c r="AK72" s="484">
        <f>IFERROR(AD72/AD$20,0)</f>
        <v>-18.719410603160522</v>
      </c>
      <c r="AL72" s="485">
        <f>IFERROR(AG72/AG$20,0)</f>
        <v>-13.949973091571453</v>
      </c>
      <c r="AM72" s="486" t="str">
        <f>+IFERROR(ROUND(($AB72-AE72)*100,2)&amp;" pts.",0)</f>
        <v>1.69 pts.</v>
      </c>
      <c r="AN72" s="557" t="str">
        <f>+IFERROR(ROUND(($AB72-AH72)*100,2)&amp;" pts.",0)</f>
        <v>3.79 pts.</v>
      </c>
      <c r="AO72" s="11"/>
    </row>
    <row r="73" spans="1:41" ht="15" thickTop="1" x14ac:dyDescent="0.35">
      <c r="A73" s="65" t="s">
        <v>39</v>
      </c>
      <c r="B73" s="66"/>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40</v>
      </c>
      <c r="B74" s="66"/>
      <c r="C74" s="11"/>
      <c r="D74" s="11"/>
      <c r="E74" s="11"/>
      <c r="F74" s="11"/>
      <c r="G74" s="11"/>
      <c r="H74" s="11"/>
      <c r="I74" s="59"/>
      <c r="J74" s="59"/>
      <c r="K74" s="11"/>
      <c r="L74" s="59"/>
      <c r="M74" s="59"/>
      <c r="N74" s="104" t="str">
        <f>N71&amp;" - Check"</f>
        <v>Total Expenses - Check</v>
      </c>
      <c r="O74" s="209">
        <f t="shared" ref="O74:AA74" si="24">SUMIF($H$33:$H$72,"600000",O$33:O$72)+SUMIFS(O$33:O$72,$G$33:$G$72,"D_AG_CON",$H$33:$H$72,"700000")-SUMIF($H$33:$H$72,"TOTDEPTEXP",O$33:O$72)</f>
        <v>0</v>
      </c>
      <c r="P74" s="209">
        <f t="shared" si="24"/>
        <v>0</v>
      </c>
      <c r="Q74" s="209">
        <f t="shared" si="24"/>
        <v>0</v>
      </c>
      <c r="R74" s="209">
        <f t="shared" si="24"/>
        <v>0</v>
      </c>
      <c r="S74" s="209">
        <f t="shared" si="24"/>
        <v>0</v>
      </c>
      <c r="T74" s="209">
        <f t="shared" si="24"/>
        <v>0</v>
      </c>
      <c r="U74" s="209">
        <f t="shared" si="24"/>
        <v>0</v>
      </c>
      <c r="V74" s="209">
        <f t="shared" si="24"/>
        <v>0</v>
      </c>
      <c r="W74" s="209">
        <f t="shared" si="24"/>
        <v>0</v>
      </c>
      <c r="X74" s="209">
        <f t="shared" si="24"/>
        <v>0</v>
      </c>
      <c r="Y74" s="209">
        <f t="shared" si="24"/>
        <v>0</v>
      </c>
      <c r="Z74" s="209">
        <f t="shared" si="24"/>
        <v>0</v>
      </c>
      <c r="AA74" s="209">
        <f t="shared" si="24"/>
        <v>0</v>
      </c>
      <c r="AB74" s="100"/>
      <c r="AC74" s="11"/>
      <c r="AD74" s="209">
        <f>SUMIF($H$33:$H$72,"600000",AD$33:AD$72)+SUMIFS(AD$33:AD$72,$G$33:$G$72,"D_AG_CON",$H$33:$H$72,"700000")-SUMIF($H$33:$H$72,"TOTDEPTEXP",AD$33:AD$72)</f>
        <v>1.0477378964424133E-9</v>
      </c>
      <c r="AE74" s="100"/>
      <c r="AF74" s="91"/>
      <c r="AG74" s="209">
        <f>SUMIF($H$33:$H$72,"600000",AG$33:AG$72)+SUMIFS(AG$33:AG$72,$G$33:$G$72,"D_AG_CON",$H$33:$H$72,"700000")-SUMIF($H$33:$H$72,"TOTDEPTEXP",AG$33:AG$72)</f>
        <v>0</v>
      </c>
      <c r="AH74" s="100"/>
      <c r="AI74" s="91"/>
      <c r="AJ74" s="11"/>
      <c r="AK74" s="11"/>
      <c r="AL74" s="11"/>
      <c r="AM74" s="11"/>
      <c r="AN74" s="11"/>
      <c r="AO74" s="11"/>
    </row>
    <row r="75" spans="1:41" x14ac:dyDescent="0.35">
      <c r="A75" s="65" t="s">
        <v>41</v>
      </c>
      <c r="B75" s="66"/>
      <c r="C75" s="11"/>
      <c r="D75" s="11"/>
      <c r="E75" s="11"/>
      <c r="F75" s="11"/>
      <c r="G75" s="11"/>
      <c r="H75" s="11"/>
      <c r="I75" s="59"/>
      <c r="J75" s="59"/>
      <c r="K75" s="11"/>
      <c r="L75" s="59"/>
      <c r="M75" s="59"/>
      <c r="N75" s="104" t="str">
        <f>N72&amp;" - Check"</f>
        <v>Department Profit (Loss) - Check</v>
      </c>
      <c r="O75" s="209">
        <f t="shared" ref="O75:AA75" si="25">SUMIF($H$33:$H$72,"TOTDEPTEXP",O$33:O$72)+SUMIF($H$33:$H$72,"TOTDEPTPL",O$33:O$72)</f>
        <v>0</v>
      </c>
      <c r="P75" s="209">
        <f t="shared" si="25"/>
        <v>0</v>
      </c>
      <c r="Q75" s="209">
        <f t="shared" si="25"/>
        <v>0</v>
      </c>
      <c r="R75" s="209">
        <f t="shared" si="25"/>
        <v>0</v>
      </c>
      <c r="S75" s="209">
        <f t="shared" si="25"/>
        <v>0</v>
      </c>
      <c r="T75" s="209">
        <f t="shared" si="25"/>
        <v>0</v>
      </c>
      <c r="U75" s="209">
        <f t="shared" si="25"/>
        <v>0</v>
      </c>
      <c r="V75" s="209">
        <f t="shared" si="25"/>
        <v>0</v>
      </c>
      <c r="W75" s="209">
        <f t="shared" si="25"/>
        <v>0</v>
      </c>
      <c r="X75" s="209">
        <f t="shared" si="25"/>
        <v>0</v>
      </c>
      <c r="Y75" s="209">
        <f t="shared" si="25"/>
        <v>0</v>
      </c>
      <c r="Z75" s="209">
        <f t="shared" si="25"/>
        <v>0</v>
      </c>
      <c r="AA75" s="209">
        <f t="shared" si="25"/>
        <v>0</v>
      </c>
      <c r="AB75" s="100"/>
      <c r="AC75" s="11"/>
      <c r="AD75" s="209">
        <f>SUMIF($H$33:$H$72,"TOTDEPTEXP",AD$33:AD$72)+SUMIF($H$33:$H$72,"TOTDEPTPL",AD$33:AD$72)</f>
        <v>-1.0477378964424133E-9</v>
      </c>
      <c r="AE75" s="100"/>
      <c r="AF75" s="91"/>
      <c r="AG75" s="209">
        <f>SUMIF($H$33:$H$72,"TOTDEPTEXP",AG$33:AG$72)+SUMIF($H$33:$H$72,"TOTDEPTPL",AG$33:AG$72)</f>
        <v>0</v>
      </c>
      <c r="AH75" s="100"/>
      <c r="AI75" s="91"/>
      <c r="AJ75" s="11"/>
      <c r="AK75" s="11"/>
      <c r="AL75" s="11"/>
      <c r="AM75" s="11"/>
      <c r="AN75" s="11"/>
      <c r="AO75" s="11"/>
    </row>
    <row r="76" spans="1:41" x14ac:dyDescent="0.35">
      <c r="A76" s="65" t="s">
        <v>42</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43</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44</v>
      </c>
      <c r="B78" s="66"/>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45</v>
      </c>
      <c r="B79" s="66"/>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sheetData>
  <sheetProtection algorithmName="SHA-512" hashValue="tY9p8kpAGoR4oaaUX5Sgo3EPMrG5X9Bka3GfMZIzphj5Ge4AddALEiCMDvDMEyKpVCMhN+cfVeNNLHVADAg47g==" saltValue="dCsNFs5Olv0I29AxeHmrUg==" spinCount="100000" sheet="1" scenarios="1"/>
  <mergeCells count="2">
    <mergeCell ref="AD31:AE31"/>
    <mergeCell ref="AG31:AH31"/>
  </mergeCells>
  <dataValidations disablePrompts="1" count="2">
    <dataValidation type="list" allowBlank="1" sqref="B28:C28" xr:uid="{00000000-0002-0000-2600-000000000000}">
      <formula1>"ACCOUNT,BUSINESSUNIT,CATEGORY,DATASRC,DEPARTMENT,INTCO,MEASURES,RPTCURRENCY,TIME"</formula1>
    </dataValidation>
    <dataValidation type="list" allowBlank="1" sqref="B29:C29" xr:uid="{00000000-0002-0000-2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325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3256" r:id="rId7" name="FPMExcelClientSheetOptionstb1"/>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3">
    <tabColor theme="2" tint="-0.499984740745262"/>
    <pageSetUpPr fitToPage="1"/>
  </sheetPr>
  <dimension ref="A1:AO7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498</v>
      </c>
      <c r="C6" s="11" t="str">
        <f>IF(_epmOfflineCondition_,"Human Resources (Consolidated)",_xll.EVDES(B6,$B$1))</f>
        <v>Human Resources (Consolidated)</v>
      </c>
      <c r="D6" s="11"/>
      <c r="E6" s="58" t="str">
        <f>IF(_epmOfflineCondition_,"D1154",_xll.EVPRO($B$1,$B$6,$F$6))</f>
        <v>D1154</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IF(_epmOfflineCondition_,"'HR_Detail'!$B$2:$B$10",_xll.EVRNG($B$2:$B$10))</f>
        <v>'HR_Detail'!$B$2:$B$10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IF(_epmOfflineCondition_,"'HR_Detail'!$O$16:$AN$18",_xll.EVRNG($O$16:$AN$18))</f>
        <v>'HR_Detail'!$O$16:$AN$18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IF(_epmOfflineCondition_,"'HR_Detail'!$H$34:$H$44",_xll.EVRNG(H34:H44))</f>
        <v>'HR_Detail'!$H$34:$H$44</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IF(_epmOfflineCondition_,"'HR_Detail'!$A$37:$B$58",_xll.EVRNG($A$37:$B$58))</f>
        <v>'HR_Detail'!$A$37:$B$58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IF(_epmOfflineCondition_,"Human Resources (Consolidated) Department",IF(_xll.EVDES(B6,$B$1)="#NODATA","",_xll.EVDES(B6,$B$1)&amp;" Department"))</f>
        <v>Human Resources (Consolidated)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111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82</v>
      </c>
      <c r="I33" s="59" t="str">
        <f>IF(_epmOfflineCondition_,"B1",_xll.EVPRO($B$1,$H33,"STYLE"))</f>
        <v>B1</v>
      </c>
      <c r="J33" s="59" t="str">
        <f>IF(_epmOfflineCondition_,"Y",_xll.EVPRO($B$1,$H33,"CALC"))</f>
        <v>Y</v>
      </c>
      <c r="K33" s="11"/>
      <c r="L33" s="11"/>
      <c r="M33" s="11"/>
      <c r="N33" s="105" t="str">
        <f>IF(_epmOfflineCondition_,"Other Expenses",IF(_xll.EVDES(H33,$B$1)="#NODATA","",_xll.EVDES(H33,$B$1)))</f>
        <v>Other Expenses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828</v>
      </c>
      <c r="I34" s="122" t="str">
        <f>IF(_epmOfflineCondition_,"N",_xll.EVPRO($B$1,$H34,"STYLE"))</f>
        <v>N</v>
      </c>
      <c r="J34" s="122" t="str">
        <f>IF(_epmOfflineCondition_,"N",_xll.EVPRO($B$1,$H34,"CALC"))</f>
        <v>N</v>
      </c>
      <c r="K34" s="179" t="str">
        <f t="shared" ref="K34:K44" si="0">IF(AND(I34&gt;="T3"),"&gt;","")</f>
        <v/>
      </c>
      <c r="L34" s="90" t="str">
        <f>IF(_epmOfflineCondition_,"701100",_xll.EVPRO($B$1,H34,"JDEID"))</f>
        <v>701100</v>
      </c>
      <c r="M34" s="90" t="str">
        <f>IF(_epmOfflineCondition_,"690015",IF(AND(I34="N",J34="N"),_xll.EVPRO($B$1,H34,"PSFTID"),""))</f>
        <v>690015</v>
      </c>
      <c r="N34" s="90" t="str">
        <f>IF(_epmOfflineCondition_,"Dues and Subscriptions",IF(_xll.EVDES(H34,$B$1)="#NODATA","",_xll.EVDES(H34,$B$1)))</f>
        <v>Dues and Subscriptions</v>
      </c>
      <c r="O34" s="143"/>
      <c r="P34" s="143">
        <v>1200</v>
      </c>
      <c r="Q34" s="143"/>
      <c r="R34" s="143"/>
      <c r="S34" s="143">
        <v>273.92</v>
      </c>
      <c r="T34" s="143"/>
      <c r="U34" s="143"/>
      <c r="V34" s="143"/>
      <c r="W34" s="143"/>
      <c r="X34" s="143"/>
      <c r="Y34" s="143">
        <v>25.05</v>
      </c>
      <c r="Z34" s="143">
        <v>-25.05</v>
      </c>
      <c r="AA34" s="210">
        <f t="shared" ref="AA34:AA45" si="1">IF($I34="B1","",SUM(O34:Z34))</f>
        <v>1473.92</v>
      </c>
      <c r="AB34" s="144">
        <f t="shared" ref="AB34:AB45" si="2">IF(AA34=0,"",IFERROR(AA34/AA$19,""))</f>
        <v>1.2379095259101652E-4</v>
      </c>
      <c r="AC34" s="140"/>
      <c r="AD34" s="143">
        <v>1390</v>
      </c>
      <c r="AE34" s="144">
        <f t="shared" ref="AE34:AE45" si="3">IF(AD34=0,"",IFERROR(AD34/AD$19,""))</f>
        <v>1.6681331468096702E-4</v>
      </c>
      <c r="AF34" s="145">
        <f t="shared" ref="AF34:AF45" si="4">IF(AND($AA34="",AD34=""),"",$AA34-AD34)</f>
        <v>83.920000000000073</v>
      </c>
      <c r="AG34" s="143">
        <v>519.88</v>
      </c>
      <c r="AH34" s="144">
        <f t="shared" ref="AH34:AH45" si="5">IF(AG34=0,"",IFERROR(AG34/AG$19,""))</f>
        <v>9.9720995470495844E-5</v>
      </c>
      <c r="AI34" s="145">
        <f t="shared" ref="AI34:AI45" si="6">IF(AND($AA34="",AG34=""),"",$AA34-AG34)</f>
        <v>954.04000000000008</v>
      </c>
      <c r="AJ34" s="440">
        <f t="shared" ref="AJ34:AJ45" si="7">IFERROR(AA34/AA$20,0)</f>
        <v>3.059194686591947E-2</v>
      </c>
      <c r="AK34" s="441">
        <f t="shared" ref="AK34:AK45" si="8">IFERROR(AD34/AD$20,0)</f>
        <v>2.8850145288501453E-2</v>
      </c>
      <c r="AL34" s="442">
        <f t="shared" ref="AL34:AL45" si="9">IFERROR(AG34/AG$20,0)</f>
        <v>1.0760887564166252E-2</v>
      </c>
      <c r="AM34" s="443" t="str">
        <f t="shared" ref="AM34:AM45" si="10">+IFERROR(ROUND(($AB34-AE34)*100,2)&amp;" pts.",0)</f>
        <v>0 pts.</v>
      </c>
      <c r="AN34" s="444" t="str">
        <f t="shared" ref="AN34:AN45" si="11">+IFERROR(ROUND(($AB34-AH34)*100,2)&amp;" pts.",0)</f>
        <v>0 pts.</v>
      </c>
      <c r="AO34" s="11"/>
    </row>
    <row r="35" spans="1:41" x14ac:dyDescent="0.35">
      <c r="A35" s="11"/>
      <c r="B35" s="11"/>
      <c r="C35" s="208"/>
      <c r="D35" s="11"/>
      <c r="E35" s="11"/>
      <c r="F35" s="11"/>
      <c r="G35" s="11"/>
      <c r="H35" s="88" t="s">
        <v>829</v>
      </c>
      <c r="I35" s="122" t="str">
        <f>IF(_epmOfflineCondition_,"N",_xll.EVPRO($B$1,$H35,"STYLE"))</f>
        <v>N</v>
      </c>
      <c r="J35" s="122" t="str">
        <f>IF(_epmOfflineCondition_,"N",_xll.EVPRO($B$1,$H35,"CALC"))</f>
        <v>N</v>
      </c>
      <c r="K35" s="179" t="str">
        <f t="shared" si="0"/>
        <v/>
      </c>
      <c r="L35" s="90" t="str">
        <f>IF(_epmOfflineCondition_,"701200",_xll.EVPRO($B$1,H35,"JDEID"))</f>
        <v>701200</v>
      </c>
      <c r="M35" s="90" t="str">
        <f>IF(_epmOfflineCondition_,"690010",IF(AND(I35="N",J35="N"),_xll.EVPRO($B$1,H35,"PSFTID"),""))</f>
        <v>690010</v>
      </c>
      <c r="N35" s="90" t="str">
        <f>IF(_epmOfflineCondition_,"Postage and Overnight Delivery",IF(_xll.EVDES(H35,$B$1)="#NODATA","",_xll.EVDES(H35,$B$1)))</f>
        <v>Postage and Overnight Delivery</v>
      </c>
      <c r="O35" s="143"/>
      <c r="P35" s="143"/>
      <c r="Q35" s="143"/>
      <c r="R35" s="143"/>
      <c r="S35" s="143"/>
      <c r="T35" s="143"/>
      <c r="U35" s="143"/>
      <c r="V35" s="143"/>
      <c r="W35" s="143"/>
      <c r="X35" s="143"/>
      <c r="Y35" s="143"/>
      <c r="Z35" s="143"/>
      <c r="AA35" s="210">
        <f t="shared" si="1"/>
        <v>0</v>
      </c>
      <c r="AB35" s="144" t="str">
        <f t="shared" si="2"/>
        <v/>
      </c>
      <c r="AC35" s="140"/>
      <c r="AD35" s="143"/>
      <c r="AE35" s="144" t="str">
        <f t="shared" si="3"/>
        <v/>
      </c>
      <c r="AF35" s="145">
        <f t="shared" si="4"/>
        <v>0</v>
      </c>
      <c r="AG35" s="143">
        <v>480.66</v>
      </c>
      <c r="AH35" s="144">
        <f t="shared" si="5"/>
        <v>9.2197995081265934E-5</v>
      </c>
      <c r="AI35" s="145">
        <f t="shared" si="6"/>
        <v>-480.66</v>
      </c>
      <c r="AJ35" s="440">
        <f t="shared" si="7"/>
        <v>0</v>
      </c>
      <c r="AK35" s="441">
        <f t="shared" si="8"/>
        <v>0</v>
      </c>
      <c r="AL35" s="442">
        <f t="shared" si="9"/>
        <v>9.9490809736711375E-3</v>
      </c>
      <c r="AM35" s="443">
        <f t="shared" si="10"/>
        <v>0</v>
      </c>
      <c r="AN35" s="444">
        <f t="shared" si="11"/>
        <v>0</v>
      </c>
      <c r="AO35" s="11"/>
    </row>
    <row r="36" spans="1:41" x14ac:dyDescent="0.35">
      <c r="A36" s="62" t="s">
        <v>23</v>
      </c>
      <c r="B36" s="63" t="s">
        <v>24</v>
      </c>
      <c r="C36" s="11"/>
      <c r="D36" s="11"/>
      <c r="E36" s="11"/>
      <c r="F36" s="11"/>
      <c r="G36" s="11"/>
      <c r="H36" s="88" t="s">
        <v>831</v>
      </c>
      <c r="I36" s="122" t="str">
        <f>IF(_epmOfflineCondition_,"T4",_xll.EVPRO($B$1,$H36,"STYLE"))</f>
        <v>T4</v>
      </c>
      <c r="J36" s="122" t="str">
        <f>IF(_epmOfflineCondition_,"Y",_xll.EVPRO($B$1,$H36,"CALC"))</f>
        <v>Y</v>
      </c>
      <c r="K36" s="179" t="str">
        <f t="shared" si="0"/>
        <v>&gt;</v>
      </c>
      <c r="L36" s="90" t="str">
        <f>IF(_epmOfflineCondition_,"701500",_xll.EVPRO($B$1,H36,"JDEID"))</f>
        <v>701500</v>
      </c>
      <c r="M36" s="90" t="str">
        <f>IF(_epmOfflineCondition_,"",IF(AND(I36="N",J36="N"),_xll.EVPRO($B$1,H36,"PSFTID"),""))</f>
        <v/>
      </c>
      <c r="N36" s="90" t="str">
        <f>IF(_epmOfflineCondition_,"Operating Supplies",IF(_xll.EVDES(H36,$B$1)="#NODATA","",_xll.EVDES(H36,$B$1)))</f>
        <v>Operating Supplies</v>
      </c>
      <c r="O36" s="143"/>
      <c r="P36" s="143"/>
      <c r="Q36" s="143"/>
      <c r="R36" s="143">
        <v>59.67</v>
      </c>
      <c r="S36" s="143"/>
      <c r="T36" s="143"/>
      <c r="U36" s="143"/>
      <c r="V36" s="143">
        <v>4.92</v>
      </c>
      <c r="W36" s="143">
        <v>36.4</v>
      </c>
      <c r="X36" s="143">
        <v>6.78</v>
      </c>
      <c r="Y36" s="143">
        <v>4.16</v>
      </c>
      <c r="Z36" s="143">
        <v>1.48</v>
      </c>
      <c r="AA36" s="210">
        <f t="shared" si="1"/>
        <v>113.41000000000001</v>
      </c>
      <c r="AB36" s="144">
        <f t="shared" si="2"/>
        <v>9.5250298071450159E-6</v>
      </c>
      <c r="AC36" s="140"/>
      <c r="AD36" s="143"/>
      <c r="AE36" s="144" t="str">
        <f t="shared" si="3"/>
        <v/>
      </c>
      <c r="AF36" s="145">
        <f t="shared" si="4"/>
        <v>113.41000000000001</v>
      </c>
      <c r="AG36" s="143">
        <v>137.35</v>
      </c>
      <c r="AH36" s="144">
        <f t="shared" si="5"/>
        <v>2.6345846595123113E-5</v>
      </c>
      <c r="AI36" s="145">
        <f t="shared" si="6"/>
        <v>-23.939999999999984</v>
      </c>
      <c r="AJ36" s="440">
        <f t="shared" si="7"/>
        <v>2.3538812785388131E-3</v>
      </c>
      <c r="AK36" s="441">
        <f t="shared" si="8"/>
        <v>0</v>
      </c>
      <c r="AL36" s="442">
        <f t="shared" si="9"/>
        <v>2.8429789700281502E-3</v>
      </c>
      <c r="AM36" s="443">
        <f t="shared" si="10"/>
        <v>0</v>
      </c>
      <c r="AN36" s="444" t="str">
        <f t="shared" si="11"/>
        <v>0 pts.</v>
      </c>
      <c r="AO36" s="11"/>
    </row>
    <row r="37" spans="1:41" x14ac:dyDescent="0.35">
      <c r="A37" s="65" t="s">
        <v>25</v>
      </c>
      <c r="B37" s="66"/>
      <c r="C37" s="11"/>
      <c r="D37" s="11"/>
      <c r="E37" s="11"/>
      <c r="F37" s="11"/>
      <c r="G37" s="11"/>
      <c r="H37" s="88" t="s">
        <v>832</v>
      </c>
      <c r="I37" s="122" t="str">
        <f>IF(_epmOfflineCondition_,"T4",_xll.EVPRO($B$1,$H37,"STYLE"))</f>
        <v>T4</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IF(_epmOfflineCondition_,"Contract Services",IF(_xll.EVDES(H37,$B$1)="#NODATA","",_xll.EVDES(H37,$B$1)))</f>
        <v>Contract Services</v>
      </c>
      <c r="O37" s="143"/>
      <c r="P37" s="143"/>
      <c r="Q37" s="143"/>
      <c r="R37" s="143">
        <v>2000</v>
      </c>
      <c r="S37" s="143"/>
      <c r="T37" s="143"/>
      <c r="U37" s="143"/>
      <c r="V37" s="143"/>
      <c r="W37" s="143"/>
      <c r="X37" s="143">
        <v>175</v>
      </c>
      <c r="Y37" s="143"/>
      <c r="Z37" s="143"/>
      <c r="AA37" s="210">
        <f t="shared" si="1"/>
        <v>2175</v>
      </c>
      <c r="AB37" s="144">
        <f t="shared" si="2"/>
        <v>1.8267295503518569E-4</v>
      </c>
      <c r="AC37" s="140"/>
      <c r="AD37" s="143">
        <v>2000</v>
      </c>
      <c r="AE37" s="144">
        <f t="shared" si="3"/>
        <v>2.4001915781434103E-4</v>
      </c>
      <c r="AF37" s="145">
        <f t="shared" si="4"/>
        <v>175</v>
      </c>
      <c r="AG37" s="143">
        <v>1050</v>
      </c>
      <c r="AH37" s="144">
        <f t="shared" si="5"/>
        <v>2.0140618074174931E-4</v>
      </c>
      <c r="AI37" s="145">
        <f t="shared" si="6"/>
        <v>1125</v>
      </c>
      <c r="AJ37" s="440">
        <f t="shared" si="7"/>
        <v>4.514321295143213E-2</v>
      </c>
      <c r="AK37" s="441">
        <f t="shared" si="8"/>
        <v>4.1511000415110001E-2</v>
      </c>
      <c r="AL37" s="442">
        <f t="shared" si="9"/>
        <v>2.1733730750124192E-2</v>
      </c>
      <c r="AM37" s="443" t="str">
        <f t="shared" si="10"/>
        <v>-0.01 pts.</v>
      </c>
      <c r="AN37" s="444" t="str">
        <f t="shared" si="11"/>
        <v>0 pts.</v>
      </c>
      <c r="AO37" s="11"/>
    </row>
    <row r="38" spans="1:41" x14ac:dyDescent="0.35">
      <c r="A38" s="65" t="s">
        <v>26</v>
      </c>
      <c r="B38" s="66"/>
      <c r="C38" s="11"/>
      <c r="D38" s="11"/>
      <c r="E38" s="11"/>
      <c r="F38" s="11"/>
      <c r="G38" s="11"/>
      <c r="H38" s="88" t="s">
        <v>833</v>
      </c>
      <c r="I38" s="122" t="str">
        <f>IF(_epmOfflineCondition_,"T4",_xll.EVPRO($B$1,$H38,"STYLE"))</f>
        <v>T4</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IF(_epmOfflineCondition_,"Travel - Other",IF(_xll.EVDES(H38,$B$1)="#NODATA","",_xll.EVDES(H38,$B$1)))</f>
        <v>Travel - Other</v>
      </c>
      <c r="O38" s="143"/>
      <c r="P38" s="143"/>
      <c r="Q38" s="143">
        <v>25</v>
      </c>
      <c r="R38" s="143"/>
      <c r="S38" s="143"/>
      <c r="T38" s="143"/>
      <c r="U38" s="143"/>
      <c r="V38" s="143">
        <v>13.77</v>
      </c>
      <c r="W38" s="143"/>
      <c r="X38" s="143"/>
      <c r="Y38" s="143"/>
      <c r="Z38" s="143">
        <v>26.57</v>
      </c>
      <c r="AA38" s="210">
        <f t="shared" si="1"/>
        <v>65.34</v>
      </c>
      <c r="AB38" s="144">
        <f t="shared" si="2"/>
        <v>5.4877475319535784E-6</v>
      </c>
      <c r="AC38" s="140"/>
      <c r="AD38" s="143"/>
      <c r="AE38" s="144" t="str">
        <f t="shared" si="3"/>
        <v/>
      </c>
      <c r="AF38" s="145">
        <f t="shared" si="4"/>
        <v>65.34</v>
      </c>
      <c r="AG38" s="143">
        <v>155.03</v>
      </c>
      <c r="AH38" s="144">
        <f t="shared" si="5"/>
        <v>2.9737143047993711E-5</v>
      </c>
      <c r="AI38" s="145">
        <f t="shared" si="6"/>
        <v>-89.69</v>
      </c>
      <c r="AJ38" s="440">
        <f t="shared" si="7"/>
        <v>1.3561643835616438E-3</v>
      </c>
      <c r="AK38" s="441">
        <f t="shared" si="8"/>
        <v>0</v>
      </c>
      <c r="AL38" s="442">
        <f t="shared" si="9"/>
        <v>3.2089335982778606E-3</v>
      </c>
      <c r="AM38" s="443">
        <f t="shared" si="10"/>
        <v>0</v>
      </c>
      <c r="AN38" s="444" t="str">
        <f t="shared" si="11"/>
        <v>0 pts.</v>
      </c>
      <c r="AO38" s="11"/>
    </row>
    <row r="39" spans="1:41" x14ac:dyDescent="0.35">
      <c r="A39" s="65" t="s">
        <v>27</v>
      </c>
      <c r="B39" s="66"/>
      <c r="C39" s="11"/>
      <c r="D39" s="11"/>
      <c r="E39" s="11"/>
      <c r="F39" s="11"/>
      <c r="G39" s="11"/>
      <c r="H39" s="88" t="s">
        <v>834</v>
      </c>
      <c r="I39" s="122" t="str">
        <f>IF(_epmOfflineCondition_,"T4",_xll.EVPRO($B$1,$H39,"STYLE"))</f>
        <v>T4</v>
      </c>
      <c r="J39" s="122" t="str">
        <f>IF(_epmOfflineCondition_,"Y",_xll.EVPRO($B$1,$H39,"CALC"))</f>
        <v>Y</v>
      </c>
      <c r="K39" s="179" t="str">
        <f t="shared" si="0"/>
        <v>&gt;</v>
      </c>
      <c r="L39" s="90" t="str">
        <f>IF(_epmOfflineCondition_,"702900",_xll.EVPRO($B$1,H39,"JDEID"))</f>
        <v>702900</v>
      </c>
      <c r="M39" s="90" t="str">
        <f>IF(_epmOfflineCondition_,"",IF(AND(I39="N",J39="N"),_xll.EVPRO($B$1,H39,"PSFTID"),""))</f>
        <v/>
      </c>
      <c r="N39" s="90" t="str">
        <f>IF(_epmOfflineCondition_,"Travel - Meals &amp; Entertainment",IF(_xll.EVDES(H39,$B$1)="#NODATA","",_xll.EVDES(H39,$B$1)))</f>
        <v>Travel - Meals &amp; Entertainment</v>
      </c>
      <c r="O39" s="143"/>
      <c r="P39" s="143"/>
      <c r="Q39" s="143"/>
      <c r="R39" s="143"/>
      <c r="S39" s="143"/>
      <c r="T39" s="143"/>
      <c r="U39" s="143"/>
      <c r="V39" s="143"/>
      <c r="W39" s="143"/>
      <c r="X39" s="143"/>
      <c r="Y39" s="143"/>
      <c r="Z39" s="143"/>
      <c r="AA39" s="210">
        <f t="shared" si="1"/>
        <v>0</v>
      </c>
      <c r="AB39" s="144" t="str">
        <f t="shared" si="2"/>
        <v/>
      </c>
      <c r="AC39" s="140"/>
      <c r="AD39" s="143"/>
      <c r="AE39" s="144" t="str">
        <f t="shared" si="3"/>
        <v/>
      </c>
      <c r="AF39" s="145">
        <f t="shared" si="4"/>
        <v>0</v>
      </c>
      <c r="AG39" s="143">
        <v>205.57</v>
      </c>
      <c r="AH39" s="144">
        <f t="shared" si="5"/>
        <v>3.9431493881029913E-5</v>
      </c>
      <c r="AI39" s="145">
        <f t="shared" si="6"/>
        <v>-205.57</v>
      </c>
      <c r="AJ39" s="440">
        <f t="shared" si="7"/>
        <v>0</v>
      </c>
      <c r="AK39" s="441">
        <f t="shared" si="8"/>
        <v>0</v>
      </c>
      <c r="AL39" s="442">
        <f t="shared" si="9"/>
        <v>4.2550505050505047E-3</v>
      </c>
      <c r="AM39" s="443">
        <f t="shared" si="10"/>
        <v>0</v>
      </c>
      <c r="AN39" s="444">
        <f t="shared" si="11"/>
        <v>0</v>
      </c>
      <c r="AO39" s="11"/>
    </row>
    <row r="40" spans="1:41" x14ac:dyDescent="0.35">
      <c r="A40" s="65" t="s">
        <v>28</v>
      </c>
      <c r="B40" s="66"/>
      <c r="C40" s="11"/>
      <c r="D40" s="11"/>
      <c r="E40" s="11"/>
      <c r="F40" s="11"/>
      <c r="G40" s="11"/>
      <c r="H40" s="88" t="s">
        <v>883</v>
      </c>
      <c r="I40" s="122" t="str">
        <f>IF(_epmOfflineCondition_,"N",_xll.EVPRO($B$1,$H40,"STYLE"))</f>
        <v>N</v>
      </c>
      <c r="J40" s="122" t="str">
        <f>IF(_epmOfflineCondition_,"N",_xll.EVPRO($B$1,$H40,"CALC"))</f>
        <v>N</v>
      </c>
      <c r="K40" s="179" t="str">
        <f t="shared" si="0"/>
        <v/>
      </c>
      <c r="L40" s="90" t="str">
        <f>IF(_epmOfflineCondition_,"703100",_xll.EVPRO($B$1,H40,"JDEID"))</f>
        <v>703100</v>
      </c>
      <c r="M40" s="90" t="str">
        <f>IF(_epmOfflineCondition_,"690035",IF(AND(I40="N",J40="N"),_xll.EVPRO($B$1,H40,"PSFTID"),""))</f>
        <v>690035</v>
      </c>
      <c r="N40" s="90" t="str">
        <f>IF(_epmOfflineCondition_,"Training",IF(_xll.EVDES(H40,$B$1)="#NODATA","",_xll.EVDES(H40,$B$1)))</f>
        <v>Training</v>
      </c>
      <c r="O40" s="143">
        <v>250</v>
      </c>
      <c r="P40" s="143">
        <v>20.99</v>
      </c>
      <c r="Q40" s="143">
        <v>372</v>
      </c>
      <c r="R40" s="143">
        <v>72.209999999999994</v>
      </c>
      <c r="S40" s="143"/>
      <c r="T40" s="143"/>
      <c r="U40" s="143"/>
      <c r="V40" s="143"/>
      <c r="W40" s="143"/>
      <c r="X40" s="143"/>
      <c r="Y40" s="143"/>
      <c r="Z40" s="143"/>
      <c r="AA40" s="210">
        <f t="shared" si="1"/>
        <v>715.2</v>
      </c>
      <c r="AB40" s="144">
        <f t="shared" si="2"/>
        <v>6.0067906869501063E-5</v>
      </c>
      <c r="AC40" s="140"/>
      <c r="AD40" s="143">
        <v>850</v>
      </c>
      <c r="AE40" s="144">
        <f t="shared" si="3"/>
        <v>1.0200814207109494E-4</v>
      </c>
      <c r="AF40" s="145">
        <f t="shared" si="4"/>
        <v>-134.79999999999995</v>
      </c>
      <c r="AG40" s="143">
        <v>358</v>
      </c>
      <c r="AH40" s="144">
        <f t="shared" si="5"/>
        <v>6.8669916862425001E-5</v>
      </c>
      <c r="AI40" s="145">
        <f t="shared" si="6"/>
        <v>357.20000000000005</v>
      </c>
      <c r="AJ40" s="440">
        <f t="shared" si="7"/>
        <v>1.4844333748443338E-2</v>
      </c>
      <c r="AK40" s="441">
        <f t="shared" si="8"/>
        <v>1.7642175176421752E-2</v>
      </c>
      <c r="AL40" s="442">
        <f t="shared" si="9"/>
        <v>7.4101672462328202E-3</v>
      </c>
      <c r="AM40" s="443" t="str">
        <f t="shared" si="10"/>
        <v>0 pts.</v>
      </c>
      <c r="AN40" s="444" t="str">
        <f t="shared" si="11"/>
        <v>0 pts.</v>
      </c>
      <c r="AO40" s="11"/>
    </row>
    <row r="41" spans="1:41" x14ac:dyDescent="0.35">
      <c r="A41" s="65" t="s">
        <v>29</v>
      </c>
      <c r="B41" s="66"/>
      <c r="C41" s="11"/>
      <c r="D41" s="11"/>
      <c r="E41" s="11"/>
      <c r="F41" s="11"/>
      <c r="G41" s="11"/>
      <c r="H41" s="88" t="s">
        <v>844</v>
      </c>
      <c r="I41" s="122" t="str">
        <f>IF(_epmOfflineCondition_,"T4",_xll.EVPRO($B$1,$H41,"STYLE"))</f>
        <v>T4</v>
      </c>
      <c r="J41" s="122" t="str">
        <f>IF(_epmOfflineCondition_,"Y",_xll.EVPRO($B$1,$H41,"CALC"))</f>
        <v>Y</v>
      </c>
      <c r="K41" s="179" t="str">
        <f t="shared" si="0"/>
        <v>&gt;</v>
      </c>
      <c r="L41" s="90" t="str">
        <f>IF(_epmOfflineCondition_,"706100",_xll.EVPRO($B$1,H41,"JDEID"))</f>
        <v>706100</v>
      </c>
      <c r="M41" s="90" t="str">
        <f>IF(_epmOfflineCondition_,"",IF(AND(I41="N",J41="N"),_xll.EVPRO($B$1,H41,"PSFTID"),""))</f>
        <v/>
      </c>
      <c r="N41" s="90" t="str">
        <f>IF(_epmOfflineCondition_,"Miscellaneous",IF(_xll.EVDES(H41,$B$1)="#NODATA","",_xll.EVDES(H41,$B$1)))</f>
        <v>Miscellaneous</v>
      </c>
      <c r="O41" s="143"/>
      <c r="P41" s="143"/>
      <c r="Q41" s="143"/>
      <c r="R41" s="143"/>
      <c r="S41" s="143"/>
      <c r="T41" s="143"/>
      <c r="U41" s="143"/>
      <c r="V41" s="143"/>
      <c r="W41" s="143"/>
      <c r="X41" s="143"/>
      <c r="Y41" s="143"/>
      <c r="Z41" s="143"/>
      <c r="AA41" s="210">
        <f t="shared" si="1"/>
        <v>0</v>
      </c>
      <c r="AB41" s="144" t="str">
        <f t="shared" si="2"/>
        <v/>
      </c>
      <c r="AC41" s="140"/>
      <c r="AD41" s="143"/>
      <c r="AE41" s="144" t="str">
        <f t="shared" si="3"/>
        <v/>
      </c>
      <c r="AF41" s="145">
        <f t="shared" si="4"/>
        <v>0</v>
      </c>
      <c r="AG41" s="143">
        <v>-179</v>
      </c>
      <c r="AH41" s="144">
        <f t="shared" si="5"/>
        <v>-3.4334958431212501E-5</v>
      </c>
      <c r="AI41" s="145">
        <f t="shared" si="6"/>
        <v>179</v>
      </c>
      <c r="AJ41" s="440">
        <f t="shared" si="7"/>
        <v>0</v>
      </c>
      <c r="AK41" s="441">
        <f t="shared" si="8"/>
        <v>0</v>
      </c>
      <c r="AL41" s="442">
        <f t="shared" si="9"/>
        <v>-3.7050836231164101E-3</v>
      </c>
      <c r="AM41" s="443">
        <f t="shared" si="10"/>
        <v>0</v>
      </c>
      <c r="AN41" s="444">
        <f t="shared" si="11"/>
        <v>0</v>
      </c>
      <c r="AO41" s="11"/>
    </row>
    <row r="42" spans="1:41" x14ac:dyDescent="0.35">
      <c r="A42" s="65" t="s">
        <v>30</v>
      </c>
      <c r="B42" s="66" t="s">
        <v>78</v>
      </c>
      <c r="C42" s="11"/>
      <c r="D42" s="11"/>
      <c r="E42" s="11"/>
      <c r="F42" s="11"/>
      <c r="G42" s="11"/>
      <c r="H42" s="88" t="s">
        <v>884</v>
      </c>
      <c r="I42" s="122" t="str">
        <f>IF(_epmOfflineCondition_,"N",_xll.EVPRO($B$1,$H42,"STYLE"))</f>
        <v>N</v>
      </c>
      <c r="J42" s="122" t="str">
        <f>IF(_epmOfflineCondition_,"N",_xll.EVPRO($B$1,$H42,"CALC"))</f>
        <v>N</v>
      </c>
      <c r="K42" s="179" t="str">
        <f t="shared" si="0"/>
        <v/>
      </c>
      <c r="L42" s="90" t="str">
        <f>IF(_epmOfflineCondition_,"706700",_xll.EVPRO($B$1,H42,"JDEID"))</f>
        <v>706700</v>
      </c>
      <c r="M42" s="90" t="str">
        <f>IF(_epmOfflineCondition_,"690248",IF(AND(I42="N",J42="N"),_xll.EVPRO($B$1,H42,"PSFTID"),""))</f>
        <v>690248</v>
      </c>
      <c r="N42" s="90" t="str">
        <f>IF(_epmOfflineCondition_,"Employee Relations",IF(_xll.EVDES(H42,$B$1)="#NODATA","",_xll.EVDES(H42,$B$1)))</f>
        <v>Employee Relations</v>
      </c>
      <c r="O42" s="143">
        <v>1121.04</v>
      </c>
      <c r="P42" s="143">
        <v>683.64</v>
      </c>
      <c r="Q42" s="143">
        <v>2424.73</v>
      </c>
      <c r="R42" s="143">
        <v>1526.01</v>
      </c>
      <c r="S42" s="143">
        <v>1596.89</v>
      </c>
      <c r="T42" s="143">
        <v>948.86</v>
      </c>
      <c r="U42" s="143">
        <v>2267.36</v>
      </c>
      <c r="V42" s="143">
        <v>1474.8</v>
      </c>
      <c r="W42" s="143">
        <v>2464.89</v>
      </c>
      <c r="X42" s="143">
        <v>3994.78</v>
      </c>
      <c r="Y42" s="143">
        <v>5505.41</v>
      </c>
      <c r="Z42" s="143">
        <v>6900.46</v>
      </c>
      <c r="AA42" s="210">
        <f t="shared" si="1"/>
        <v>30908.87</v>
      </c>
      <c r="AB42" s="144">
        <f t="shared" si="2"/>
        <v>2.5959607446889195E-3</v>
      </c>
      <c r="AC42" s="140"/>
      <c r="AD42" s="143">
        <v>14756</v>
      </c>
      <c r="AE42" s="144">
        <f t="shared" si="3"/>
        <v>1.7708613463542082E-3</v>
      </c>
      <c r="AF42" s="145">
        <f t="shared" si="4"/>
        <v>16152.869999999999</v>
      </c>
      <c r="AG42" s="143">
        <v>13067.61</v>
      </c>
      <c r="AH42" s="144">
        <f t="shared" si="5"/>
        <v>2.5065689728787531E-3</v>
      </c>
      <c r="AI42" s="145">
        <f t="shared" si="6"/>
        <v>17841.259999999998</v>
      </c>
      <c r="AJ42" s="440">
        <f t="shared" si="7"/>
        <v>0.64152905770029056</v>
      </c>
      <c r="AK42" s="441">
        <f t="shared" si="8"/>
        <v>0.30626816106268162</v>
      </c>
      <c r="AL42" s="442">
        <f t="shared" si="9"/>
        <v>0.27048373075012422</v>
      </c>
      <c r="AM42" s="443" t="str">
        <f t="shared" si="10"/>
        <v>0.08 pts.</v>
      </c>
      <c r="AN42" s="444" t="str">
        <f t="shared" si="11"/>
        <v>0.01 pts.</v>
      </c>
      <c r="AO42" s="11"/>
    </row>
    <row r="43" spans="1:41" x14ac:dyDescent="0.35">
      <c r="A43" s="65" t="s">
        <v>31</v>
      </c>
      <c r="B43" s="66" t="s">
        <v>78</v>
      </c>
      <c r="C43" s="11"/>
      <c r="D43" s="11"/>
      <c r="E43" s="11"/>
      <c r="F43" s="11"/>
      <c r="G43" s="11"/>
      <c r="H43" s="88" t="s">
        <v>885</v>
      </c>
      <c r="I43" s="122" t="str">
        <f>IF(_epmOfflineCondition_,"N",_xll.EVPRO($B$1,$H43,"STYLE"))</f>
        <v>N</v>
      </c>
      <c r="J43" s="122" t="str">
        <f>IF(_epmOfflineCondition_,"N",_xll.EVPRO($B$1,$H43,"CALC"))</f>
        <v>N</v>
      </c>
      <c r="K43" s="179" t="str">
        <f t="shared" si="0"/>
        <v/>
      </c>
      <c r="L43" s="90" t="str">
        <f>IF(_epmOfflineCondition_,"706800",_xll.EVPRO($B$1,H43,"JDEID"))</f>
        <v>706800</v>
      </c>
      <c r="M43" s="90" t="str">
        <f>IF(_epmOfflineCondition_,"690030",IF(AND(I43="N",J43="N"),_xll.EVPRO($B$1,H43,"PSFTID"),""))</f>
        <v>690030</v>
      </c>
      <c r="N43" s="90" t="str">
        <f>IF(_epmOfflineCondition_,"Recruiting",IF(_xll.EVDES(H43,$B$1)="#NODATA","",_xll.EVDES(H43,$B$1)))</f>
        <v>Recruiting</v>
      </c>
      <c r="O43" s="143">
        <v>135.28</v>
      </c>
      <c r="P43" s="143">
        <v>198.56</v>
      </c>
      <c r="Q43" s="143">
        <v>90.23</v>
      </c>
      <c r="R43" s="143">
        <v>1070.97</v>
      </c>
      <c r="S43" s="143">
        <v>592.26</v>
      </c>
      <c r="T43" s="143">
        <v>45</v>
      </c>
      <c r="U43" s="143">
        <v>70</v>
      </c>
      <c r="V43" s="143">
        <v>450.96</v>
      </c>
      <c r="W43" s="143">
        <v>1269.5999999999999</v>
      </c>
      <c r="X43" s="143">
        <v>1233.42</v>
      </c>
      <c r="Y43" s="143">
        <v>1266.26</v>
      </c>
      <c r="Z43" s="143">
        <v>1534.66</v>
      </c>
      <c r="AA43" s="210">
        <f t="shared" si="1"/>
        <v>7957.2000000000007</v>
      </c>
      <c r="AB43" s="144">
        <f t="shared" si="2"/>
        <v>6.683058564625194E-4</v>
      </c>
      <c r="AC43" s="140"/>
      <c r="AD43" s="143">
        <v>7245.0000000004002</v>
      </c>
      <c r="AE43" s="144">
        <f t="shared" si="3"/>
        <v>8.6946939918249846E-4</v>
      </c>
      <c r="AF43" s="145">
        <f t="shared" si="4"/>
        <v>712.19999999960055</v>
      </c>
      <c r="AG43" s="143">
        <v>5965.39</v>
      </c>
      <c r="AH43" s="144">
        <f t="shared" si="5"/>
        <v>1.1442537300333563E-3</v>
      </c>
      <c r="AI43" s="145">
        <f t="shared" si="6"/>
        <v>1991.8100000000004</v>
      </c>
      <c r="AJ43" s="440">
        <f t="shared" si="7"/>
        <v>0.16515566625155667</v>
      </c>
      <c r="AK43" s="441">
        <f t="shared" si="8"/>
        <v>0.15037359900374431</v>
      </c>
      <c r="AL43" s="442">
        <f t="shared" si="9"/>
        <v>0.12347636198046034</v>
      </c>
      <c r="AM43" s="443" t="str">
        <f t="shared" si="10"/>
        <v>-0.02 pts.</v>
      </c>
      <c r="AN43" s="444" t="str">
        <f t="shared" si="11"/>
        <v>-0.05 pts.</v>
      </c>
      <c r="AO43" s="11"/>
    </row>
    <row r="44" spans="1:41" x14ac:dyDescent="0.35">
      <c r="A44" s="65" t="s">
        <v>32</v>
      </c>
      <c r="B44" s="66"/>
      <c r="C44" s="11"/>
      <c r="D44" s="11"/>
      <c r="E44" s="11"/>
      <c r="F44" s="11"/>
      <c r="G44" s="11"/>
      <c r="H44" s="88" t="s">
        <v>886</v>
      </c>
      <c r="I44" s="122" t="str">
        <f>IF(_epmOfflineCondition_,"N",_xll.EVPRO($B$1,$H44,"STYLE"))</f>
        <v>N</v>
      </c>
      <c r="J44" s="122" t="str">
        <f>IF(_epmOfflineCondition_,"N",_xll.EVPRO($B$1,$H44,"CALC"))</f>
        <v>N</v>
      </c>
      <c r="K44" s="179" t="str">
        <f t="shared" si="0"/>
        <v/>
      </c>
      <c r="L44" s="90" t="str">
        <f>IF(_epmOfflineCondition_,"706900",_xll.EVPRO($B$1,H44,"JDEID"))</f>
        <v>706900</v>
      </c>
      <c r="M44" s="90" t="str">
        <f>IF(_epmOfflineCondition_,"690031",IF(AND(I44="N",J44="N"),_xll.EVPRO($B$1,H44,"PSFTID"),""))</f>
        <v>690031</v>
      </c>
      <c r="N44" s="90" t="str">
        <f>IF(_epmOfflineCondition_,"Relocation",IF(_xll.EVDES(H44,$B$1)="#NODATA","",_xll.EVDES(H44,$B$1)))</f>
        <v>Relocation</v>
      </c>
      <c r="O44" s="143"/>
      <c r="P44" s="143"/>
      <c r="Q44" s="143"/>
      <c r="R44" s="143"/>
      <c r="S44" s="143"/>
      <c r="T44" s="143"/>
      <c r="U44" s="143">
        <v>3000</v>
      </c>
      <c r="V44" s="143"/>
      <c r="W44" s="143"/>
      <c r="X44" s="143"/>
      <c r="Y44" s="143"/>
      <c r="Z44" s="143"/>
      <c r="AA44" s="210">
        <f t="shared" si="1"/>
        <v>3000</v>
      </c>
      <c r="AB44" s="144">
        <f t="shared" si="2"/>
        <v>2.519626966002561E-4</v>
      </c>
      <c r="AC44" s="140"/>
      <c r="AD44" s="143"/>
      <c r="AE44" s="144" t="str">
        <f t="shared" si="3"/>
        <v/>
      </c>
      <c r="AF44" s="145">
        <f t="shared" si="4"/>
        <v>3000</v>
      </c>
      <c r="AG44" s="143"/>
      <c r="AH44" s="144" t="str">
        <f t="shared" si="5"/>
        <v/>
      </c>
      <c r="AI44" s="145">
        <f t="shared" si="6"/>
        <v>3000</v>
      </c>
      <c r="AJ44" s="440">
        <f t="shared" si="7"/>
        <v>6.2266500622665005E-2</v>
      </c>
      <c r="AK44" s="441">
        <f t="shared" si="8"/>
        <v>0</v>
      </c>
      <c r="AL44" s="442">
        <f t="shared" si="9"/>
        <v>0</v>
      </c>
      <c r="AM44" s="443">
        <f t="shared" si="10"/>
        <v>0</v>
      </c>
      <c r="AN44" s="444">
        <f t="shared" si="11"/>
        <v>0</v>
      </c>
      <c r="AO44" s="11"/>
    </row>
    <row r="45" spans="1:41" x14ac:dyDescent="0.35">
      <c r="A45" s="65" t="s">
        <v>33</v>
      </c>
      <c r="B45" s="66"/>
      <c r="C45" s="11"/>
      <c r="D45" s="11"/>
      <c r="E45" s="11"/>
      <c r="F45" s="11"/>
      <c r="G45" s="11"/>
      <c r="H45" s="88" t="s">
        <v>79</v>
      </c>
      <c r="I45" s="136" t="str">
        <f>IF(_epmOfflineCondition_,"T3",_xll.EVPRO($B$1,$H45,"STYLE"))</f>
        <v>T3</v>
      </c>
      <c r="J45" s="136" t="str">
        <f>IF(_epmOfflineCondition_,"Y",_xll.EVPRO($B$1,$H45,"CALC"))</f>
        <v>Y</v>
      </c>
      <c r="K45" s="104"/>
      <c r="L45" s="59"/>
      <c r="M45" s="59"/>
      <c r="N45" s="106" t="str">
        <f>IF(_epmOfflineCondition_,"Total Operations Expense",IF(_xll.EVDES(H45,$B$1)="#NODATA","",_xll.EVDES(H45,$B$1)))</f>
        <v>Total Operations Expense</v>
      </c>
      <c r="O45" s="112">
        <f t="shared" ref="O45:Z45" si="12">SUM(O34:O44)</f>
        <v>1506.32</v>
      </c>
      <c r="P45" s="112">
        <f t="shared" si="12"/>
        <v>2103.19</v>
      </c>
      <c r="Q45" s="112">
        <f t="shared" si="12"/>
        <v>2911.96</v>
      </c>
      <c r="R45" s="112">
        <f t="shared" si="12"/>
        <v>4728.8600000000006</v>
      </c>
      <c r="S45" s="112">
        <f t="shared" si="12"/>
        <v>2463.0700000000002</v>
      </c>
      <c r="T45" s="112">
        <f t="shared" si="12"/>
        <v>993.86</v>
      </c>
      <c r="U45" s="112">
        <f t="shared" si="12"/>
        <v>5337.3600000000006</v>
      </c>
      <c r="V45" s="112">
        <f t="shared" si="12"/>
        <v>1944.45</v>
      </c>
      <c r="W45" s="112">
        <f t="shared" si="12"/>
        <v>3770.89</v>
      </c>
      <c r="X45" s="112">
        <f t="shared" si="12"/>
        <v>5409.9800000000005</v>
      </c>
      <c r="Y45" s="112">
        <f t="shared" si="12"/>
        <v>6800.88</v>
      </c>
      <c r="Z45" s="112">
        <f t="shared" si="12"/>
        <v>8438.1200000000008</v>
      </c>
      <c r="AA45" s="112">
        <f t="shared" si="1"/>
        <v>46408.94</v>
      </c>
      <c r="AB45" s="113">
        <f t="shared" si="2"/>
        <v>3.8977738895864971E-3</v>
      </c>
      <c r="AC45" s="11"/>
      <c r="AD45" s="112">
        <f>SUM(AD34:AD44)</f>
        <v>26241.0000000004</v>
      </c>
      <c r="AE45" s="113">
        <f t="shared" si="3"/>
        <v>3.1491713601031097E-3</v>
      </c>
      <c r="AF45" s="114">
        <f t="shared" si="4"/>
        <v>20167.939999999602</v>
      </c>
      <c r="AG45" s="112">
        <f>SUM(AG34:AG44)</f>
        <v>21760.49</v>
      </c>
      <c r="AH45" s="113">
        <f t="shared" si="5"/>
        <v>4.1739973161609798E-3</v>
      </c>
      <c r="AI45" s="114">
        <f t="shared" si="6"/>
        <v>24648.45</v>
      </c>
      <c r="AJ45" s="415">
        <f t="shared" si="7"/>
        <v>0.96324076380240764</v>
      </c>
      <c r="AK45" s="416">
        <f t="shared" si="8"/>
        <v>0.54464508094645914</v>
      </c>
      <c r="AL45" s="417">
        <f t="shared" si="9"/>
        <v>0.45041583871501906</v>
      </c>
      <c r="AM45" s="418" t="str">
        <f t="shared" si="10"/>
        <v>0.07 pts.</v>
      </c>
      <c r="AN45" s="543" t="str">
        <f t="shared" si="11"/>
        <v>-0.03 pts.</v>
      </c>
      <c r="AO45" s="11"/>
    </row>
    <row r="46" spans="1:41" x14ac:dyDescent="0.35">
      <c r="A46" s="65" t="s">
        <v>34</v>
      </c>
      <c r="B46" s="66"/>
      <c r="C46" s="11"/>
      <c r="D46" s="11"/>
      <c r="E46" s="11"/>
      <c r="F46" s="11"/>
      <c r="G46" s="11"/>
      <c r="H46" s="11"/>
      <c r="I46" s="59"/>
      <c r="J46" s="59"/>
      <c r="K46" s="11"/>
      <c r="L46" s="59"/>
      <c r="M46" s="59"/>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row>
    <row r="47" spans="1:41" x14ac:dyDescent="0.35">
      <c r="A47" s="65" t="s">
        <v>35</v>
      </c>
      <c r="B47" s="66"/>
      <c r="C47" s="11"/>
      <c r="D47" s="11"/>
      <c r="E47" s="11"/>
      <c r="F47" s="11"/>
      <c r="G47" s="11"/>
      <c r="H47" s="88" t="s">
        <v>498</v>
      </c>
      <c r="I47" s="59"/>
      <c r="J47" s="59"/>
      <c r="K47" s="11"/>
      <c r="L47" s="59"/>
      <c r="M47" s="59"/>
      <c r="N47" s="104" t="str">
        <f>N45&amp;" - Check"</f>
        <v>Total Operations Expense - Check</v>
      </c>
      <c r="O47" s="209">
        <f>INDEX(AG!O50:O69,MATCH($H$47,AG!$G50:$G68,0))-O45</f>
        <v>0</v>
      </c>
      <c r="P47" s="209">
        <f>INDEX(AG!P50:P69,MATCH($H$47,AG!$G50:$G68,0))-P45</f>
        <v>0</v>
      </c>
      <c r="Q47" s="209">
        <f>INDEX(AG!Q50:Q69,MATCH($H$47,AG!$G50:$G68,0))-Q45</f>
        <v>0</v>
      </c>
      <c r="R47" s="209">
        <f>INDEX(AG!R50:R69,MATCH($H$47,AG!$G50:$G68,0))-R45</f>
        <v>0</v>
      </c>
      <c r="S47" s="209">
        <f>INDEX(AG!S50:S69,MATCH($H$47,AG!$G50:$G68,0))-S45</f>
        <v>0</v>
      </c>
      <c r="T47" s="209">
        <f>INDEX(AG!T50:T69,MATCH($H$47,AG!$G50:$G68,0))-T45</f>
        <v>0</v>
      </c>
      <c r="U47" s="209">
        <f>INDEX(AG!U50:U69,MATCH($H$47,AG!$G50:$G68,0))-U45</f>
        <v>0</v>
      </c>
      <c r="V47" s="209">
        <f>INDEX(AG!V50:V69,MATCH($H$47,AG!$G50:$G68,0))-V45</f>
        <v>0</v>
      </c>
      <c r="W47" s="209">
        <f>INDEX(AG!W50:W69,MATCH($H$47,AG!$G50:$G68,0))-W45</f>
        <v>0</v>
      </c>
      <c r="X47" s="209">
        <f>INDEX(AG!X50:X69,MATCH($H$47,AG!$G50:$G68,0))-X45</f>
        <v>0</v>
      </c>
      <c r="Y47" s="209">
        <f>INDEX(AG!Y50:Y69,MATCH($H$47,AG!$G50:$G68,0))-Y45</f>
        <v>0</v>
      </c>
      <c r="Z47" s="209">
        <f>INDEX(AG!Z50:Z69,MATCH($H$47,AG!$G50:$G68,0))-Z45</f>
        <v>0</v>
      </c>
      <c r="AA47" s="209">
        <f>IF($I47="B1","",SUM(O47:Z47))</f>
        <v>0</v>
      </c>
      <c r="AB47" s="609"/>
      <c r="AC47" s="137"/>
      <c r="AD47" s="209">
        <f>INDEX(AG!AD50:AD69,MATCH($H$47,AG!$G50:$G68,0))-AD45</f>
        <v>0</v>
      </c>
      <c r="AE47" s="609"/>
      <c r="AF47" s="91"/>
      <c r="AG47" s="209">
        <f>INDEX(AG!AG50:AG69,MATCH($H$47,AG!$G50:$G68,0))-AG45</f>
        <v>0</v>
      </c>
      <c r="AH47" s="609"/>
      <c r="AI47" s="91"/>
      <c r="AJ47" s="11"/>
      <c r="AK47" s="11"/>
      <c r="AL47" s="11"/>
      <c r="AM47" s="11"/>
      <c r="AN47" s="11"/>
      <c r="AO47" s="11"/>
    </row>
    <row r="48" spans="1:41" x14ac:dyDescent="0.35">
      <c r="A48" s="65" t="s">
        <v>36</v>
      </c>
      <c r="B48" s="66"/>
      <c r="C48" s="11"/>
      <c r="D48" s="11"/>
      <c r="E48" s="11"/>
      <c r="F48" s="11"/>
      <c r="G48" s="11"/>
      <c r="H48" s="11"/>
      <c r="I48" s="59"/>
      <c r="J48" s="59"/>
      <c r="K48" s="11"/>
      <c r="L48" s="59"/>
      <c r="M48" s="59"/>
      <c r="N48" s="59"/>
      <c r="O48" s="59"/>
      <c r="P48" s="59"/>
      <c r="Q48" s="59"/>
      <c r="R48" s="59"/>
      <c r="S48" s="59"/>
      <c r="T48" s="59"/>
      <c r="U48" s="59"/>
      <c r="V48" s="59"/>
      <c r="W48" s="59"/>
      <c r="X48" s="59"/>
      <c r="Y48" s="59"/>
      <c r="Z48" s="59"/>
      <c r="AA48" s="59"/>
      <c r="AB48" s="59"/>
      <c r="AC48" s="11"/>
      <c r="AD48" s="59"/>
      <c r="AE48" s="59"/>
      <c r="AF48" s="59"/>
      <c r="AG48" s="59"/>
      <c r="AH48" s="59"/>
      <c r="AI48" s="59"/>
      <c r="AJ48" s="11"/>
      <c r="AK48" s="11"/>
      <c r="AL48" s="11"/>
      <c r="AM48" s="11"/>
      <c r="AN48" s="11"/>
      <c r="AO48" s="11"/>
    </row>
    <row r="49" spans="1:41" x14ac:dyDescent="0.35">
      <c r="A49" s="65" t="s">
        <v>37</v>
      </c>
      <c r="B49" s="66"/>
      <c r="C49" s="11"/>
      <c r="D49" s="11"/>
      <c r="E49" s="11"/>
      <c r="F49" s="11"/>
      <c r="G49" s="11"/>
      <c r="H49" s="11"/>
      <c r="I49" s="59"/>
      <c r="J49" s="59"/>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35">
      <c r="A50" s="65" t="s">
        <v>38</v>
      </c>
      <c r="B50" s="66"/>
      <c r="C50" s="11"/>
      <c r="D50" s="11"/>
      <c r="E50" s="11"/>
      <c r="F50" s="11"/>
      <c r="G50" s="11"/>
      <c r="H50" s="11"/>
      <c r="I50" s="59"/>
      <c r="J50" s="59"/>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35">
      <c r="A51" s="65" t="s">
        <v>39</v>
      </c>
      <c r="B51" s="66"/>
      <c r="C51" s="11"/>
      <c r="D51" s="11"/>
      <c r="E51" s="11"/>
      <c r="F51" s="11"/>
      <c r="G51" s="11"/>
      <c r="H51" s="11"/>
      <c r="I51" s="59"/>
      <c r="J51" s="59"/>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35">
      <c r="A52" s="65" t="s">
        <v>40</v>
      </c>
      <c r="B52" s="66"/>
      <c r="C52" s="11"/>
      <c r="D52" s="11"/>
      <c r="E52" s="11"/>
      <c r="F52" s="11"/>
      <c r="G52" s="11"/>
      <c r="H52" s="11"/>
      <c r="I52" s="59"/>
      <c r="J52" s="59"/>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35">
      <c r="A53" s="65" t="s">
        <v>41</v>
      </c>
      <c r="B53" s="66"/>
      <c r="C53" s="11"/>
      <c r="D53" s="11"/>
      <c r="E53" s="11"/>
      <c r="F53" s="11"/>
      <c r="G53" s="11"/>
      <c r="H53" s="11"/>
      <c r="I53" s="59"/>
      <c r="J53" s="59"/>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42</v>
      </c>
      <c r="B54" s="66"/>
      <c r="C54" s="11"/>
      <c r="D54" s="11"/>
      <c r="E54" s="11"/>
      <c r="F54" s="11"/>
      <c r="G54" s="11"/>
      <c r="H54" s="11"/>
      <c r="I54" s="59"/>
      <c r="J54" s="59"/>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3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3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59"/>
      <c r="I70" s="59"/>
      <c r="J70" s="11"/>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59"/>
      <c r="I71" s="59"/>
      <c r="J71" s="11"/>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59"/>
      <c r="I72" s="59"/>
      <c r="J72" s="11"/>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59"/>
      <c r="I73" s="59"/>
      <c r="J73" s="11"/>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sheetData>
  <sheetProtection algorithmName="SHA-512" hashValue="nRUZjoKm18+YZxr9htqvCARGnVup7AQ7HWFmaHatYLd7choPfqtzbYEsRxsM52JC/jqVN+yrrht5Cv6TLk6YdQ==" saltValue="QCs3KIqFn8AMNpHr2CPU9w==" spinCount="100000" sheet="1" scenarios="1"/>
  <mergeCells count="2">
    <mergeCell ref="AD31:AE31"/>
    <mergeCell ref="AG31:AH31"/>
  </mergeCells>
  <dataValidations disablePrompts="1" count="2">
    <dataValidation type="list" allowBlank="1" sqref="B29" xr:uid="{00000000-0002-0000-2700-000000000000}">
      <formula1>"SELF,ALL,BAS,DEP,BASMEMBERS,MEMBERS,NOEXPAND,GDEP"</formula1>
    </dataValidation>
    <dataValidation type="list" allowBlank="1" sqref="B28" xr:uid="{00000000-0002-0000-27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530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5304" r:id="rId7" name="FPMExcelClientSheetOptionstb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4">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500</v>
      </c>
      <c r="C6" s="11" t="str">
        <f>IF(_epmOfflineCondition_,"Information &amp; Telecom Systems",_xll.EVDES(B6,$B$1))</f>
        <v>Information &amp; Telecom Systems</v>
      </c>
      <c r="D6" s="11"/>
      <c r="E6" s="58" t="str">
        <f>IF(_epmOfflineCondition_,"D1157",_xll.EVPRO($B$1,$B$6,$F$6))</f>
        <v>D1157</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IF(_epmOfflineCondition_,"'IT'!$B$2:$B$10",_xll.EVRNG($B$2:$B$10))</f>
        <v>'IT'!$B$2:$B$10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IF(_epmOfflineCondition_,"'IT'!$O$16:$AN$18",_xll.EVRNG($O$16:$AN$18))</f>
        <v>'IT'!$O$16:$AN$18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IF(_epmOfflineCondition_,"'IT'!$H$35:$H$36",_xll.EVRNG(H35:H36))</f>
        <v>'IT'!$H$35:$H$36</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IF(_epmOfflineCondition_,"'IT'!$A$36:$F$42",_xll.EVRNG(A36:F42))</f>
        <v>'IT'!$A$36:$F$42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IF(_epmOfflineCondition_,"'IT'!$A$105:$B$126",_xll.EVRNG($A$105:$B$126))</f>
        <v>'IT'!$A$105:$B$126</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IF(_epmOfflineCondition_,"Information &amp; Telecom Systems Department",IF(_xll.EVDES(B6,$B$1)="#NODATA","",_xll.EVDES(B6,$B$1)&amp;" Department"))</f>
        <v>Information &amp; Telecom Systems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291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290</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75</v>
      </c>
      <c r="I35" s="89" t="str">
        <f>IF(_epmOfflineCondition_,"B1",_xll.EVPRO($B$1,$H35,"STYLE"))</f>
        <v>B1</v>
      </c>
      <c r="J35" s="89" t="str">
        <f>IF(_epmOfflineCondition_,"Y",_xll.EVPRO($B$1,$H35,"CALC"))</f>
        <v>Y</v>
      </c>
      <c r="K35" s="265" t="str">
        <f>IF(AND(I35&gt;="T3"),"&gt;","")</f>
        <v/>
      </c>
      <c r="L35" s="106" t="str">
        <f>IF(_epmOfflineCondition_,"",_xll.EVPRO($B$1,H35,"JDEID"))</f>
        <v/>
      </c>
      <c r="M35" s="190" t="str">
        <f>IF(_epmOfflineCondition_,"",IF(AND(I35="N",J35="N"),_xll.EVPRO($B$1,H35,"PSFTID"),""))</f>
        <v/>
      </c>
      <c r="N35" s="106" t="str">
        <f>IF(_epmOfflineCondition_,"Non-Management",IF(_xll.EVDES(H35,$B$1)="#NODATA","",_xll.EVDES(H35,$B$1)))</f>
        <v>Non-Management</v>
      </c>
      <c r="O35" s="210"/>
      <c r="P35" s="210"/>
      <c r="Q35" s="210"/>
      <c r="R35" s="210"/>
      <c r="S35" s="210"/>
      <c r="T35" s="210"/>
      <c r="U35" s="210"/>
      <c r="V35" s="210"/>
      <c r="W35" s="210"/>
      <c r="X35" s="210"/>
      <c r="Y35" s="210"/>
      <c r="Z35" s="210"/>
      <c r="AA35" s="210" t="str">
        <f>IF($I35="B1","",SUM(O35:Z35))</f>
        <v/>
      </c>
      <c r="AB35" s="211" t="str">
        <f>IF(AA35=0,"",IFERROR(AA35/AA$19,""))</f>
        <v/>
      </c>
      <c r="AC35" s="140"/>
      <c r="AD35" s="143"/>
      <c r="AE35" s="144" t="str">
        <f>IF(AD35=0,"",IFERROR(AD35/AD$19,""))</f>
        <v/>
      </c>
      <c r="AF35" s="145" t="str">
        <f>IF(AND($AA35="",AD35=""),"",$AA35-AD35)</f>
        <v/>
      </c>
      <c r="AG35" s="143"/>
      <c r="AH35" s="144" t="str">
        <f>IF(AG35=0,"",IFERROR(AG35/AG$19,""))</f>
        <v/>
      </c>
      <c r="AI35" s="145" t="str">
        <f>IF(AND($AA35="",AG35=""),"",$AA35-AG35)</f>
        <v/>
      </c>
      <c r="AJ35" s="440">
        <f>IFERROR(AA35/AA$20,0)</f>
        <v>0</v>
      </c>
      <c r="AK35" s="441">
        <f>IFERROR(AD35/AD$20,0)</f>
        <v>0</v>
      </c>
      <c r="AL35" s="442">
        <f>IFERROR(AG35/AG$20,0)</f>
        <v>0</v>
      </c>
      <c r="AM35" s="443">
        <f>+IFERROR(ROUND(($AB35-AE35)*100,2)&amp;" pts.",0)</f>
        <v>0</v>
      </c>
      <c r="AN35" s="444">
        <f>+IFERROR(ROUND(($AB35-AH35)*100,2)&amp;" pts.",0)</f>
        <v>0</v>
      </c>
      <c r="AO35" s="11"/>
    </row>
    <row r="36" spans="1:41" hidden="1" x14ac:dyDescent="0.35">
      <c r="A36" s="11"/>
      <c r="B36" s="11"/>
      <c r="C36" s="11"/>
      <c r="D36" s="11"/>
      <c r="E36" s="11"/>
      <c r="F36" s="11"/>
      <c r="G36" s="11"/>
      <c r="H36" s="88"/>
      <c r="I36" s="89" t="str">
        <f>IF(_epmOfflineCondition_,"",_xll.EVPRO($B$1,$H36,"STYLE"))</f>
        <v/>
      </c>
      <c r="J36" s="89" t="str">
        <f>IF(_epmOfflineCondition_,"",_xll.EVPRO($B$1,$H36,"CALC"))</f>
        <v/>
      </c>
      <c r="K36" s="265" t="str">
        <f>IF(AND(I36&gt;="T3"),"&gt;","")</f>
        <v/>
      </c>
      <c r="L36" s="106" t="str">
        <f>IF(_epmOfflineCondition_,"",_xll.EVPRO($B$1,H36,"JDEID"))</f>
        <v/>
      </c>
      <c r="M36" s="190" t="str">
        <f>IF(_epmOfflineCondition_,"",IF(AND(I36="N",J36="N"),_xll.EVPRO($B$1,H36,"PSFTID"),""))</f>
        <v/>
      </c>
      <c r="N36" s="106" t="str">
        <f>IF(_epmOfflineCondition_,"",IF(_xll.EVDES(H36,$B$1)="#NODATA","",_xll.EVDES(H36,$B$1)))</f>
        <v/>
      </c>
      <c r="O36" s="210"/>
      <c r="P36" s="210"/>
      <c r="Q36" s="210"/>
      <c r="R36" s="210"/>
      <c r="S36" s="210"/>
      <c r="T36" s="210"/>
      <c r="U36" s="210"/>
      <c r="V36" s="210"/>
      <c r="W36" s="210"/>
      <c r="X36" s="210"/>
      <c r="Y36" s="210"/>
      <c r="Z36" s="210"/>
      <c r="AA36" s="210">
        <f>IF($I36="B1","",SUM(O36:Z36))</f>
        <v>0</v>
      </c>
      <c r="AB36" s="211" t="str">
        <f>IF(AA36=0,"",IFERROR(AA36/AA$19,""))</f>
        <v/>
      </c>
      <c r="AC36" s="140"/>
      <c r="AD36" s="143"/>
      <c r="AE36" s="144" t="str">
        <f>IF(AD36=0,"",IFERROR(AD36/AD$19,""))</f>
        <v/>
      </c>
      <c r="AF36" s="145">
        <f>IF(AND($AA36="",AD36=""),"",$AA36-AD36)</f>
        <v>0</v>
      </c>
      <c r="AG36" s="143"/>
      <c r="AH36" s="144" t="str">
        <f>IF(AG36=0,"",IFERROR(AG36/AG$19,""))</f>
        <v/>
      </c>
      <c r="AI36" s="145">
        <f>IF(AND($AA36="",AG36=""),"",$AA36-AG36)</f>
        <v>0</v>
      </c>
      <c r="AJ36" s="440">
        <f>IFERROR(AA36/AA$20,0)</f>
        <v>0</v>
      </c>
      <c r="AK36" s="441">
        <f>IFERROR(AD36/AD$20,0)</f>
        <v>0</v>
      </c>
      <c r="AL36" s="442">
        <f>IFERROR(AG36/AG$20,0)</f>
        <v>0</v>
      </c>
      <c r="AM36" s="443">
        <f>+IFERROR(ROUND(($AB36-AE36)*100,2)&amp;" pts.",0)</f>
        <v>0</v>
      </c>
      <c r="AN36" s="444">
        <f>+IFERROR(ROUND(($AB36-AH36)*100,2)&amp;" pts.",0)</f>
        <v>0</v>
      </c>
      <c r="AO36" s="11"/>
    </row>
    <row r="37" spans="1:41" x14ac:dyDescent="0.35">
      <c r="A37" s="11" t="s">
        <v>108</v>
      </c>
      <c r="B37" s="11"/>
      <c r="C37" s="104" t="s">
        <v>101</v>
      </c>
      <c r="D37" s="11" t="s">
        <v>106</v>
      </c>
      <c r="E37" s="11"/>
      <c r="F37" s="11" t="s">
        <v>98</v>
      </c>
      <c r="G37" s="11"/>
      <c r="H37" s="106"/>
      <c r="I37" s="106"/>
      <c r="J37" s="106"/>
      <c r="K37" s="106"/>
      <c r="L37" s="106"/>
      <c r="M37" s="106"/>
      <c r="N37" s="106"/>
      <c r="O37" s="203"/>
      <c r="P37" s="204"/>
      <c r="Q37" s="204"/>
      <c r="R37" s="204"/>
      <c r="S37" s="204"/>
      <c r="T37" s="204"/>
      <c r="U37" s="204"/>
      <c r="V37" s="204"/>
      <c r="W37" s="204"/>
      <c r="X37" s="204"/>
      <c r="Y37" s="204"/>
      <c r="Z37" s="204"/>
      <c r="AA37" s="204"/>
      <c r="AB37" s="118"/>
      <c r="AC37" s="11"/>
      <c r="AD37" s="203"/>
      <c r="AE37" s="204"/>
      <c r="AF37" s="118"/>
      <c r="AG37" s="203"/>
      <c r="AH37" s="204"/>
      <c r="AI37" s="118"/>
      <c r="AJ37" s="11"/>
      <c r="AK37" s="11"/>
      <c r="AL37" s="11"/>
      <c r="AM37" s="11"/>
      <c r="AN37" s="11"/>
      <c r="AO37" s="11"/>
    </row>
    <row r="38" spans="1:41" x14ac:dyDescent="0.35">
      <c r="A38" s="11" t="s">
        <v>100</v>
      </c>
      <c r="B38" s="11"/>
      <c r="C38" s="53" t="s">
        <v>101</v>
      </c>
      <c r="D38" s="11" t="s">
        <v>106</v>
      </c>
      <c r="E38" s="11"/>
      <c r="F38" s="11" t="s">
        <v>98</v>
      </c>
      <c r="G38" s="11"/>
      <c r="H38" s="11" t="s">
        <v>504</v>
      </c>
      <c r="I38" s="59" t="str">
        <f>IF(_epmOfflineCondition_,"B1",_xll.EVPRO($B$1,$H38,"STYLE"))</f>
        <v>B1</v>
      </c>
      <c r="J38" s="59" t="str">
        <f>IF(_epmOfflineCondition_,"Y",_xll.EVPRO($B$1,$H38,"CALC"))</f>
        <v>Y</v>
      </c>
      <c r="K38" s="106"/>
      <c r="L38" s="106"/>
      <c r="M38" s="106"/>
      <c r="N38" s="105" t="str">
        <f>IF(_epmOfflineCondition_,"Cost of Services",IF(_xll.EVDES(H38,$B$1)="#NODATA","",_xll.EVDES(H38,$B$1)))</f>
        <v>Cost of Services</v>
      </c>
      <c r="O38" s="119"/>
      <c r="P38" s="120"/>
      <c r="Q38" s="120"/>
      <c r="R38" s="120"/>
      <c r="S38" s="120"/>
      <c r="T38" s="120"/>
      <c r="U38" s="120"/>
      <c r="V38" s="120"/>
      <c r="W38" s="120"/>
      <c r="X38" s="120"/>
      <c r="Y38" s="120"/>
      <c r="Z38" s="120"/>
      <c r="AA38" s="120"/>
      <c r="AB38" s="121"/>
      <c r="AC38" s="11"/>
      <c r="AD38" s="119"/>
      <c r="AE38" s="120"/>
      <c r="AF38" s="121"/>
      <c r="AG38" s="119"/>
      <c r="AH38" s="120"/>
      <c r="AI38" s="121"/>
      <c r="AJ38" s="11"/>
      <c r="AK38" s="11"/>
      <c r="AL38" s="11"/>
      <c r="AM38" s="11"/>
      <c r="AN38" s="11"/>
      <c r="AO38" s="11"/>
    </row>
    <row r="39" spans="1:41" x14ac:dyDescent="0.35">
      <c r="A39" s="11" t="s">
        <v>109</v>
      </c>
      <c r="B39" s="11"/>
      <c r="C39" s="106" t="s">
        <v>101</v>
      </c>
      <c r="D39" s="11" t="s">
        <v>106</v>
      </c>
      <c r="E39" s="11"/>
      <c r="F39" s="11" t="s">
        <v>98</v>
      </c>
      <c r="G39" s="11"/>
      <c r="H39" s="88" t="s">
        <v>506</v>
      </c>
      <c r="I39" s="122" t="str">
        <f>IF(_epmOfflineCondition_,"N",_xll.EVPRO($B$1,$H39,"STYLE"))</f>
        <v>N</v>
      </c>
      <c r="J39" s="122" t="str">
        <f>IF(_epmOfflineCondition_,"N",_xll.EVPRO($B$1,$H39,"CALC"))</f>
        <v>N</v>
      </c>
      <c r="K39" s="179" t="str">
        <f>IF(AND(I39&gt;="T3"),"&gt;","")</f>
        <v/>
      </c>
      <c r="L39" s="90" t="str">
        <f>IF(_epmOfflineCondition_,"707901",_xll.EVPRO($B$1,H39,"JDEID"))</f>
        <v>707901</v>
      </c>
      <c r="M39" s="90" t="str">
        <f>IF(_epmOfflineCondition_,"690047",IF(AND(I39="N",J39="N"),_xll.EVPRO($B$1,H39,"PSFTID"),""))</f>
        <v>690047</v>
      </c>
      <c r="N39" s="90" t="str">
        <f>IF(_epmOfflineCondition_,"Cost of Cell Phones",IF(_xll.EVDES(H39,$B$1)="#NODATA","",_xll.EVDES(H39,$B$1)))</f>
        <v>Cost of Cell Phones</v>
      </c>
      <c r="O39" s="210">
        <v>406.45</v>
      </c>
      <c r="P39" s="210">
        <v>417.89</v>
      </c>
      <c r="Q39" s="210">
        <v>661.44</v>
      </c>
      <c r="R39" s="210">
        <v>573.79</v>
      </c>
      <c r="S39" s="210">
        <v>645.07000000000005</v>
      </c>
      <c r="T39" s="210">
        <v>306.67</v>
      </c>
      <c r="U39" s="210">
        <v>1063.5899999999999</v>
      </c>
      <c r="V39" s="210">
        <v>431.45</v>
      </c>
      <c r="W39" s="210">
        <v>732.57</v>
      </c>
      <c r="X39" s="210">
        <v>1231.42</v>
      </c>
      <c r="Y39" s="210">
        <v>1048.25</v>
      </c>
      <c r="Z39" s="210">
        <v>1864.04</v>
      </c>
      <c r="AA39" s="210">
        <f t="shared" ref="AA39:AA44" si="0">IF($I39="B1","",SUM(O39:Z39))</f>
        <v>9382.6299999999992</v>
      </c>
      <c r="AB39" s="211">
        <f t="shared" ref="AB39:AB44" si="1">IF(AA39=0,"",IFERROR(AA39/AA$19,""))</f>
        <v>7.8802425200082029E-4</v>
      </c>
      <c r="AC39" s="140"/>
      <c r="AD39" s="210">
        <v>9396</v>
      </c>
      <c r="AE39" s="211">
        <f t="shared" ref="AE39:AE44" si="2">IF(AD39=0,"",IFERROR(AD39/AD$19,""))</f>
        <v>1.1276100034117741E-3</v>
      </c>
      <c r="AF39" s="253">
        <f t="shared" ref="AF39:AF44" si="3">IF(AND($AA39="",AD39=""),"",$AA39-AD39)</f>
        <v>-13.3700000000008</v>
      </c>
      <c r="AG39" s="210">
        <v>6905.88</v>
      </c>
      <c r="AH39" s="211">
        <f t="shared" ref="AH39:AH44" si="4">IF(AG39=0,"",IFERROR(AG39/AG$19,""))</f>
        <v>1.3246542052007921E-3</v>
      </c>
      <c r="AI39" s="253">
        <f t="shared" ref="AI39:AI44" si="5">IF(AND($AA39="",AG39=""),"",$AA39-AG39)</f>
        <v>2476.7499999999991</v>
      </c>
      <c r="AJ39" s="440">
        <f t="shared" ref="AJ39:AJ44" si="6">IFERROR(AA39/AA$20,0)</f>
        <v>0.19474117891241177</v>
      </c>
      <c r="AK39" s="441">
        <f t="shared" ref="AK39:AK44" si="7">IFERROR(AD39/AD$20,0)</f>
        <v>0.19501867995018679</v>
      </c>
      <c r="AL39" s="442">
        <f t="shared" ref="AL39:AL44" si="8">IFERROR(AG39/AG$20,0)</f>
        <v>0.14294336810730254</v>
      </c>
      <c r="AM39" s="443" t="str">
        <f t="shared" ref="AM39:AM44" si="9">+IFERROR(ROUND(($AB39-AE39)*100,2)&amp;" pts.",0)</f>
        <v>-0.03 pts.</v>
      </c>
      <c r="AN39" s="444" t="str">
        <f t="shared" ref="AN39:AN44" si="10">+IFERROR(ROUND(($AB39-AH39)*100,2)&amp;" pts.",0)</f>
        <v>-0.05 pts.</v>
      </c>
      <c r="AO39" s="11"/>
    </row>
    <row r="40" spans="1:41" x14ac:dyDescent="0.35">
      <c r="A40" s="11" t="s">
        <v>109</v>
      </c>
      <c r="B40" s="11"/>
      <c r="C40" s="196" t="s">
        <v>101</v>
      </c>
      <c r="D40" s="11" t="s">
        <v>107</v>
      </c>
      <c r="E40" s="11"/>
      <c r="F40" s="11" t="s">
        <v>99</v>
      </c>
      <c r="G40" s="11"/>
      <c r="H40" s="88" t="s">
        <v>507</v>
      </c>
      <c r="I40" s="122" t="str">
        <f>IF(_epmOfflineCondition_,"N",_xll.EVPRO($B$1,$H40,"STYLE"))</f>
        <v>N</v>
      </c>
      <c r="J40" s="122" t="str">
        <f>IF(_epmOfflineCondition_,"N",_xll.EVPRO($B$1,$H40,"CALC"))</f>
        <v>N</v>
      </c>
      <c r="K40" s="179" t="str">
        <f>IF(AND(I40&gt;="T3"),"&gt;","")</f>
        <v/>
      </c>
      <c r="L40" s="90" t="str">
        <f>IF(_epmOfflineCondition_,"707902",_xll.EVPRO($B$1,H40,"JDEID"))</f>
        <v>707902</v>
      </c>
      <c r="M40" s="90" t="str">
        <f>IF(_epmOfflineCondition_,"690612",IF(AND(I40="N",J40="N"),_xll.EVPRO($B$1,H40,"PSFTID"),""))</f>
        <v>690612</v>
      </c>
      <c r="N40" s="90" t="str">
        <f>IF(_epmOfflineCondition_,"Cost of Internet Services",IF(_xll.EVDES(H40,$B$1)="#NODATA","",_xll.EVDES(H40,$B$1)))</f>
        <v>Cost of Internet Services</v>
      </c>
      <c r="O40" s="210">
        <v>3389.66</v>
      </c>
      <c r="P40" s="210">
        <v>4300.24</v>
      </c>
      <c r="Q40" s="210">
        <v>2913.9</v>
      </c>
      <c r="R40" s="210">
        <v>2723.77</v>
      </c>
      <c r="S40" s="210">
        <v>2592.81</v>
      </c>
      <c r="T40" s="210">
        <v>2735.16</v>
      </c>
      <c r="U40" s="210">
        <v>3016.87</v>
      </c>
      <c r="V40" s="210">
        <v>2922.36</v>
      </c>
      <c r="W40" s="210">
        <v>2919.71</v>
      </c>
      <c r="X40" s="210">
        <v>2962.12</v>
      </c>
      <c r="Y40" s="210">
        <v>2917.28</v>
      </c>
      <c r="Z40" s="210">
        <v>2647.98</v>
      </c>
      <c r="AA40" s="210">
        <f t="shared" si="0"/>
        <v>36041.86</v>
      </c>
      <c r="AB40" s="211">
        <f t="shared" si="1"/>
        <v>3.0270680786963025E-3</v>
      </c>
      <c r="AC40" s="140"/>
      <c r="AD40" s="210">
        <v>38244</v>
      </c>
      <c r="AE40" s="211">
        <f t="shared" si="2"/>
        <v>4.5896463357258293E-3</v>
      </c>
      <c r="AF40" s="253">
        <f t="shared" si="3"/>
        <v>-2202.1399999999994</v>
      </c>
      <c r="AG40" s="210">
        <v>28843.55</v>
      </c>
      <c r="AH40" s="211">
        <f t="shared" si="4"/>
        <v>5.5326373757463654E-3</v>
      </c>
      <c r="AI40" s="253">
        <f t="shared" si="5"/>
        <v>7198.3100000000013</v>
      </c>
      <c r="AJ40" s="440">
        <f t="shared" si="6"/>
        <v>0.74806683271066832</v>
      </c>
      <c r="AK40" s="441">
        <f t="shared" si="7"/>
        <v>0.79377334993773352</v>
      </c>
      <c r="AL40" s="442">
        <f t="shared" si="8"/>
        <v>0.59702661864547113</v>
      </c>
      <c r="AM40" s="443" t="str">
        <f t="shared" si="9"/>
        <v>-0.16 pts.</v>
      </c>
      <c r="AN40" s="444" t="str">
        <f t="shared" si="10"/>
        <v>-0.25 pts.</v>
      </c>
      <c r="AO40" s="11"/>
    </row>
    <row r="41" spans="1:41" x14ac:dyDescent="0.35">
      <c r="A41" s="11" t="s">
        <v>110</v>
      </c>
      <c r="B41" s="11"/>
      <c r="C41" s="106" t="s">
        <v>101</v>
      </c>
      <c r="D41" s="11" t="s">
        <v>106</v>
      </c>
      <c r="E41" s="11"/>
      <c r="F41" s="11" t="s">
        <v>98</v>
      </c>
      <c r="G41" s="11"/>
      <c r="H41" s="88" t="s">
        <v>508</v>
      </c>
      <c r="I41" s="122" t="str">
        <f>IF(_epmOfflineCondition_,"N",_xll.EVPRO($B$1,$H41,"STYLE"))</f>
        <v>N</v>
      </c>
      <c r="J41" s="122" t="str">
        <f>IF(_epmOfflineCondition_,"N",_xll.EVPRO($B$1,$H41,"CALC"))</f>
        <v>N</v>
      </c>
      <c r="K41" s="179" t="str">
        <f>IF(AND(I41&gt;="T3"),"&gt;","")</f>
        <v/>
      </c>
      <c r="L41" s="90" t="str">
        <f>IF(_epmOfflineCondition_,"707903",_xll.EVPRO($B$1,H41,"JDEID"))</f>
        <v>707903</v>
      </c>
      <c r="M41" s="90" t="str">
        <f>IF(_epmOfflineCondition_,"690045",IF(AND(I41="N",J41="N"),_xll.EVPRO($B$1,H41,"PSFTID"),""))</f>
        <v>690045</v>
      </c>
      <c r="N41" s="90" t="str">
        <f>IF(_epmOfflineCondition_,"Cost of Local Calls",IF(_xll.EVDES(H41,$B$1)="#NODATA","",_xll.EVDES(H41,$B$1)))</f>
        <v>Cost of Local Calls</v>
      </c>
      <c r="O41" s="210"/>
      <c r="P41" s="210"/>
      <c r="Q41" s="210"/>
      <c r="R41" s="210"/>
      <c r="S41" s="210"/>
      <c r="T41" s="210"/>
      <c r="U41" s="210"/>
      <c r="V41" s="210"/>
      <c r="W41" s="210"/>
      <c r="X41" s="210"/>
      <c r="Y41" s="210"/>
      <c r="Z41" s="210"/>
      <c r="AA41" s="210">
        <f t="shared" si="0"/>
        <v>0</v>
      </c>
      <c r="AB41" s="211" t="str">
        <f t="shared" si="1"/>
        <v/>
      </c>
      <c r="AC41" s="140"/>
      <c r="AD41" s="210"/>
      <c r="AE41" s="211" t="str">
        <f t="shared" si="2"/>
        <v/>
      </c>
      <c r="AF41" s="253">
        <f t="shared" si="3"/>
        <v>0</v>
      </c>
      <c r="AG41" s="210"/>
      <c r="AH41" s="211" t="str">
        <f t="shared" si="4"/>
        <v/>
      </c>
      <c r="AI41" s="253">
        <f t="shared" si="5"/>
        <v>0</v>
      </c>
      <c r="AJ41" s="440">
        <f t="shared" si="6"/>
        <v>0</v>
      </c>
      <c r="AK41" s="441">
        <f t="shared" si="7"/>
        <v>0</v>
      </c>
      <c r="AL41" s="442">
        <f t="shared" si="8"/>
        <v>0</v>
      </c>
      <c r="AM41" s="443">
        <f t="shared" si="9"/>
        <v>0</v>
      </c>
      <c r="AN41" s="444">
        <f t="shared" si="10"/>
        <v>0</v>
      </c>
      <c r="AO41" s="11"/>
    </row>
    <row r="42" spans="1:41" x14ac:dyDescent="0.35">
      <c r="A42" s="11" t="s">
        <v>110</v>
      </c>
      <c r="B42" s="11"/>
      <c r="C42" s="109" t="s">
        <v>101</v>
      </c>
      <c r="D42" s="11" t="s">
        <v>107</v>
      </c>
      <c r="E42" s="11"/>
      <c r="F42" s="11" t="s">
        <v>99</v>
      </c>
      <c r="G42" s="11"/>
      <c r="H42" s="88" t="s">
        <v>509</v>
      </c>
      <c r="I42" s="122" t="str">
        <f>IF(_epmOfflineCondition_,"N",_xll.EVPRO($B$1,$H42,"STYLE"))</f>
        <v>N</v>
      </c>
      <c r="J42" s="122" t="str">
        <f>IF(_epmOfflineCondition_,"N",_xll.EVPRO($B$1,$H42,"CALC"))</f>
        <v>N</v>
      </c>
      <c r="K42" s="179" t="str">
        <f>IF(AND(I42&gt;="T3"),"&gt;","")</f>
        <v/>
      </c>
      <c r="L42" s="90" t="str">
        <f>IF(_epmOfflineCondition_,"707904",_xll.EVPRO($B$1,H42,"JDEID"))</f>
        <v>707904</v>
      </c>
      <c r="M42" s="90" t="str">
        <f>IF(_epmOfflineCondition_,"690046",IF(AND(I42="N",J42="N"),_xll.EVPRO($B$1,H42,"PSFTID"),""))</f>
        <v>690046</v>
      </c>
      <c r="N42" s="90" t="str">
        <f>IF(_epmOfflineCondition_,"Cost of Long Distance Calls",IF(_xll.EVDES(H42,$B$1)="#NODATA","",_xll.EVDES(H42,$B$1)))</f>
        <v>Cost of Long Distance Calls</v>
      </c>
      <c r="O42" s="210"/>
      <c r="P42" s="210"/>
      <c r="Q42" s="210"/>
      <c r="R42" s="210"/>
      <c r="S42" s="210"/>
      <c r="T42" s="210"/>
      <c r="U42" s="210"/>
      <c r="V42" s="210"/>
      <c r="W42" s="210"/>
      <c r="X42" s="210"/>
      <c r="Y42" s="210"/>
      <c r="Z42" s="210"/>
      <c r="AA42" s="210">
        <f t="shared" si="0"/>
        <v>0</v>
      </c>
      <c r="AB42" s="211" t="str">
        <f t="shared" si="1"/>
        <v/>
      </c>
      <c r="AC42" s="140"/>
      <c r="AD42" s="210"/>
      <c r="AE42" s="211" t="str">
        <f t="shared" si="2"/>
        <v/>
      </c>
      <c r="AF42" s="253">
        <f t="shared" si="3"/>
        <v>0</v>
      </c>
      <c r="AG42" s="210"/>
      <c r="AH42" s="211" t="str">
        <f t="shared" si="4"/>
        <v/>
      </c>
      <c r="AI42" s="253">
        <f t="shared" si="5"/>
        <v>0</v>
      </c>
      <c r="AJ42" s="440">
        <f t="shared" si="6"/>
        <v>0</v>
      </c>
      <c r="AK42" s="441">
        <f t="shared" si="7"/>
        <v>0</v>
      </c>
      <c r="AL42" s="442">
        <f t="shared" si="8"/>
        <v>0</v>
      </c>
      <c r="AM42" s="443">
        <f t="shared" si="9"/>
        <v>0</v>
      </c>
      <c r="AN42" s="444">
        <f t="shared" si="10"/>
        <v>0</v>
      </c>
      <c r="AO42" s="11"/>
    </row>
    <row r="43" spans="1:41" x14ac:dyDescent="0.35">
      <c r="A43" s="11"/>
      <c r="B43" s="11"/>
      <c r="C43" s="208"/>
      <c r="D43" s="11"/>
      <c r="E43" s="11"/>
      <c r="F43" s="11"/>
      <c r="G43" s="11"/>
      <c r="H43" s="88" t="s">
        <v>510</v>
      </c>
      <c r="I43" s="122" t="str">
        <f>IF(_epmOfflineCondition_,"N",_xll.EVPRO($B$1,$H43,"STYLE"))</f>
        <v>N</v>
      </c>
      <c r="J43" s="122" t="str">
        <f>IF(_epmOfflineCondition_,"N",_xll.EVPRO($B$1,$H43,"CALC"))</f>
        <v>N</v>
      </c>
      <c r="K43" s="179" t="str">
        <f>IF(AND(I43&gt;="T3"),"&gt;","")</f>
        <v/>
      </c>
      <c r="L43" s="90" t="str">
        <f>IF(_epmOfflineCondition_,"707905",_xll.EVPRO($B$1,H43,"JDEID"))</f>
        <v>707905</v>
      </c>
      <c r="M43" s="90" t="str">
        <f>IF(_epmOfflineCondition_,"690039",IF(AND(I43="N",J43="N"),_xll.EVPRO($B$1,H43,"PSFTID"),""))</f>
        <v>690039</v>
      </c>
      <c r="N43" s="90" t="str">
        <f>IF(_epmOfflineCondition_,"Other Cost of Services",IF(_xll.EVDES(H43,$B$1)="#NODATA","",_xll.EVDES(H43,$B$1)))</f>
        <v>Other Cost of Services</v>
      </c>
      <c r="O43" s="210">
        <v>90.44</v>
      </c>
      <c r="P43" s="210">
        <v>92.21</v>
      </c>
      <c r="Q43" s="210">
        <v>273.85000000000002</v>
      </c>
      <c r="R43" s="210">
        <v>92.94</v>
      </c>
      <c r="S43" s="210">
        <v>96</v>
      </c>
      <c r="T43" s="210">
        <v>62.55</v>
      </c>
      <c r="U43" s="210">
        <v>122.13</v>
      </c>
      <c r="V43" s="210"/>
      <c r="W43" s="210">
        <v>74.77</v>
      </c>
      <c r="X43" s="210">
        <v>121.88</v>
      </c>
      <c r="Y43" s="210"/>
      <c r="Z43" s="210">
        <v>336.41</v>
      </c>
      <c r="AA43" s="210">
        <f t="shared" si="0"/>
        <v>1363.18</v>
      </c>
      <c r="AB43" s="211">
        <f t="shared" si="1"/>
        <v>1.1449016958384571E-4</v>
      </c>
      <c r="AC43" s="140"/>
      <c r="AD43" s="210">
        <v>480</v>
      </c>
      <c r="AE43" s="211">
        <f t="shared" si="2"/>
        <v>5.7604597875441849E-5</v>
      </c>
      <c r="AF43" s="253">
        <f t="shared" si="3"/>
        <v>883.18000000000006</v>
      </c>
      <c r="AG43" s="210">
        <v>4178.3999999999996</v>
      </c>
      <c r="AH43" s="211">
        <f t="shared" si="4"/>
        <v>8.0148151010602409E-4</v>
      </c>
      <c r="AI43" s="253">
        <f t="shared" si="5"/>
        <v>-2815.2199999999993</v>
      </c>
      <c r="AJ43" s="440">
        <f t="shared" si="6"/>
        <v>2.8293482772934829E-2</v>
      </c>
      <c r="AK43" s="441">
        <f t="shared" si="7"/>
        <v>9.9626400996264009E-3</v>
      </c>
      <c r="AL43" s="442">
        <f t="shared" si="8"/>
        <v>8.6487829110779929E-2</v>
      </c>
      <c r="AM43" s="443" t="str">
        <f t="shared" si="9"/>
        <v>0.01 pts.</v>
      </c>
      <c r="AN43" s="444" t="str">
        <f t="shared" si="10"/>
        <v>-0.07 pts.</v>
      </c>
      <c r="AO43" s="11"/>
    </row>
    <row r="44" spans="1:41" x14ac:dyDescent="0.35">
      <c r="A44" s="11"/>
      <c r="B44" s="11"/>
      <c r="C44" s="208"/>
      <c r="D44" s="11"/>
      <c r="E44" s="11"/>
      <c r="F44" s="11"/>
      <c r="G44" s="11"/>
      <c r="H44" s="88" t="s">
        <v>511</v>
      </c>
      <c r="I44" s="122" t="str">
        <f>IF(_epmOfflineCondition_,"T4",_xll.EVPRO($B$1,$H44,"STYLE"))</f>
        <v>T4</v>
      </c>
      <c r="J44" s="122" t="str">
        <f>IF(_epmOfflineCondition_,"Y",_xll.EVPRO($B$1,$H44,"CALC"))</f>
        <v>Y</v>
      </c>
      <c r="K44" s="179"/>
      <c r="L44" s="90" t="str">
        <f>IF(_epmOfflineCondition_,"707900",_xll.EVPRO($B$1,H44,"JDEID"))</f>
        <v>707900</v>
      </c>
      <c r="M44" s="90" t="str">
        <f>IF(_epmOfflineCondition_,"",IF(AND(I44="N",J44="N"),_xll.EVPRO($B$1,H44,"PSFTID"),""))</f>
        <v/>
      </c>
      <c r="N44" s="106" t="str">
        <f>IF(_epmOfflineCondition_,"Total Cost of Services",IF(_xll.EVDES(H44,$B$1)="#NODATA","",_xll.EVDES(H44,$B$1)))</f>
        <v>Total Cost of Services</v>
      </c>
      <c r="O44" s="112">
        <f t="shared" ref="O44:Z44" si="11">SUM(O39:O43)</f>
        <v>3886.5499999999997</v>
      </c>
      <c r="P44" s="112">
        <f t="shared" si="11"/>
        <v>4810.34</v>
      </c>
      <c r="Q44" s="112">
        <f t="shared" si="11"/>
        <v>3849.19</v>
      </c>
      <c r="R44" s="112">
        <f t="shared" si="11"/>
        <v>3390.5</v>
      </c>
      <c r="S44" s="112">
        <f t="shared" si="11"/>
        <v>3333.88</v>
      </c>
      <c r="T44" s="112">
        <f t="shared" si="11"/>
        <v>3104.38</v>
      </c>
      <c r="U44" s="112">
        <f t="shared" si="11"/>
        <v>4202.59</v>
      </c>
      <c r="V44" s="112">
        <f t="shared" si="11"/>
        <v>3353.81</v>
      </c>
      <c r="W44" s="112">
        <f t="shared" si="11"/>
        <v>3727.05</v>
      </c>
      <c r="X44" s="112">
        <f t="shared" si="11"/>
        <v>4315.42</v>
      </c>
      <c r="Y44" s="112">
        <f t="shared" si="11"/>
        <v>3965.53</v>
      </c>
      <c r="Z44" s="112">
        <f t="shared" si="11"/>
        <v>4848.43</v>
      </c>
      <c r="AA44" s="112">
        <f t="shared" si="0"/>
        <v>46787.67</v>
      </c>
      <c r="AB44" s="113">
        <f t="shared" si="1"/>
        <v>3.9295825002809686E-3</v>
      </c>
      <c r="AC44" s="11"/>
      <c r="AD44" s="112">
        <f>SUM(AD39:AD43)</f>
        <v>48120</v>
      </c>
      <c r="AE44" s="113">
        <f t="shared" si="2"/>
        <v>5.774860937013045E-3</v>
      </c>
      <c r="AF44" s="114">
        <f t="shared" si="3"/>
        <v>-1332.3300000000017</v>
      </c>
      <c r="AG44" s="112">
        <f>SUM(AG39:AG43)</f>
        <v>39927.83</v>
      </c>
      <c r="AH44" s="113">
        <f t="shared" si="4"/>
        <v>7.6587730910531822E-3</v>
      </c>
      <c r="AI44" s="114">
        <f t="shared" si="5"/>
        <v>6859.8399999999965</v>
      </c>
      <c r="AJ44" s="415">
        <f t="shared" si="6"/>
        <v>0.9711014943960149</v>
      </c>
      <c r="AK44" s="416">
        <f t="shared" si="7"/>
        <v>0.99875466998754669</v>
      </c>
      <c r="AL44" s="417">
        <f t="shared" si="8"/>
        <v>0.8264578158635536</v>
      </c>
      <c r="AM44" s="418" t="str">
        <f t="shared" si="9"/>
        <v>-0.18 pts.</v>
      </c>
      <c r="AN44" s="543" t="str">
        <f t="shared" si="10"/>
        <v>-0.37 pts.</v>
      </c>
      <c r="AO44" s="11"/>
    </row>
    <row r="45" spans="1:41" x14ac:dyDescent="0.35">
      <c r="A45" s="61" t="str">
        <f>IF(_epmOfflineCondition_,"Evdre:Ok",_xll.EVDRE($B$1,A48:B55,A58:B64))</f>
        <v>Evdre:Ok</v>
      </c>
      <c r="B45" s="11"/>
      <c r="C45" s="11"/>
      <c r="D45" s="11"/>
      <c r="E45" s="11"/>
      <c r="F45" s="11"/>
      <c r="G45" s="11"/>
      <c r="H45" s="106"/>
      <c r="I45" s="106"/>
      <c r="J45" s="106"/>
      <c r="K45" s="106"/>
      <c r="L45" s="106"/>
      <c r="M45" s="106"/>
      <c r="N45" s="106"/>
      <c r="O45" s="129"/>
      <c r="P45" s="130"/>
      <c r="Q45" s="130"/>
      <c r="R45" s="130"/>
      <c r="S45" s="130"/>
      <c r="T45" s="130"/>
      <c r="U45" s="130"/>
      <c r="V45" s="130"/>
      <c r="W45" s="130"/>
      <c r="X45" s="130"/>
      <c r="Y45" s="130"/>
      <c r="Z45" s="130"/>
      <c r="AA45" s="130"/>
      <c r="AB45" s="131"/>
      <c r="AC45" s="11"/>
      <c r="AD45" s="129"/>
      <c r="AE45" s="130"/>
      <c r="AF45" s="131"/>
      <c r="AG45" s="129"/>
      <c r="AH45" s="130"/>
      <c r="AI45" s="131"/>
      <c r="AJ45" s="11"/>
      <c r="AK45" s="11"/>
      <c r="AL45" s="11"/>
      <c r="AM45" s="11"/>
      <c r="AN45" s="11"/>
      <c r="AO45" s="11"/>
    </row>
    <row r="46" spans="1:41" x14ac:dyDescent="0.35">
      <c r="A46" s="11"/>
      <c r="B46" s="11"/>
      <c r="C46" s="11"/>
      <c r="D46" s="11"/>
      <c r="E46" s="11"/>
      <c r="F46" s="11"/>
      <c r="G46" s="11"/>
      <c r="H46" s="11" t="s">
        <v>501</v>
      </c>
      <c r="I46" s="59" t="str">
        <f>IF(_epmOfflineCondition_,"B1",_xll.EVPRO($B$1,$H46,"STYLE"))</f>
        <v>B1</v>
      </c>
      <c r="J46" s="59" t="str">
        <f>IF(_epmOfflineCondition_,"Y",_xll.EVPRO($B$1,$H46,"CALC"))</f>
        <v>Y</v>
      </c>
      <c r="K46" s="11"/>
      <c r="L46" s="11"/>
      <c r="M46" s="11"/>
      <c r="N46" s="105" t="str">
        <f>IF(_epmOfflineCondition_,"System Expenses",IF(_xll.EVDES(H46,$B$1)="#NODATA","",_xll.EVDES(H46,$B$1)))</f>
        <v>System Expenses</v>
      </c>
      <c r="O46" s="119"/>
      <c r="P46" s="120"/>
      <c r="Q46" s="120"/>
      <c r="R46" s="120"/>
      <c r="S46" s="120"/>
      <c r="T46" s="120"/>
      <c r="U46" s="120"/>
      <c r="V46" s="120"/>
      <c r="W46" s="120"/>
      <c r="X46" s="120"/>
      <c r="Y46" s="120"/>
      <c r="Z46" s="120"/>
      <c r="AA46" s="120"/>
      <c r="AB46" s="121"/>
      <c r="AC46" s="11"/>
      <c r="AD46" s="119"/>
      <c r="AE46" s="120"/>
      <c r="AF46" s="121"/>
      <c r="AG46" s="119"/>
      <c r="AH46" s="120"/>
      <c r="AI46" s="121"/>
      <c r="AJ46" s="11"/>
      <c r="AK46" s="11"/>
      <c r="AL46" s="11"/>
      <c r="AM46" s="11"/>
      <c r="AN46" s="11"/>
      <c r="AO46" s="11"/>
    </row>
    <row r="47" spans="1:41" x14ac:dyDescent="0.35">
      <c r="A47" s="62" t="s">
        <v>0</v>
      </c>
      <c r="B47" s="63" t="s">
        <v>1</v>
      </c>
      <c r="C47" s="11"/>
      <c r="D47" s="11"/>
      <c r="E47" s="11"/>
      <c r="F47" s="11"/>
      <c r="G47" s="11"/>
      <c r="H47" s="88" t="s">
        <v>888</v>
      </c>
      <c r="I47" s="122" t="str">
        <f>IF(_epmOfflineCondition_,"T5",_xll.EVPRO($B$1,$H47,"STYLE"))</f>
        <v>T5</v>
      </c>
      <c r="J47" s="122" t="str">
        <f>IF(_epmOfflineCondition_,"Y",_xll.EVPRO($B$1,$H47,"CALC"))</f>
        <v>Y</v>
      </c>
      <c r="K47" s="179" t="str">
        <f t="shared" ref="K47:K53" si="12">IF(AND(I47&gt;="T3"),"&gt;","")</f>
        <v>&gt;</v>
      </c>
      <c r="L47" s="90" t="str">
        <f>IF(_epmOfflineCondition_,"707010",_xll.EVPRO($B$1,H47,"JDEID"))</f>
        <v>707010</v>
      </c>
      <c r="M47" s="90" t="str">
        <f>IF(_epmOfflineCondition_,"",IF(AND(I47="N",J47="N"),_xll.EVPRO($B$1,H47,"PSFTID"),""))</f>
        <v/>
      </c>
      <c r="N47" s="90" t="str">
        <f>IF(_epmOfflineCondition_,"Administrative and General",IF(_xll.EVDES(H47,$B$1)="#NODATA","",_xll.EVDES(H47,$B$1)))</f>
        <v>Administrative and General</v>
      </c>
      <c r="O47" s="143">
        <v>232.8</v>
      </c>
      <c r="P47" s="143">
        <v>-232.78</v>
      </c>
      <c r="Q47" s="143"/>
      <c r="R47" s="143"/>
      <c r="S47" s="143"/>
      <c r="T47" s="143">
        <v>2205</v>
      </c>
      <c r="U47" s="143"/>
      <c r="V47" s="143"/>
      <c r="W47" s="143">
        <v>325</v>
      </c>
      <c r="X47" s="143"/>
      <c r="Y47" s="143">
        <v>1150.25</v>
      </c>
      <c r="Z47" s="143"/>
      <c r="AA47" s="210">
        <f t="shared" ref="AA47:AA54" si="13">IF($I47="B1","",SUM(O47:Z47))</f>
        <v>3680.27</v>
      </c>
      <c r="AB47" s="144">
        <f t="shared" ref="AB47:AB54" si="14">IF(AA47=0,"",IFERROR(AA47/AA$19,""))</f>
        <v>3.0909691780567485E-4</v>
      </c>
      <c r="AC47" s="140"/>
      <c r="AD47" s="143">
        <v>2205</v>
      </c>
      <c r="AE47" s="144">
        <f t="shared" ref="AE47:AE54" si="15">IF(AD47=0,"",IFERROR(AD47/AD$19,""))</f>
        <v>2.6462112149031096E-4</v>
      </c>
      <c r="AF47" s="145">
        <f t="shared" ref="AF47:AF54" si="16">IF(AND($AA47="",AD47=""),"",$AA47-AD47)</f>
        <v>1475.27</v>
      </c>
      <c r="AG47" s="143">
        <v>769.52</v>
      </c>
      <c r="AH47" s="144">
        <f t="shared" ref="AH47:AH54" si="17">IF(AG47=0,"",IFERROR(AG47/AG$19,""))</f>
        <v>1.4760579448037231E-4</v>
      </c>
      <c r="AI47" s="145">
        <f t="shared" ref="AI47:AI54" si="18">IF(AND($AA47="",AG47=""),"",$AA47-AG47)</f>
        <v>2910.75</v>
      </c>
      <c r="AJ47" s="440">
        <f t="shared" ref="AJ47:AJ54" si="19">IFERROR(AA47/AA$20,0)</f>
        <v>7.6385844748858442E-2</v>
      </c>
      <c r="AK47" s="441">
        <f t="shared" ref="AK47:AK54" si="20">IFERROR(AD47/AD$20,0)</f>
        <v>4.5765877957658782E-2</v>
      </c>
      <c r="AL47" s="442">
        <f t="shared" ref="AL47:AL54" si="21">IFERROR(AG47/AG$20,0)</f>
        <v>1.5928133796986255E-2</v>
      </c>
      <c r="AM47" s="443" t="str">
        <f t="shared" ref="AM47:AM54" si="22">+IFERROR(ROUND(($AB47-AE47)*100,2)&amp;" pts.",0)</f>
        <v>0 pts.</v>
      </c>
      <c r="AN47" s="444" t="str">
        <f t="shared" ref="AN47:AN54" si="23">+IFERROR(ROUND(($AB47-AH47)*100,2)&amp;" pts.",0)</f>
        <v>0.02 pts.</v>
      </c>
      <c r="AO47" s="11"/>
    </row>
    <row r="48" spans="1:41" x14ac:dyDescent="0.35">
      <c r="A48" s="65" t="s">
        <v>2</v>
      </c>
      <c r="B48" s="66" t="str">
        <f>IF(_epmOfflineCondition_,"'IT'!$B$2:$B$10",_xll.EVRNG($B$2:$B$10))</f>
        <v>'IT'!$B$2:$B$10</v>
      </c>
      <c r="C48" s="11"/>
      <c r="D48" s="11"/>
      <c r="E48" s="11"/>
      <c r="F48" s="11"/>
      <c r="G48" s="11"/>
      <c r="H48" s="88" t="s">
        <v>889</v>
      </c>
      <c r="I48" s="122" t="str">
        <f>IF(_epmOfflineCondition_,"T5",_xll.EVPRO($B$1,$H48,"STYLE"))</f>
        <v>T5</v>
      </c>
      <c r="J48" s="122" t="str">
        <f>IF(_epmOfflineCondition_,"Y",_xll.EVPRO($B$1,$H48,"CALC"))</f>
        <v>Y</v>
      </c>
      <c r="K48" s="179" t="str">
        <f t="shared" si="12"/>
        <v>&gt;</v>
      </c>
      <c r="L48" s="90" t="str">
        <f>IF(_epmOfflineCondition_,"707150",_xll.EVPRO($B$1,H48,"JDEID"))</f>
        <v>707150</v>
      </c>
      <c r="M48" s="90" t="str">
        <f>IF(_epmOfflineCondition_,"",IF(AND(I48="N",J48="N"),_xll.EVPRO($B$1,H48,"PSFTID"),""))</f>
        <v/>
      </c>
      <c r="N48" s="90" t="str">
        <f>IF(_epmOfflineCondition_,"Food and Beverage",IF(_xll.EVDES(H48,$B$1)="#NODATA","",_xll.EVDES(H48,$B$1)))</f>
        <v>Food and Beverage</v>
      </c>
      <c r="O48" s="143">
        <v>1337.55</v>
      </c>
      <c r="P48" s="143">
        <v>1144.5</v>
      </c>
      <c r="Q48" s="143">
        <v>4656.5</v>
      </c>
      <c r="R48" s="143">
        <v>-19.7</v>
      </c>
      <c r="S48" s="143">
        <v>2293.41</v>
      </c>
      <c r="T48" s="143">
        <v>1555.71</v>
      </c>
      <c r="U48" s="143">
        <v>946.65</v>
      </c>
      <c r="V48" s="143">
        <v>1488.53</v>
      </c>
      <c r="W48" s="143">
        <v>1144.5</v>
      </c>
      <c r="X48" s="143">
        <v>1143.5999999999999</v>
      </c>
      <c r="Y48" s="143">
        <v>1245</v>
      </c>
      <c r="Z48" s="143">
        <v>1344.69</v>
      </c>
      <c r="AA48" s="210">
        <f t="shared" si="13"/>
        <v>18280.939999999999</v>
      </c>
      <c r="AB48" s="144">
        <f t="shared" si="14"/>
        <v>1.5353716462624953E-3</v>
      </c>
      <c r="AC48" s="140"/>
      <c r="AD48" s="143">
        <v>19643</v>
      </c>
      <c r="AE48" s="144">
        <f t="shared" si="15"/>
        <v>2.3573481584735503E-3</v>
      </c>
      <c r="AF48" s="145">
        <f t="shared" si="16"/>
        <v>-1362.0600000000013</v>
      </c>
      <c r="AG48" s="143">
        <v>16278.33</v>
      </c>
      <c r="AH48" s="144">
        <f t="shared" si="17"/>
        <v>3.122434546813181E-3</v>
      </c>
      <c r="AI48" s="145">
        <f t="shared" si="18"/>
        <v>2002.6099999999988</v>
      </c>
      <c r="AJ48" s="440">
        <f t="shared" si="19"/>
        <v>0.37943005396430052</v>
      </c>
      <c r="AK48" s="441">
        <f t="shared" si="20"/>
        <v>0.40770029057700291</v>
      </c>
      <c r="AL48" s="442">
        <f t="shared" si="21"/>
        <v>0.33694175360158968</v>
      </c>
      <c r="AM48" s="443" t="str">
        <f t="shared" si="22"/>
        <v>-0.08 pts.</v>
      </c>
      <c r="AN48" s="444" t="str">
        <f t="shared" si="23"/>
        <v>-0.16 pts.</v>
      </c>
      <c r="AO48" s="11"/>
    </row>
    <row r="49" spans="1:41" x14ac:dyDescent="0.35">
      <c r="A49" s="65" t="s">
        <v>3</v>
      </c>
      <c r="B49" s="66" t="str">
        <f>IF(_epmOfflineCondition_,"'IT'!$O$16:$AN$18",_xll.EVRNG($O$16:$AN$18))</f>
        <v>'IT'!$O$16:$AN$18</v>
      </c>
      <c r="C49" s="11"/>
      <c r="D49" s="11"/>
      <c r="E49" s="11"/>
      <c r="F49" s="11"/>
      <c r="G49" s="11"/>
      <c r="H49" s="88" t="s">
        <v>890</v>
      </c>
      <c r="I49" s="122" t="str">
        <f>IF(_epmOfflineCondition_,"T5",_xll.EVPRO($B$1,$H49,"STYLE"))</f>
        <v>T5</v>
      </c>
      <c r="J49" s="122" t="str">
        <f>IF(_epmOfflineCondition_,"Y",_xll.EVPRO($B$1,$H49,"CALC"))</f>
        <v>Y</v>
      </c>
      <c r="K49" s="179" t="str">
        <f t="shared" si="12"/>
        <v>&gt;</v>
      </c>
      <c r="L49" s="90" t="str">
        <f>IF(_epmOfflineCondition_,"707310",_xll.EVPRO($B$1,H49,"JDEID"))</f>
        <v>707310</v>
      </c>
      <c r="M49" s="90" t="str">
        <f>IF(_epmOfflineCondition_,"",IF(AND(I49="N",J49="N"),_xll.EVPRO($B$1,H49,"PSFTID"),""))</f>
        <v/>
      </c>
      <c r="N49" s="90" t="str">
        <f>IF(_epmOfflineCondition_,"Human Resources",IF(_xll.EVDES(H49,$B$1)="#NODATA","",_xll.EVDES(H49,$B$1)))</f>
        <v>Human Resources</v>
      </c>
      <c r="O49" s="143">
        <v>1033.51</v>
      </c>
      <c r="P49" s="143">
        <v>721.38</v>
      </c>
      <c r="Q49" s="143">
        <v>804.34</v>
      </c>
      <c r="R49" s="143"/>
      <c r="S49" s="143">
        <v>961.28</v>
      </c>
      <c r="T49" s="143">
        <v>1031.9000000000001</v>
      </c>
      <c r="U49" s="143">
        <v>815.52</v>
      </c>
      <c r="V49" s="143">
        <v>873.06</v>
      </c>
      <c r="W49" s="143">
        <v>770.46</v>
      </c>
      <c r="X49" s="143"/>
      <c r="Y49" s="143">
        <v>2417.4</v>
      </c>
      <c r="Z49" s="143">
        <v>939.16</v>
      </c>
      <c r="AA49" s="210">
        <f t="shared" si="13"/>
        <v>10368.01</v>
      </c>
      <c r="AB49" s="144">
        <f t="shared" si="14"/>
        <v>8.7078391932614047E-4</v>
      </c>
      <c r="AC49" s="140"/>
      <c r="AD49" s="143">
        <v>9600</v>
      </c>
      <c r="AE49" s="144">
        <f t="shared" si="15"/>
        <v>1.152091957508837E-3</v>
      </c>
      <c r="AF49" s="145">
        <f t="shared" si="16"/>
        <v>768.01000000000022</v>
      </c>
      <c r="AG49" s="143">
        <v>9514.4699999999993</v>
      </c>
      <c r="AH49" s="144">
        <f t="shared" si="17"/>
        <v>1.8250219661732872E-3</v>
      </c>
      <c r="AI49" s="145">
        <f t="shared" si="18"/>
        <v>853.54000000000087</v>
      </c>
      <c r="AJ49" s="440">
        <f t="shared" si="19"/>
        <v>0.21519323370693233</v>
      </c>
      <c r="AK49" s="441">
        <f t="shared" si="20"/>
        <v>0.19925280199252801</v>
      </c>
      <c r="AL49" s="442">
        <f t="shared" si="21"/>
        <v>0.19693802781917535</v>
      </c>
      <c r="AM49" s="443" t="str">
        <f t="shared" si="22"/>
        <v>-0.03 pts.</v>
      </c>
      <c r="AN49" s="444" t="str">
        <f t="shared" si="23"/>
        <v>-0.1 pts.</v>
      </c>
      <c r="AO49" s="11"/>
    </row>
    <row r="50" spans="1:41" x14ac:dyDescent="0.35">
      <c r="A50" s="65" t="s">
        <v>4</v>
      </c>
      <c r="B50" s="66" t="str">
        <f>IF(_epmOfflineCondition_,"'IT'!$H$39:$H$43",_xll.EVRNG(H39:H43))</f>
        <v>'IT'!$H$39:$H$43</v>
      </c>
      <c r="C50" s="11"/>
      <c r="D50" s="11"/>
      <c r="E50" s="11"/>
      <c r="F50" s="11"/>
      <c r="G50" s="11"/>
      <c r="H50" s="88" t="s">
        <v>891</v>
      </c>
      <c r="I50" s="122" t="str">
        <f>IF(_epmOfflineCondition_,"T5",_xll.EVPRO($B$1,$H50,"STYLE"))</f>
        <v>T5</v>
      </c>
      <c r="J50" s="122" t="str">
        <f>IF(_epmOfflineCondition_,"Y",_xll.EVPRO($B$1,$H50,"CALC"))</f>
        <v>Y</v>
      </c>
      <c r="K50" s="179" t="str">
        <f t="shared" si="12"/>
        <v>&gt;</v>
      </c>
      <c r="L50" s="90" t="str">
        <f>IF(_epmOfflineCondition_,"707450",_xll.EVPRO($B$1,H50,"JDEID"))</f>
        <v>707450</v>
      </c>
      <c r="M50" s="90" t="str">
        <f>IF(_epmOfflineCondition_,"",IF(AND(I50="N",J50="N"),_xll.EVPRO($B$1,H50,"PSFTID"),""))</f>
        <v/>
      </c>
      <c r="N50" s="90" t="str">
        <f>IF(_epmOfflineCondition_,"Other",IF(_xll.EVDES(H50,$B$1)="#NODATA","",_xll.EVDES(H50,$B$1)))</f>
        <v>Other</v>
      </c>
      <c r="O50" s="143">
        <v>1977.08</v>
      </c>
      <c r="P50" s="143"/>
      <c r="Q50" s="143">
        <v>1639.2</v>
      </c>
      <c r="R50" s="143"/>
      <c r="S50" s="143"/>
      <c r="T50" s="143"/>
      <c r="U50" s="143">
        <v>12.48</v>
      </c>
      <c r="V50" s="143">
        <v>1379.49</v>
      </c>
      <c r="W50" s="143"/>
      <c r="X50" s="143"/>
      <c r="Y50" s="143">
        <v>-140</v>
      </c>
      <c r="Z50" s="143"/>
      <c r="AA50" s="210">
        <f t="shared" si="13"/>
        <v>4868.25</v>
      </c>
      <c r="AB50" s="144">
        <f t="shared" si="14"/>
        <v>4.0887246590806561E-4</v>
      </c>
      <c r="AC50" s="140"/>
      <c r="AD50" s="143">
        <v>4255</v>
      </c>
      <c r="AE50" s="144">
        <f t="shared" si="15"/>
        <v>5.1064075825001055E-4</v>
      </c>
      <c r="AF50" s="145">
        <f t="shared" si="16"/>
        <v>613.25</v>
      </c>
      <c r="AG50" s="143">
        <v>6400.05</v>
      </c>
      <c r="AH50" s="144">
        <f t="shared" si="17"/>
        <v>1.2276282162440313E-3</v>
      </c>
      <c r="AI50" s="145">
        <f t="shared" si="18"/>
        <v>-1531.8000000000002</v>
      </c>
      <c r="AJ50" s="440">
        <f t="shared" si="19"/>
        <v>0.10104296388542963</v>
      </c>
      <c r="AK50" s="441">
        <f t="shared" si="20"/>
        <v>8.8314653383146535E-2</v>
      </c>
      <c r="AL50" s="442">
        <f t="shared" si="21"/>
        <v>0.13247329855936413</v>
      </c>
      <c r="AM50" s="443" t="str">
        <f t="shared" si="22"/>
        <v>-0.01 pts.</v>
      </c>
      <c r="AN50" s="444" t="str">
        <f t="shared" si="23"/>
        <v>-0.08 pts.</v>
      </c>
      <c r="AO50" s="11"/>
    </row>
    <row r="51" spans="1:41" x14ac:dyDescent="0.35">
      <c r="A51" s="65" t="s">
        <v>5</v>
      </c>
      <c r="B51" s="66"/>
      <c r="C51" s="11"/>
      <c r="D51" s="11"/>
      <c r="E51" s="11"/>
      <c r="F51" s="11"/>
      <c r="G51" s="11"/>
      <c r="H51" s="88" t="s">
        <v>892</v>
      </c>
      <c r="I51" s="122" t="str">
        <f>IF(_epmOfflineCondition_,"T5",_xll.EVPRO($B$1,$H51,"STYLE"))</f>
        <v>T5</v>
      </c>
      <c r="J51" s="122" t="str">
        <f>IF(_epmOfflineCondition_,"Y",_xll.EVPRO($B$1,$H51,"CALC"))</f>
        <v>Y</v>
      </c>
      <c r="K51" s="179" t="str">
        <f t="shared" si="12"/>
        <v>&gt;</v>
      </c>
      <c r="L51" s="90" t="str">
        <f>IF(_epmOfflineCondition_,"707550",_xll.EVPRO($B$1,H51,"JDEID"))</f>
        <v>707550</v>
      </c>
      <c r="M51" s="90" t="str">
        <f>IF(_epmOfflineCondition_,"",IF(AND(I51="N",J51="N"),_xll.EVPRO($B$1,H51,"PSFTID"),""))</f>
        <v/>
      </c>
      <c r="N51" s="90" t="str">
        <f>IF(_epmOfflineCondition_,"Property Operation and Maintenance",IF(_xll.EVDES(H51,$B$1)="#NODATA","",_xll.EVDES(H51,$B$1)))</f>
        <v>Property Operation and Maintenance</v>
      </c>
      <c r="O51" s="143"/>
      <c r="P51" s="143"/>
      <c r="Q51" s="143"/>
      <c r="R51" s="143"/>
      <c r="S51" s="143"/>
      <c r="T51" s="143">
        <v>237</v>
      </c>
      <c r="U51" s="143"/>
      <c r="V51" s="143">
        <v>237</v>
      </c>
      <c r="W51" s="143">
        <v>-474</v>
      </c>
      <c r="X51" s="143"/>
      <c r="Y51" s="143"/>
      <c r="Z51" s="143"/>
      <c r="AA51" s="210">
        <f t="shared" si="13"/>
        <v>0</v>
      </c>
      <c r="AB51" s="144" t="str">
        <f t="shared" si="14"/>
        <v/>
      </c>
      <c r="AC51" s="140"/>
      <c r="AD51" s="143"/>
      <c r="AE51" s="144" t="str">
        <f t="shared" si="15"/>
        <v/>
      </c>
      <c r="AF51" s="145">
        <f t="shared" si="16"/>
        <v>0</v>
      </c>
      <c r="AG51" s="143"/>
      <c r="AH51" s="144" t="str">
        <f t="shared" si="17"/>
        <v/>
      </c>
      <c r="AI51" s="145">
        <f t="shared" si="18"/>
        <v>0</v>
      </c>
      <c r="AJ51" s="440">
        <f t="shared" si="19"/>
        <v>0</v>
      </c>
      <c r="AK51" s="441">
        <f t="shared" si="20"/>
        <v>0</v>
      </c>
      <c r="AL51" s="442">
        <f t="shared" si="21"/>
        <v>0</v>
      </c>
      <c r="AM51" s="443">
        <f t="shared" si="22"/>
        <v>0</v>
      </c>
      <c r="AN51" s="444">
        <f t="shared" si="23"/>
        <v>0</v>
      </c>
      <c r="AO51" s="11"/>
    </row>
    <row r="52" spans="1:41" x14ac:dyDescent="0.35">
      <c r="A52" s="65" t="s">
        <v>6</v>
      </c>
      <c r="B52" s="66"/>
      <c r="C52" s="11"/>
      <c r="D52" s="11"/>
      <c r="E52" s="11"/>
      <c r="F52" s="11"/>
      <c r="G52" s="11"/>
      <c r="H52" s="88" t="s">
        <v>893</v>
      </c>
      <c r="I52" s="122" t="str">
        <f>IF(_epmOfflineCondition_,"T5",_xll.EVPRO($B$1,$H52,"STYLE"))</f>
        <v>T5</v>
      </c>
      <c r="J52" s="122" t="str">
        <f>IF(_epmOfflineCondition_,"Y",_xll.EVPRO($B$1,$H52,"CALC"))</f>
        <v>Y</v>
      </c>
      <c r="K52" s="179" t="str">
        <f t="shared" si="12"/>
        <v>&gt;</v>
      </c>
      <c r="L52" s="90" t="str">
        <f>IF(_epmOfflineCondition_,"707610",_xll.EVPRO($B$1,H52,"JDEID"))</f>
        <v>707610</v>
      </c>
      <c r="M52" s="90" t="str">
        <f>IF(_epmOfflineCondition_,"",IF(AND(I52="N",J52="N"),_xll.EVPRO($B$1,H52,"PSFTID"),""))</f>
        <v/>
      </c>
      <c r="N52" s="90" t="str">
        <f>IF(_epmOfflineCondition_,"Rooms",IF(_xll.EVDES(H52,$B$1)="#NODATA","",_xll.EVDES(H52,$B$1)))</f>
        <v>Rooms</v>
      </c>
      <c r="O52" s="143">
        <v>7207.54</v>
      </c>
      <c r="P52" s="143">
        <v>515.24</v>
      </c>
      <c r="Q52" s="143">
        <v>157.34</v>
      </c>
      <c r="R52" s="143">
        <v>305.33999999999997</v>
      </c>
      <c r="S52" s="143">
        <v>-297.39</v>
      </c>
      <c r="T52" s="143">
        <v>581.34</v>
      </c>
      <c r="U52" s="143">
        <v>2088.3200000000002</v>
      </c>
      <c r="V52" s="143">
        <v>-444.76</v>
      </c>
      <c r="W52" s="143">
        <v>-320.77999999999997</v>
      </c>
      <c r="X52" s="143">
        <v>444.46</v>
      </c>
      <c r="Y52" s="143">
        <v>263.45999999999998</v>
      </c>
      <c r="Z52" s="143">
        <v>452.15</v>
      </c>
      <c r="AA52" s="210">
        <f t="shared" si="13"/>
        <v>10952.259999999997</v>
      </c>
      <c r="AB52" s="144">
        <f t="shared" si="14"/>
        <v>9.198536544890401E-4</v>
      </c>
      <c r="AC52" s="140"/>
      <c r="AD52" s="143">
        <v>8743</v>
      </c>
      <c r="AE52" s="144">
        <f t="shared" si="15"/>
        <v>1.0492437483853919E-3</v>
      </c>
      <c r="AF52" s="145">
        <f t="shared" si="16"/>
        <v>2209.2599999999966</v>
      </c>
      <c r="AG52" s="143">
        <v>4122.6400000000003</v>
      </c>
      <c r="AH52" s="144">
        <f t="shared" si="17"/>
        <v>7.9078588283158617E-4</v>
      </c>
      <c r="AI52" s="145">
        <f t="shared" si="18"/>
        <v>6829.6199999999963</v>
      </c>
      <c r="AJ52" s="440">
        <f t="shared" si="19"/>
        <v>0.22731963470319627</v>
      </c>
      <c r="AK52" s="441">
        <f t="shared" si="20"/>
        <v>0.18146533831465339</v>
      </c>
      <c r="AL52" s="442">
        <f t="shared" si="21"/>
        <v>8.5333664513992394E-2</v>
      </c>
      <c r="AM52" s="443" t="str">
        <f t="shared" si="22"/>
        <v>-0.01 pts.</v>
      </c>
      <c r="AN52" s="444" t="str">
        <f t="shared" si="23"/>
        <v>0.01 pts.</v>
      </c>
      <c r="AO52" s="11"/>
    </row>
    <row r="53" spans="1:41" x14ac:dyDescent="0.35">
      <c r="A53" s="65" t="s">
        <v>7</v>
      </c>
      <c r="B53" s="66"/>
      <c r="C53" s="11"/>
      <c r="D53" s="11"/>
      <c r="E53" s="11"/>
      <c r="F53" s="11"/>
      <c r="G53" s="11"/>
      <c r="H53" s="88" t="s">
        <v>894</v>
      </c>
      <c r="I53" s="122" t="str">
        <f>IF(_epmOfflineCondition_,"T5",_xll.EVPRO($B$1,$H53,"STYLE"))</f>
        <v>T5</v>
      </c>
      <c r="J53" s="122" t="str">
        <f>IF(_epmOfflineCondition_,"Y",_xll.EVPRO($B$1,$H53,"CALC"))</f>
        <v>Y</v>
      </c>
      <c r="K53" s="179" t="str">
        <f t="shared" si="12"/>
        <v>&gt;</v>
      </c>
      <c r="L53" s="90" t="str">
        <f>IF(_epmOfflineCondition_,"707650",_xll.EVPRO($B$1,H53,"JDEID"))</f>
        <v>707650</v>
      </c>
      <c r="M53" s="90" t="str">
        <f>IF(_epmOfflineCondition_,"",IF(AND(I53="N",J53="N"),_xll.EVPRO($B$1,H53,"PSFTID"),""))</f>
        <v/>
      </c>
      <c r="N53" s="90" t="str">
        <f>IF(_epmOfflineCondition_,"Sales and Marketing",IF(_xll.EVDES(H53,$B$1)="#NODATA","",_xll.EVDES(H53,$B$1)))</f>
        <v>Sales and Marketing</v>
      </c>
      <c r="O53" s="143">
        <v>6407.23</v>
      </c>
      <c r="P53" s="143">
        <v>4394.3</v>
      </c>
      <c r="Q53" s="143">
        <v>756.29</v>
      </c>
      <c r="R53" s="143">
        <v>-15.309999999999899</v>
      </c>
      <c r="S53" s="143">
        <v>486.99</v>
      </c>
      <c r="T53" s="143">
        <v>301.55</v>
      </c>
      <c r="U53" s="143">
        <v>-942.16</v>
      </c>
      <c r="V53" s="143">
        <v>901.27</v>
      </c>
      <c r="W53" s="143">
        <v>960.99</v>
      </c>
      <c r="X53" s="143">
        <v>539.64</v>
      </c>
      <c r="Y53" s="143">
        <v>737.23</v>
      </c>
      <c r="Z53" s="143">
        <v>259.07</v>
      </c>
      <c r="AA53" s="210">
        <f t="shared" si="13"/>
        <v>14787.089999999998</v>
      </c>
      <c r="AB53" s="144">
        <f t="shared" si="14"/>
        <v>1.2419316904235603E-3</v>
      </c>
      <c r="AC53" s="140"/>
      <c r="AD53" s="143">
        <v>16177</v>
      </c>
      <c r="AE53" s="144">
        <f t="shared" si="15"/>
        <v>1.9413949579812975E-3</v>
      </c>
      <c r="AF53" s="145">
        <f t="shared" si="16"/>
        <v>-1389.9100000000017</v>
      </c>
      <c r="AG53" s="143">
        <v>12528.1</v>
      </c>
      <c r="AH53" s="144">
        <f t="shared" si="17"/>
        <v>2.4030826409054376E-3</v>
      </c>
      <c r="AI53" s="145">
        <f t="shared" si="18"/>
        <v>2258.989999999998</v>
      </c>
      <c r="AJ53" s="440">
        <f t="shared" si="19"/>
        <v>0.30691344956413447</v>
      </c>
      <c r="AK53" s="441">
        <f t="shared" si="20"/>
        <v>0.33576172685761729</v>
      </c>
      <c r="AL53" s="442">
        <f t="shared" si="21"/>
        <v>0.25931652591488658</v>
      </c>
      <c r="AM53" s="443" t="str">
        <f t="shared" si="22"/>
        <v>-0.07 pts.</v>
      </c>
      <c r="AN53" s="444" t="str">
        <f t="shared" si="23"/>
        <v>-0.12 pts.</v>
      </c>
      <c r="AO53" s="11"/>
    </row>
    <row r="54" spans="1:41" x14ac:dyDescent="0.35">
      <c r="A54" s="65" t="s">
        <v>47</v>
      </c>
      <c r="B54" s="66" t="str">
        <f>IF(_epmOfflineCondition_,"'IT'!$A$105:$B$126",_xll.EVRNG($A$105:$B$126))</f>
        <v>'IT'!$A$105:$B$126</v>
      </c>
      <c r="C54" s="11"/>
      <c r="D54" s="11"/>
      <c r="E54" s="11"/>
      <c r="F54" s="11"/>
      <c r="G54" s="11"/>
      <c r="H54" s="88" t="s">
        <v>502</v>
      </c>
      <c r="I54" s="122" t="str">
        <f>IF(_epmOfflineCondition_,"T4",_xll.EVPRO($B$1,$H54,"STYLE"))</f>
        <v>T4</v>
      </c>
      <c r="J54" s="122" t="str">
        <f>IF(_epmOfflineCondition_,"Y",_xll.EVPRO($B$1,$H54,"CALC"))</f>
        <v>Y</v>
      </c>
      <c r="K54" s="179"/>
      <c r="L54" s="90" t="str">
        <f>IF(_epmOfflineCondition_,"",_xll.EVPRO($B$1,H54,"JDEID"))</f>
        <v/>
      </c>
      <c r="M54" s="90" t="str">
        <f>IF(_epmOfflineCondition_,"",IF(AND(I54="N",J54="N"),_xll.EVPRO($B$1,H54,"PSFTID"),""))</f>
        <v/>
      </c>
      <c r="N54" s="106" t="str">
        <f>IF(_epmOfflineCondition_,"Total System Expenses",IF(_xll.EVDES(H54,$B$1)="#NODATA","",_xll.EVDES(H54,$B$1)))</f>
        <v>Total System Expenses</v>
      </c>
      <c r="O54" s="112">
        <f t="shared" ref="O54:Z54" si="24">SUM(O47:O53)</f>
        <v>18195.71</v>
      </c>
      <c r="P54" s="112">
        <f t="shared" si="24"/>
        <v>6542.64</v>
      </c>
      <c r="Q54" s="112">
        <f t="shared" si="24"/>
        <v>8013.67</v>
      </c>
      <c r="R54" s="112">
        <f t="shared" si="24"/>
        <v>270.3300000000001</v>
      </c>
      <c r="S54" s="112">
        <f t="shared" si="24"/>
        <v>3444.29</v>
      </c>
      <c r="T54" s="112">
        <f t="shared" si="24"/>
        <v>5912.5000000000009</v>
      </c>
      <c r="U54" s="112">
        <f t="shared" si="24"/>
        <v>2920.8100000000004</v>
      </c>
      <c r="V54" s="112">
        <f t="shared" si="24"/>
        <v>4434.59</v>
      </c>
      <c r="W54" s="112">
        <f t="shared" si="24"/>
        <v>2406.17</v>
      </c>
      <c r="X54" s="112">
        <f t="shared" si="24"/>
        <v>2127.6999999999998</v>
      </c>
      <c r="Y54" s="112">
        <f t="shared" si="24"/>
        <v>5673.34</v>
      </c>
      <c r="Z54" s="112">
        <f t="shared" si="24"/>
        <v>2995.07</v>
      </c>
      <c r="AA54" s="112">
        <f t="shared" si="13"/>
        <v>62936.819999999985</v>
      </c>
      <c r="AB54" s="113">
        <f t="shared" si="14"/>
        <v>5.2859102942149757E-3</v>
      </c>
      <c r="AC54" s="11"/>
      <c r="AD54" s="112">
        <f>SUM(AD47:AD53)</f>
        <v>60623</v>
      </c>
      <c r="AE54" s="113">
        <f t="shared" si="15"/>
        <v>7.2753407020893978E-3</v>
      </c>
      <c r="AF54" s="114">
        <f t="shared" si="16"/>
        <v>2313.8199999999852</v>
      </c>
      <c r="AG54" s="112">
        <f>SUM(AG47:AG53)</f>
        <v>49613.11</v>
      </c>
      <c r="AH54" s="113">
        <f t="shared" si="17"/>
        <v>9.5165590474478954E-3</v>
      </c>
      <c r="AI54" s="114">
        <f t="shared" si="18"/>
        <v>13323.709999999985</v>
      </c>
      <c r="AJ54" s="415">
        <f t="shared" si="19"/>
        <v>1.3062851805728515</v>
      </c>
      <c r="AK54" s="416">
        <f t="shared" si="20"/>
        <v>1.2582606890826069</v>
      </c>
      <c r="AL54" s="417">
        <f t="shared" si="21"/>
        <v>1.0269314042059945</v>
      </c>
      <c r="AM54" s="418" t="str">
        <f t="shared" si="22"/>
        <v>-0.2 pts.</v>
      </c>
      <c r="AN54" s="543" t="str">
        <f t="shared" si="23"/>
        <v>-0.42 pts.</v>
      </c>
      <c r="AO54" s="11"/>
    </row>
    <row r="55" spans="1:41" x14ac:dyDescent="0.35">
      <c r="A55" s="65" t="s">
        <v>8</v>
      </c>
      <c r="B55" s="66"/>
      <c r="C55" s="11"/>
      <c r="D55" s="11"/>
      <c r="E55" s="11"/>
      <c r="F55" s="11"/>
      <c r="G55" s="11"/>
      <c r="H55" s="179"/>
      <c r="I55" s="179"/>
      <c r="J55" s="179"/>
      <c r="K55" s="179"/>
      <c r="L55" s="90"/>
      <c r="M55" s="90"/>
      <c r="N55" s="106"/>
      <c r="O55" s="129"/>
      <c r="P55" s="130"/>
      <c r="Q55" s="130"/>
      <c r="R55" s="130"/>
      <c r="S55" s="130"/>
      <c r="T55" s="130"/>
      <c r="U55" s="130"/>
      <c r="V55" s="130"/>
      <c r="W55" s="130"/>
      <c r="X55" s="130"/>
      <c r="Y55" s="130"/>
      <c r="Z55" s="130"/>
      <c r="AA55" s="130"/>
      <c r="AB55" s="131"/>
      <c r="AC55" s="11"/>
      <c r="AD55" s="129"/>
      <c r="AE55" s="130"/>
      <c r="AF55" s="131"/>
      <c r="AG55" s="129"/>
      <c r="AH55" s="130"/>
      <c r="AI55" s="131"/>
      <c r="AJ55" s="11"/>
      <c r="AK55" s="11"/>
      <c r="AL55" s="11"/>
      <c r="AM55" s="11"/>
      <c r="AN55" s="11"/>
      <c r="AO55" s="11"/>
    </row>
    <row r="56" spans="1:41" x14ac:dyDescent="0.35">
      <c r="A56" s="11"/>
      <c r="B56" s="11"/>
      <c r="C56" s="11"/>
      <c r="D56" s="11"/>
      <c r="E56" s="11"/>
      <c r="F56" s="11"/>
      <c r="G56" s="11"/>
      <c r="H56" s="11" t="s">
        <v>82</v>
      </c>
      <c r="I56" s="59" t="str">
        <f>IF(_epmOfflineCondition_,"B1",_xll.EVPRO($B$1,$H56,"STYLE"))</f>
        <v>B1</v>
      </c>
      <c r="J56" s="59" t="str">
        <f>IF(_epmOfflineCondition_,"Y",_xll.EVPRO($B$1,$H56,"CALC"))</f>
        <v>Y</v>
      </c>
      <c r="K56" s="11"/>
      <c r="L56" s="11"/>
      <c r="M56" s="11"/>
      <c r="N56" s="105" t="str">
        <f>IF(_epmOfflineCondition_,"Other Expenses",IF(_xll.EVDES(H56,$B$1)="#NODATA","",_xll.EVDES(H56,$B$1)))</f>
        <v>Other Expenses</v>
      </c>
      <c r="O56" s="119"/>
      <c r="P56" s="120"/>
      <c r="Q56" s="120"/>
      <c r="R56" s="120"/>
      <c r="S56" s="120"/>
      <c r="T56" s="120"/>
      <c r="U56" s="120"/>
      <c r="V56" s="120"/>
      <c r="W56" s="120"/>
      <c r="X56" s="120"/>
      <c r="Y56" s="120"/>
      <c r="Z56" s="120"/>
      <c r="AA56" s="120"/>
      <c r="AB56" s="121"/>
      <c r="AC56" s="11"/>
      <c r="AD56" s="119"/>
      <c r="AE56" s="120"/>
      <c r="AF56" s="121"/>
      <c r="AG56" s="119"/>
      <c r="AH56" s="120"/>
      <c r="AI56" s="121"/>
      <c r="AJ56" s="11"/>
      <c r="AK56" s="11"/>
      <c r="AL56" s="11"/>
      <c r="AM56" s="11"/>
      <c r="AN56" s="11"/>
      <c r="AO56" s="11"/>
    </row>
    <row r="57" spans="1:41" x14ac:dyDescent="0.35">
      <c r="A57" s="62" t="s">
        <v>9</v>
      </c>
      <c r="B57" s="63" t="s">
        <v>10</v>
      </c>
      <c r="C57" s="11"/>
      <c r="D57" s="11"/>
      <c r="E57" s="11"/>
      <c r="F57" s="11"/>
      <c r="G57" s="11"/>
      <c r="H57" s="88" t="s">
        <v>828</v>
      </c>
      <c r="I57" s="122" t="str">
        <f>IF(_epmOfflineCondition_,"N",_xll.EVPRO($B$1,$H57,"STYLE"))</f>
        <v>N</v>
      </c>
      <c r="J57" s="122" t="str">
        <f>IF(_epmOfflineCondition_,"N",_xll.EVPRO($B$1,$H57,"CALC"))</f>
        <v>N</v>
      </c>
      <c r="K57" s="179" t="str">
        <f t="shared" ref="K57:K63" si="25">IF(AND(I57&gt;="T3"),"&gt;","")</f>
        <v/>
      </c>
      <c r="L57" s="90" t="str">
        <f>IF(_epmOfflineCondition_,"701100",_xll.EVPRO($B$1,H57,"JDEID"))</f>
        <v>701100</v>
      </c>
      <c r="M57" s="90" t="str">
        <f>IF(_epmOfflineCondition_,"690015",IF(AND(I57="N",J57="N"),_xll.EVPRO($B$1,H57,"PSFTID"),""))</f>
        <v>690015</v>
      </c>
      <c r="N57" s="90" t="str">
        <f>IF(_epmOfflineCondition_,"Dues and Subscriptions",IF(_xll.EVDES(H57,$B$1)="#NODATA","",_xll.EVDES(H57,$B$1)))</f>
        <v>Dues and Subscriptions</v>
      </c>
      <c r="O57" s="143"/>
      <c r="P57" s="143"/>
      <c r="Q57" s="143"/>
      <c r="R57" s="143"/>
      <c r="S57" s="143"/>
      <c r="T57" s="143"/>
      <c r="U57" s="143"/>
      <c r="V57" s="143"/>
      <c r="W57" s="143"/>
      <c r="X57" s="143"/>
      <c r="Y57" s="143"/>
      <c r="Z57" s="143"/>
      <c r="AA57" s="210">
        <f t="shared" ref="AA57:AA64" si="26">IF($I57="B1","",SUM(O57:Z57))</f>
        <v>0</v>
      </c>
      <c r="AB57" s="144" t="str">
        <f t="shared" ref="AB57:AB64" si="27">IF(AA57=0,"",IFERROR(AA57/AA$19,""))</f>
        <v/>
      </c>
      <c r="AC57" s="140"/>
      <c r="AD57" s="143"/>
      <c r="AE57" s="144" t="str">
        <f t="shared" ref="AE57:AE64" si="28">IF(AD57=0,"",IFERROR(AD57/AD$19,""))</f>
        <v/>
      </c>
      <c r="AF57" s="145">
        <f t="shared" ref="AF57:AF64" si="29">IF(AND($AA57="",AD57=""),"",$AA57-AD57)</f>
        <v>0</v>
      </c>
      <c r="AG57" s="143">
        <v>4.22</v>
      </c>
      <c r="AH57" s="144">
        <f t="shared" ref="AH57:AH64" si="30">IF(AG57=0,"",IFERROR(AG57/AG$19,""))</f>
        <v>8.0946103117160202E-7</v>
      </c>
      <c r="AI57" s="145">
        <f t="shared" ref="AI57:AI64" si="31">IF(AND($AA57="",AG57=""),"",$AA57-AG57)</f>
        <v>-4.22</v>
      </c>
      <c r="AJ57" s="440">
        <f t="shared" ref="AJ57:AJ64" si="32">IFERROR(AA57/AA$20,0)</f>
        <v>0</v>
      </c>
      <c r="AK57" s="441">
        <f t="shared" ref="AK57:AK64" si="33">IFERROR(AD57/AD$20,0)</f>
        <v>0</v>
      </c>
      <c r="AL57" s="442">
        <f t="shared" ref="AL57:AL64" si="34">IFERROR(AG57/AG$20,0)</f>
        <v>8.734889882430866E-5</v>
      </c>
      <c r="AM57" s="443">
        <f t="shared" ref="AM57:AM64" si="35">+IFERROR(ROUND(($AB57-AE57)*100,2)&amp;" pts.",0)</f>
        <v>0</v>
      </c>
      <c r="AN57" s="444">
        <f t="shared" ref="AN57:AN64" si="36">+IFERROR(ROUND(($AB57-AH57)*100,2)&amp;" pts.",0)</f>
        <v>0</v>
      </c>
      <c r="AO57" s="11"/>
    </row>
    <row r="58" spans="1:41" x14ac:dyDescent="0.35">
      <c r="A58" s="65" t="s">
        <v>11</v>
      </c>
      <c r="B58" s="66" t="s">
        <v>21</v>
      </c>
      <c r="C58" s="11"/>
      <c r="D58" s="11"/>
      <c r="E58" s="11"/>
      <c r="F58" s="11"/>
      <c r="G58" s="11"/>
      <c r="H58" s="88" t="s">
        <v>831</v>
      </c>
      <c r="I58" s="122" t="str">
        <f>IF(_epmOfflineCondition_,"T4",_xll.EVPRO($B$1,$H58,"STYLE"))</f>
        <v>T4</v>
      </c>
      <c r="J58" s="122" t="str">
        <f>IF(_epmOfflineCondition_,"Y",_xll.EVPRO($B$1,$H58,"CALC"))</f>
        <v>Y</v>
      </c>
      <c r="K58" s="179" t="str">
        <f t="shared" si="25"/>
        <v>&gt;</v>
      </c>
      <c r="L58" s="90" t="str">
        <f>IF(_epmOfflineCondition_,"701500",_xll.EVPRO($B$1,H58,"JDEID"))</f>
        <v>701500</v>
      </c>
      <c r="M58" s="90" t="str">
        <f>IF(_epmOfflineCondition_,"",IF(AND(I58="N",J58="N"),_xll.EVPRO($B$1,H58,"PSFTID"),""))</f>
        <v/>
      </c>
      <c r="N58" s="90" t="str">
        <f>IF(_epmOfflineCondition_,"Operating Supplies",IF(_xll.EVDES(H58,$B$1)="#NODATA","",_xll.EVDES(H58,$B$1)))</f>
        <v>Operating Supplies</v>
      </c>
      <c r="O58" s="143"/>
      <c r="P58" s="143"/>
      <c r="Q58" s="143"/>
      <c r="R58" s="143"/>
      <c r="S58" s="143"/>
      <c r="T58" s="143"/>
      <c r="U58" s="143"/>
      <c r="V58" s="143"/>
      <c r="W58" s="143"/>
      <c r="X58" s="143"/>
      <c r="Y58" s="143"/>
      <c r="Z58" s="143"/>
      <c r="AA58" s="210">
        <f t="shared" si="26"/>
        <v>0</v>
      </c>
      <c r="AB58" s="144" t="str">
        <f t="shared" si="27"/>
        <v/>
      </c>
      <c r="AC58" s="140"/>
      <c r="AD58" s="143"/>
      <c r="AE58" s="144" t="str">
        <f t="shared" si="28"/>
        <v/>
      </c>
      <c r="AF58" s="145">
        <f t="shared" si="29"/>
        <v>0</v>
      </c>
      <c r="AG58" s="143">
        <v>0.22</v>
      </c>
      <c r="AH58" s="144">
        <f t="shared" si="30"/>
        <v>4.2199390250652241E-8</v>
      </c>
      <c r="AI58" s="145">
        <f t="shared" si="31"/>
        <v>-0.22</v>
      </c>
      <c r="AJ58" s="440">
        <f t="shared" si="32"/>
        <v>0</v>
      </c>
      <c r="AK58" s="441">
        <f t="shared" si="33"/>
        <v>0</v>
      </c>
      <c r="AL58" s="442">
        <f t="shared" si="34"/>
        <v>4.5537340619307832E-6</v>
      </c>
      <c r="AM58" s="443">
        <f t="shared" si="35"/>
        <v>0</v>
      </c>
      <c r="AN58" s="444">
        <f t="shared" si="36"/>
        <v>0</v>
      </c>
      <c r="AO58" s="11"/>
    </row>
    <row r="59" spans="1:41" x14ac:dyDescent="0.35">
      <c r="A59" s="65" t="s">
        <v>12</v>
      </c>
      <c r="B59" s="66" t="s">
        <v>22</v>
      </c>
      <c r="C59" s="11"/>
      <c r="D59" s="11"/>
      <c r="E59" s="11"/>
      <c r="F59" s="11"/>
      <c r="G59" s="11"/>
      <c r="H59" s="88" t="s">
        <v>832</v>
      </c>
      <c r="I59" s="122" t="str">
        <f>IF(_epmOfflineCondition_,"T4",_xll.EVPRO($B$1,$H59,"STYLE"))</f>
        <v>T4</v>
      </c>
      <c r="J59" s="122" t="str">
        <f>IF(_epmOfflineCondition_,"Y",_xll.EVPRO($B$1,$H59,"CALC"))</f>
        <v>Y</v>
      </c>
      <c r="K59" s="179" t="str">
        <f t="shared" si="25"/>
        <v>&gt;</v>
      </c>
      <c r="L59" s="90" t="str">
        <f>IF(_epmOfflineCondition_,"",_xll.EVPRO($B$1,H59,"JDEID"))</f>
        <v/>
      </c>
      <c r="M59" s="90" t="str">
        <f>IF(_epmOfflineCondition_,"",IF(AND(I59="N",J59="N"),_xll.EVPRO($B$1,H59,"PSFTID"),""))</f>
        <v/>
      </c>
      <c r="N59" s="90" t="str">
        <f>IF(_epmOfflineCondition_,"Contract Services",IF(_xll.EVDES(H59,$B$1)="#NODATA","",_xll.EVDES(H59,$B$1)))</f>
        <v>Contract Services</v>
      </c>
      <c r="O59" s="143"/>
      <c r="P59" s="143">
        <v>70</v>
      </c>
      <c r="Q59" s="143">
        <v>51.42</v>
      </c>
      <c r="R59" s="143">
        <v>-5924.07</v>
      </c>
      <c r="S59" s="143">
        <v>973.94</v>
      </c>
      <c r="T59" s="143">
        <v>50</v>
      </c>
      <c r="U59" s="143"/>
      <c r="V59" s="143">
        <v>140</v>
      </c>
      <c r="W59" s="143">
        <v>482.67</v>
      </c>
      <c r="X59" s="143">
        <v>560</v>
      </c>
      <c r="Y59" s="143">
        <v>1533.6</v>
      </c>
      <c r="Z59" s="143">
        <v>350</v>
      </c>
      <c r="AA59" s="210">
        <f t="shared" si="26"/>
        <v>-1712.4399999999991</v>
      </c>
      <c r="AB59" s="144">
        <f t="shared" si="27"/>
        <v>-1.4382366672204745E-4</v>
      </c>
      <c r="AC59" s="140"/>
      <c r="AD59" s="143">
        <v>360</v>
      </c>
      <c r="AE59" s="144">
        <f t="shared" si="28"/>
        <v>4.3203448406581383E-5</v>
      </c>
      <c r="AF59" s="145">
        <f t="shared" si="29"/>
        <v>-2072.4399999999991</v>
      </c>
      <c r="AG59" s="143">
        <v>1570.06</v>
      </c>
      <c r="AH59" s="144">
        <f t="shared" si="30"/>
        <v>3.0116170298608659E-4</v>
      </c>
      <c r="AI59" s="145">
        <f t="shared" si="31"/>
        <v>-3282.4999999999991</v>
      </c>
      <c r="AJ59" s="440">
        <f t="shared" si="32"/>
        <v>-3.5542548775425467E-2</v>
      </c>
      <c r="AK59" s="441">
        <f t="shared" si="33"/>
        <v>7.4719800747198011E-3</v>
      </c>
      <c r="AL59" s="442">
        <f t="shared" si="34"/>
        <v>3.2498344096704754E-2</v>
      </c>
      <c r="AM59" s="443" t="str">
        <f t="shared" si="35"/>
        <v>-0.02 pts.</v>
      </c>
      <c r="AN59" s="444" t="str">
        <f t="shared" si="36"/>
        <v>-0.04 pts.</v>
      </c>
      <c r="AO59" s="11"/>
    </row>
    <row r="60" spans="1:41" x14ac:dyDescent="0.35">
      <c r="A60" s="65" t="s">
        <v>13</v>
      </c>
      <c r="B60" s="66" t="s">
        <v>505</v>
      </c>
      <c r="C60" s="11"/>
      <c r="D60" s="11"/>
      <c r="E60" s="11"/>
      <c r="F60" s="11"/>
      <c r="G60" s="11"/>
      <c r="H60" s="88" t="s">
        <v>833</v>
      </c>
      <c r="I60" s="122" t="str">
        <f>IF(_epmOfflineCondition_,"T4",_xll.EVPRO($B$1,$H60,"STYLE"))</f>
        <v>T4</v>
      </c>
      <c r="J60" s="122" t="str">
        <f>IF(_epmOfflineCondition_,"Y",_xll.EVPRO($B$1,$H60,"CALC"))</f>
        <v>Y</v>
      </c>
      <c r="K60" s="179" t="str">
        <f t="shared" si="25"/>
        <v>&gt;</v>
      </c>
      <c r="L60" s="90" t="str">
        <f>IF(_epmOfflineCondition_,"",_xll.EVPRO($B$1,H60,"JDEID"))</f>
        <v/>
      </c>
      <c r="M60" s="90" t="str">
        <f>IF(_epmOfflineCondition_,"",IF(AND(I60="N",J60="N"),_xll.EVPRO($B$1,H60,"PSFTID"),""))</f>
        <v/>
      </c>
      <c r="N60" s="90" t="str">
        <f>IF(_epmOfflineCondition_,"Travel - Other",IF(_xll.EVDES(H60,$B$1)="#NODATA","",_xll.EVDES(H60,$B$1)))</f>
        <v>Travel - Other</v>
      </c>
      <c r="O60" s="143"/>
      <c r="P60" s="143"/>
      <c r="Q60" s="143"/>
      <c r="R60" s="143"/>
      <c r="S60" s="143"/>
      <c r="T60" s="143"/>
      <c r="U60" s="143">
        <v>3.78</v>
      </c>
      <c r="V60" s="143">
        <v>11.58</v>
      </c>
      <c r="W60" s="143">
        <v>1.82</v>
      </c>
      <c r="X60" s="143">
        <v>10</v>
      </c>
      <c r="Y60" s="143"/>
      <c r="Z60" s="143">
        <v>27.55</v>
      </c>
      <c r="AA60" s="210">
        <f t="shared" si="26"/>
        <v>54.730000000000004</v>
      </c>
      <c r="AB60" s="144">
        <f t="shared" si="27"/>
        <v>4.596639461644006E-6</v>
      </c>
      <c r="AC60" s="140"/>
      <c r="AD60" s="143"/>
      <c r="AE60" s="144" t="str">
        <f t="shared" si="28"/>
        <v/>
      </c>
      <c r="AF60" s="145">
        <f t="shared" si="29"/>
        <v>54.730000000000004</v>
      </c>
      <c r="AG60" s="143">
        <v>-14.79</v>
      </c>
      <c r="AH60" s="144">
        <f t="shared" si="30"/>
        <v>-2.8369499173052118E-6</v>
      </c>
      <c r="AI60" s="145">
        <f t="shared" si="31"/>
        <v>69.52000000000001</v>
      </c>
      <c r="AJ60" s="440">
        <f t="shared" si="32"/>
        <v>1.1359485263594854E-3</v>
      </c>
      <c r="AK60" s="441">
        <f t="shared" si="33"/>
        <v>0</v>
      </c>
      <c r="AL60" s="442">
        <f t="shared" si="34"/>
        <v>-3.0613512170889217E-4</v>
      </c>
      <c r="AM60" s="443">
        <f t="shared" si="35"/>
        <v>0</v>
      </c>
      <c r="AN60" s="444" t="str">
        <f t="shared" si="36"/>
        <v>0 pts.</v>
      </c>
      <c r="AO60" s="11"/>
    </row>
    <row r="61" spans="1:41" x14ac:dyDescent="0.35">
      <c r="A61" s="65" t="s">
        <v>14</v>
      </c>
      <c r="B61" s="608"/>
      <c r="C61" s="11"/>
      <c r="D61" s="11"/>
      <c r="E61" s="11"/>
      <c r="F61" s="11"/>
      <c r="G61" s="11"/>
      <c r="H61" s="88" t="s">
        <v>883</v>
      </c>
      <c r="I61" s="122" t="str">
        <f>IF(_epmOfflineCondition_,"N",_xll.EVPRO($B$1,$H61,"STYLE"))</f>
        <v>N</v>
      </c>
      <c r="J61" s="122" t="str">
        <f>IF(_epmOfflineCondition_,"N",_xll.EVPRO($B$1,$H61,"CALC"))</f>
        <v>N</v>
      </c>
      <c r="K61" s="179" t="str">
        <f t="shared" si="25"/>
        <v/>
      </c>
      <c r="L61" s="90" t="str">
        <f>IF(_epmOfflineCondition_,"703100",_xll.EVPRO($B$1,H61,"JDEID"))</f>
        <v>703100</v>
      </c>
      <c r="M61" s="90" t="str">
        <f>IF(_epmOfflineCondition_,"690035",IF(AND(I61="N",J61="N"),_xll.EVPRO($B$1,H61,"PSFTID"),""))</f>
        <v>690035</v>
      </c>
      <c r="N61" s="90" t="str">
        <f>IF(_epmOfflineCondition_,"Training",IF(_xll.EVDES(H61,$B$1)="#NODATA","",_xll.EVDES(H61,$B$1)))</f>
        <v>Training</v>
      </c>
      <c r="O61" s="143"/>
      <c r="P61" s="143"/>
      <c r="Q61" s="143"/>
      <c r="R61" s="143"/>
      <c r="S61" s="143"/>
      <c r="T61" s="143"/>
      <c r="U61" s="143"/>
      <c r="V61" s="143"/>
      <c r="W61" s="143"/>
      <c r="X61" s="143">
        <v>17.14</v>
      </c>
      <c r="Y61" s="143">
        <v>1.05</v>
      </c>
      <c r="Z61" s="143"/>
      <c r="AA61" s="210">
        <f t="shared" si="26"/>
        <v>18.190000000000001</v>
      </c>
      <c r="AB61" s="144">
        <f t="shared" si="27"/>
        <v>1.5277338170528864E-6</v>
      </c>
      <c r="AC61" s="140"/>
      <c r="AD61" s="143"/>
      <c r="AE61" s="144" t="str">
        <f t="shared" si="28"/>
        <v/>
      </c>
      <c r="AF61" s="145">
        <f t="shared" si="29"/>
        <v>18.190000000000001</v>
      </c>
      <c r="AG61" s="143"/>
      <c r="AH61" s="144" t="str">
        <f t="shared" si="30"/>
        <v/>
      </c>
      <c r="AI61" s="145">
        <f t="shared" si="31"/>
        <v>18.190000000000001</v>
      </c>
      <c r="AJ61" s="440">
        <f t="shared" si="32"/>
        <v>3.7754254877542552E-4</v>
      </c>
      <c r="AK61" s="441">
        <f t="shared" si="33"/>
        <v>0</v>
      </c>
      <c r="AL61" s="442">
        <f t="shared" si="34"/>
        <v>0</v>
      </c>
      <c r="AM61" s="443">
        <f t="shared" si="35"/>
        <v>0</v>
      </c>
      <c r="AN61" s="444">
        <f t="shared" si="36"/>
        <v>0</v>
      </c>
      <c r="AO61" s="11"/>
    </row>
    <row r="62" spans="1:41" x14ac:dyDescent="0.35">
      <c r="A62" s="65" t="s">
        <v>15</v>
      </c>
      <c r="B62" s="66"/>
      <c r="C62" s="11"/>
      <c r="D62" s="11"/>
      <c r="E62" s="11"/>
      <c r="F62" s="11"/>
      <c r="G62" s="11"/>
      <c r="H62" s="88" t="s">
        <v>887</v>
      </c>
      <c r="I62" s="122" t="str">
        <f>IF(_epmOfflineCondition_,"N",_xll.EVPRO($B$1,$H62,"STYLE"))</f>
        <v>N</v>
      </c>
      <c r="J62" s="122" t="str">
        <f>IF(_epmOfflineCondition_,"N",_xll.EVPRO($B$1,$H62,"CALC"))</f>
        <v>N</v>
      </c>
      <c r="K62" s="179" t="str">
        <f t="shared" si="25"/>
        <v/>
      </c>
      <c r="L62" s="90" t="str">
        <f>IF(_epmOfflineCondition_,"706060",_xll.EVPRO($B$1,H62,"JDEID"))</f>
        <v>706060</v>
      </c>
      <c r="M62" s="90" t="str">
        <f>IF(_epmOfflineCondition_,"690230",IF(AND(I62="N",J62="N"),_xll.EVPRO($B$1,H62,"PSFTID"),""))</f>
        <v>690230</v>
      </c>
      <c r="N62" s="90" t="str">
        <f>IF(_epmOfflineCondition_,"Other Equipment",IF(_xll.EVDES(H62,$B$1)="#NODATA","",_xll.EVDES(H62,$B$1)))</f>
        <v>Other Equipment</v>
      </c>
      <c r="O62" s="143"/>
      <c r="P62" s="143"/>
      <c r="Q62" s="143"/>
      <c r="R62" s="143">
        <v>0.3</v>
      </c>
      <c r="S62" s="143"/>
      <c r="T62" s="143"/>
      <c r="U62" s="143"/>
      <c r="V62" s="143"/>
      <c r="W62" s="143"/>
      <c r="X62" s="143"/>
      <c r="Y62" s="143"/>
      <c r="Z62" s="143"/>
      <c r="AA62" s="210">
        <f t="shared" si="26"/>
        <v>0.3</v>
      </c>
      <c r="AB62" s="144">
        <f t="shared" si="27"/>
        <v>2.5196269660025611E-8</v>
      </c>
      <c r="AC62" s="140"/>
      <c r="AD62" s="143"/>
      <c r="AE62" s="144" t="str">
        <f t="shared" si="28"/>
        <v/>
      </c>
      <c r="AF62" s="145">
        <f t="shared" si="29"/>
        <v>0.3</v>
      </c>
      <c r="AG62" s="143"/>
      <c r="AH62" s="144" t="str">
        <f t="shared" si="30"/>
        <v/>
      </c>
      <c r="AI62" s="145">
        <f t="shared" si="31"/>
        <v>0.3</v>
      </c>
      <c r="AJ62" s="440">
        <f t="shared" si="32"/>
        <v>6.2266500622665006E-6</v>
      </c>
      <c r="AK62" s="441">
        <f t="shared" si="33"/>
        <v>0</v>
      </c>
      <c r="AL62" s="442">
        <f t="shared" si="34"/>
        <v>0</v>
      </c>
      <c r="AM62" s="443">
        <f t="shared" si="35"/>
        <v>0</v>
      </c>
      <c r="AN62" s="444">
        <f t="shared" si="36"/>
        <v>0</v>
      </c>
      <c r="AO62" s="11"/>
    </row>
    <row r="63" spans="1:41" x14ac:dyDescent="0.35">
      <c r="A63" s="65" t="s">
        <v>16</v>
      </c>
      <c r="B63" s="66"/>
      <c r="C63" s="11"/>
      <c r="D63" s="11"/>
      <c r="E63" s="11"/>
      <c r="F63" s="11"/>
      <c r="G63" s="11"/>
      <c r="H63" s="88" t="s">
        <v>845</v>
      </c>
      <c r="I63" s="122" t="str">
        <f>IF(_epmOfflineCondition_,"T4",_xll.EVPRO($B$1,$H63,"STYLE"))</f>
        <v>T4</v>
      </c>
      <c r="J63" s="122" t="str">
        <f>IF(_epmOfflineCondition_,"Y",_xll.EVPRO($B$1,$H63,"CALC"))</f>
        <v>Y</v>
      </c>
      <c r="K63" s="179" t="str">
        <f t="shared" si="25"/>
        <v>&gt;</v>
      </c>
      <c r="L63" s="90" t="str">
        <f>IF(_epmOfflineCondition_,"706500",_xll.EVPRO($B$1,H63,"JDEID"))</f>
        <v>706500</v>
      </c>
      <c r="M63" s="90" t="str">
        <f>IF(_epmOfflineCondition_,"",IF(AND(I63="N",J63="N"),_xll.EVPRO($B$1,H63,"PSFTID"),""))</f>
        <v/>
      </c>
      <c r="N63" s="90" t="str">
        <f>IF(_epmOfflineCondition_,"Corporate Office Reimbursement",IF(_xll.EVDES(H63,$B$1)="#NODATA","",_xll.EVDES(H63,$B$1)))</f>
        <v>Corporate Office Reimbursement</v>
      </c>
      <c r="O63" s="143">
        <v>4678.41</v>
      </c>
      <c r="P63" s="143">
        <v>5491.06</v>
      </c>
      <c r="Q63" s="143">
        <v>6988.93</v>
      </c>
      <c r="R63" s="143">
        <v>6924.08</v>
      </c>
      <c r="S63" s="143">
        <v>7909.5</v>
      </c>
      <c r="T63" s="143">
        <v>6828.42</v>
      </c>
      <c r="U63" s="143">
        <v>7577.4</v>
      </c>
      <c r="V63" s="143">
        <v>4910.5</v>
      </c>
      <c r="W63" s="143">
        <v>3220.52</v>
      </c>
      <c r="X63" s="143">
        <v>4719.74</v>
      </c>
      <c r="Y63" s="143">
        <v>6277.04</v>
      </c>
      <c r="Z63" s="143">
        <v>8496.17</v>
      </c>
      <c r="AA63" s="210">
        <f t="shared" si="26"/>
        <v>74021.77</v>
      </c>
      <c r="AB63" s="144">
        <f t="shared" si="27"/>
        <v>6.2169082587746468E-3</v>
      </c>
      <c r="AC63" s="140"/>
      <c r="AD63" s="143">
        <v>55035.652116065401</v>
      </c>
      <c r="AE63" s="144">
        <f t="shared" si="28"/>
        <v>6.6048054353305364E-3</v>
      </c>
      <c r="AF63" s="145">
        <f t="shared" si="29"/>
        <v>18986.117883934603</v>
      </c>
      <c r="AG63" s="143">
        <v>33253.39</v>
      </c>
      <c r="AH63" s="144">
        <f t="shared" si="30"/>
        <v>6.3785126443960758E-3</v>
      </c>
      <c r="AI63" s="145">
        <f t="shared" si="31"/>
        <v>40768.380000000005</v>
      </c>
      <c r="AJ63" s="440">
        <f t="shared" si="32"/>
        <v>1.5363588625985887</v>
      </c>
      <c r="AK63" s="441">
        <f t="shared" si="33"/>
        <v>1.1422924889179202</v>
      </c>
      <c r="AL63" s="442">
        <f t="shared" si="34"/>
        <v>0.68830497598940221</v>
      </c>
      <c r="AM63" s="443" t="str">
        <f t="shared" si="35"/>
        <v>-0.04 pts.</v>
      </c>
      <c r="AN63" s="444" t="str">
        <f t="shared" si="36"/>
        <v>-0.02 pts.</v>
      </c>
      <c r="AO63" s="11"/>
    </row>
    <row r="64" spans="1:41" x14ac:dyDescent="0.35">
      <c r="A64" s="65" t="s">
        <v>17</v>
      </c>
      <c r="B64" s="66"/>
      <c r="C64" s="11"/>
      <c r="D64" s="11"/>
      <c r="E64" s="11"/>
      <c r="F64" s="11"/>
      <c r="G64" s="11"/>
      <c r="H64" s="88" t="s">
        <v>79</v>
      </c>
      <c r="I64" s="136" t="str">
        <f>IF(_epmOfflineCondition_,"T3",_xll.EVPRO($B$1,$H64,"STYLE"))</f>
        <v>T3</v>
      </c>
      <c r="J64" s="136" t="str">
        <f>IF(_epmOfflineCondition_,"Y",_xll.EVPRO($B$1,$H64,"CALC"))</f>
        <v>Y</v>
      </c>
      <c r="K64" s="104"/>
      <c r="L64" s="59"/>
      <c r="M64" s="59"/>
      <c r="N64" s="106" t="str">
        <f>IF(_epmOfflineCondition_,"Total Operations Expense",IF(_xll.EVDES(H64,$B$1)="#NODATA","",_xll.EVDES(H64,$B$1)))</f>
        <v>Total Operations Expense</v>
      </c>
      <c r="O64" s="112">
        <f t="shared" ref="O64:Z64" si="37">SUM(O57:O63)</f>
        <v>4678.41</v>
      </c>
      <c r="P64" s="112">
        <f t="shared" si="37"/>
        <v>5561.06</v>
      </c>
      <c r="Q64" s="112">
        <f t="shared" si="37"/>
        <v>7040.35</v>
      </c>
      <c r="R64" s="112">
        <f t="shared" si="37"/>
        <v>1000.3100000000004</v>
      </c>
      <c r="S64" s="112">
        <f t="shared" si="37"/>
        <v>8883.44</v>
      </c>
      <c r="T64" s="112">
        <f t="shared" si="37"/>
        <v>6878.42</v>
      </c>
      <c r="U64" s="112">
        <f t="shared" si="37"/>
        <v>7581.1799999999994</v>
      </c>
      <c r="V64" s="112">
        <f t="shared" si="37"/>
        <v>5062.08</v>
      </c>
      <c r="W64" s="112">
        <f t="shared" si="37"/>
        <v>3705.01</v>
      </c>
      <c r="X64" s="112">
        <f t="shared" si="37"/>
        <v>5306.88</v>
      </c>
      <c r="Y64" s="112">
        <f t="shared" si="37"/>
        <v>7811.69</v>
      </c>
      <c r="Z64" s="112">
        <f t="shared" si="37"/>
        <v>8873.7199999999993</v>
      </c>
      <c r="AA64" s="112">
        <f t="shared" si="26"/>
        <v>72382.55</v>
      </c>
      <c r="AB64" s="113">
        <f t="shared" si="27"/>
        <v>6.0792341616009568E-3</v>
      </c>
      <c r="AC64" s="11"/>
      <c r="AD64" s="112">
        <f>SUM(AD57:AD63)</f>
        <v>55395.652116065401</v>
      </c>
      <c r="AE64" s="113">
        <f t="shared" si="28"/>
        <v>6.6480088837371177E-3</v>
      </c>
      <c r="AF64" s="114">
        <f t="shared" si="29"/>
        <v>16986.897883934602</v>
      </c>
      <c r="AG64" s="112">
        <f>SUM(AG57:AG63)</f>
        <v>34813.1</v>
      </c>
      <c r="AH64" s="113">
        <f t="shared" si="30"/>
        <v>6.6776890578862788E-3</v>
      </c>
      <c r="AI64" s="114">
        <f t="shared" si="31"/>
        <v>37569.450000000004</v>
      </c>
      <c r="AJ64" s="415">
        <f t="shared" si="32"/>
        <v>1.5023360315483605</v>
      </c>
      <c r="AK64" s="416">
        <f t="shared" si="33"/>
        <v>1.1497644689926401</v>
      </c>
      <c r="AL64" s="417">
        <f t="shared" si="34"/>
        <v>0.72058908759728424</v>
      </c>
      <c r="AM64" s="418" t="str">
        <f t="shared" si="35"/>
        <v>-0.06 pts.</v>
      </c>
      <c r="AN64" s="543" t="str">
        <f t="shared" si="36"/>
        <v>-0.06 pts.</v>
      </c>
      <c r="AO64" s="11"/>
    </row>
    <row r="65" spans="1:41" x14ac:dyDescent="0.35">
      <c r="A65" s="11"/>
      <c r="B65" s="11"/>
      <c r="C65" s="11"/>
      <c r="D65" s="11"/>
      <c r="E65" s="11"/>
      <c r="F65" s="11"/>
      <c r="G65" s="11"/>
      <c r="H65" s="11"/>
      <c r="I65" s="59"/>
      <c r="J65" s="59"/>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208"/>
      <c r="D66" s="11"/>
      <c r="E66" s="11"/>
      <c r="F66" s="11"/>
      <c r="G66" s="11"/>
      <c r="H66" s="88" t="s">
        <v>80</v>
      </c>
      <c r="I66" s="136" t="str">
        <f>IF(_epmOfflineCondition_,"T3",_xll.EVPRO($B$1,$H66,"STYLE"))</f>
        <v>T3</v>
      </c>
      <c r="J66" s="136" t="str">
        <f>IF(_epmOfflineCondition_,"Y",_xll.EVPRO($B$1,$H66,"CALC"))</f>
        <v>Y</v>
      </c>
      <c r="K66" s="106"/>
      <c r="L66" s="59"/>
      <c r="M66" s="59"/>
      <c r="N66" s="106" t="str">
        <f>IF(_epmOfflineCondition_,"Total Expenses",IF(_xll.EVDES(H66,$B$1)="#NODATA","",_xll.EVDES(H66,$B$1)))</f>
        <v>Total Expenses</v>
      </c>
      <c r="O66" s="238">
        <v>26760.67</v>
      </c>
      <c r="P66" s="238">
        <v>16914.04</v>
      </c>
      <c r="Q66" s="238">
        <v>18903.21</v>
      </c>
      <c r="R66" s="238">
        <v>4661.1400000000003</v>
      </c>
      <c r="S66" s="238">
        <v>15661.61</v>
      </c>
      <c r="T66" s="238">
        <v>15895.3</v>
      </c>
      <c r="U66" s="238">
        <v>14704.58</v>
      </c>
      <c r="V66" s="238">
        <v>12850.48</v>
      </c>
      <c r="W66" s="238">
        <v>9838.23</v>
      </c>
      <c r="X66" s="238">
        <v>11750</v>
      </c>
      <c r="Y66" s="238">
        <v>17450.560000000001</v>
      </c>
      <c r="Z66" s="238">
        <v>16717.22</v>
      </c>
      <c r="AA66" s="238">
        <f>IF($I66="B1","",SUM(O66:Z66))</f>
        <v>182107.04</v>
      </c>
      <c r="AB66" s="239">
        <f>IF(AA66=0,"",IFERROR(AA66/AA$19,""))</f>
        <v>1.5294726956096903E-2</v>
      </c>
      <c r="AC66" s="140"/>
      <c r="AD66" s="238">
        <v>164138.652116065</v>
      </c>
      <c r="AE66" s="239">
        <f>IF(AD66=0,"",IFERROR(AD66/AD$19,""))</f>
        <v>1.9698210522839512E-2</v>
      </c>
      <c r="AF66" s="254">
        <f>IF(AND($AA66="",AD66=""),"",$AA66-AD66)</f>
        <v>17968.387883935007</v>
      </c>
      <c r="AG66" s="255">
        <v>124354.04</v>
      </c>
      <c r="AH66" s="256">
        <f>IF(AG66=0,"",IFERROR(AG66/AG$19,""))</f>
        <v>2.3853021196387356E-2</v>
      </c>
      <c r="AI66" s="254">
        <f>IF(AND($AA66="",AG66=""),"",$AA66-AG66)</f>
        <v>57753.000000000015</v>
      </c>
      <c r="AJ66" s="466">
        <f>IFERROR(AA66/AA$20,0)</f>
        <v>3.7797227065172274</v>
      </c>
      <c r="AK66" s="467">
        <f>IFERROR(AD66/AD$20,0)</f>
        <v>3.4067798280627852</v>
      </c>
      <c r="AL66" s="468">
        <f>IFERROR(AG66/AG$20,0)</f>
        <v>2.5739783076668323</v>
      </c>
      <c r="AM66" s="469" t="str">
        <f>+IFERROR(ROUND(($AB66-AE66)*100,2)&amp;" pts.",0)</f>
        <v>-0.44 pts.</v>
      </c>
      <c r="AN66" s="556" t="str">
        <f>+IFERROR(ROUND(($AB66-AH66)*100,2)&amp;" pts.",0)</f>
        <v>-0.86 pts.</v>
      </c>
      <c r="AO66" s="11"/>
    </row>
    <row r="67" spans="1:41" ht="15" thickBot="1" x14ac:dyDescent="0.4">
      <c r="A67" s="11"/>
      <c r="B67" s="11"/>
      <c r="C67" s="11"/>
      <c r="D67" s="11"/>
      <c r="E67" s="11"/>
      <c r="F67" s="11"/>
      <c r="G67" s="11"/>
      <c r="H67" s="88" t="s">
        <v>81</v>
      </c>
      <c r="I67" s="136" t="str">
        <f>IF(_epmOfflineCondition_,"T3",_xll.EVPRO($B$1,$H67,"STYLE"))</f>
        <v>T3</v>
      </c>
      <c r="J67" s="136" t="str">
        <f>IF(_epmOfflineCondition_,"Y",_xll.EVPRO($B$1,$H67,"CALC"))</f>
        <v>Y</v>
      </c>
      <c r="K67" s="106"/>
      <c r="L67" s="59"/>
      <c r="M67" s="59"/>
      <c r="N67" s="106" t="str">
        <f>IF(_epmOfflineCondition_,"Department Profit (Loss)",IF(_xll.EVDES(H67,$B$1)="#NODATA","",_xll.EVDES(H67,$B$1)))</f>
        <v>Department Profit (Loss)</v>
      </c>
      <c r="O67" s="169">
        <v>-26760.67</v>
      </c>
      <c r="P67" s="169">
        <v>-16914.04</v>
      </c>
      <c r="Q67" s="169">
        <v>-18903.21</v>
      </c>
      <c r="R67" s="169">
        <v>-4661.1400000000003</v>
      </c>
      <c r="S67" s="169">
        <v>-15661.61</v>
      </c>
      <c r="T67" s="169">
        <v>-15895.3</v>
      </c>
      <c r="U67" s="169">
        <v>-14704.58</v>
      </c>
      <c r="V67" s="169">
        <v>-12850.48</v>
      </c>
      <c r="W67" s="169">
        <v>-9838.23</v>
      </c>
      <c r="X67" s="169">
        <v>-11750</v>
      </c>
      <c r="Y67" s="169">
        <v>-17450.560000000001</v>
      </c>
      <c r="Z67" s="169">
        <v>-16717.22</v>
      </c>
      <c r="AA67" s="169">
        <f>IF($I67="B1","",SUM(O67:Z67))</f>
        <v>-182107.04</v>
      </c>
      <c r="AB67" s="170">
        <f>IF(AA67=0,"",IFERROR(AA67/AA$19,""))</f>
        <v>-1.5294726956096903E-2</v>
      </c>
      <c r="AC67" s="140"/>
      <c r="AD67" s="169">
        <v>-164138.652116065</v>
      </c>
      <c r="AE67" s="170">
        <f>IF(AD67=0,"",IFERROR(AD67/AD$19,""))</f>
        <v>-1.9698210522839512E-2</v>
      </c>
      <c r="AF67" s="171">
        <f>IF(AND($AA67="",AD67=""),"",$AA67-AD67)</f>
        <v>-17968.387883935007</v>
      </c>
      <c r="AG67" s="169">
        <v>-124354.04</v>
      </c>
      <c r="AH67" s="170">
        <f>IF(AG67=0,"",IFERROR(AG67/AG$19,""))</f>
        <v>-2.3853021196387356E-2</v>
      </c>
      <c r="AI67" s="171">
        <f>IF(AND($AA67="",AG67=""),"",$AA67-AG67)</f>
        <v>-57753.000000000015</v>
      </c>
      <c r="AJ67" s="483">
        <f>IFERROR(AA67/AA$20,0)</f>
        <v>-3.7797227065172274</v>
      </c>
      <c r="AK67" s="484">
        <f>IFERROR(AD67/AD$20,0)</f>
        <v>-3.4067798280627852</v>
      </c>
      <c r="AL67" s="485">
        <f>IFERROR(AG67/AG$20,0)</f>
        <v>-2.5739783076668323</v>
      </c>
      <c r="AM67" s="486" t="str">
        <f>+IFERROR(ROUND(($AB67-AE67)*100,2)&amp;" pts.",0)</f>
        <v>0.44 pts.</v>
      </c>
      <c r="AN67" s="557" t="str">
        <f>+IFERROR(ROUND(($AB67-AH67)*100,2)&amp;" pts.",0)</f>
        <v>0.86 pts.</v>
      </c>
      <c r="AO67" s="11"/>
    </row>
    <row r="68" spans="1:41" ht="15" thickTop="1" x14ac:dyDescent="0.35">
      <c r="A68" s="61" t="str">
        <f>IF(_epmOfflineCondition_,"Evdre:Ok",_xll.EVDRE($B$1,A71:B78,A81:B87))</f>
        <v>Evdre:Ok</v>
      </c>
      <c r="B68" s="11"/>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59"/>
      <c r="M69" s="59"/>
      <c r="N69" s="104" t="str">
        <f>N66&amp;" - Check"</f>
        <v>Total Expenses - Check</v>
      </c>
      <c r="O69" s="209">
        <f t="shared" ref="O69:AA69" si="38">SUMIF($H$35:$H$67,"600000",O$35:O$67)+SUMIF($H$35:$H$67,"707900",O$35:O$67)+SUMIF($H$35:$H$67,"ITSYS_EXP",O$35:O$67)+SUMIF($H$35:$H$67,"700000",O$35:O$67)-SUMIF($H$35:$H$67,"TOTDEPTEXP",O$35:O$67)</f>
        <v>0</v>
      </c>
      <c r="P69" s="209">
        <f t="shared" si="38"/>
        <v>0</v>
      </c>
      <c r="Q69" s="209">
        <f t="shared" si="38"/>
        <v>0</v>
      </c>
      <c r="R69" s="209">
        <f t="shared" si="38"/>
        <v>0</v>
      </c>
      <c r="S69" s="209">
        <f t="shared" si="38"/>
        <v>0</v>
      </c>
      <c r="T69" s="209">
        <f t="shared" si="38"/>
        <v>0</v>
      </c>
      <c r="U69" s="209">
        <f t="shared" si="38"/>
        <v>0</v>
      </c>
      <c r="V69" s="209">
        <f t="shared" si="38"/>
        <v>0</v>
      </c>
      <c r="W69" s="209">
        <f t="shared" si="38"/>
        <v>0</v>
      </c>
      <c r="X69" s="209">
        <f t="shared" si="38"/>
        <v>0</v>
      </c>
      <c r="Y69" s="209">
        <f t="shared" si="38"/>
        <v>0</v>
      </c>
      <c r="Z69" s="209">
        <f t="shared" si="38"/>
        <v>0</v>
      </c>
      <c r="AA69" s="209">
        <f t="shared" si="38"/>
        <v>0</v>
      </c>
      <c r="AB69" s="100"/>
      <c r="AC69" s="11"/>
      <c r="AD69" s="209">
        <f>SUMIF($H$35:$H$67,"600000",AD$35:AD$67)+SUMIF($H$35:$H$67,"707900",AD$35:AD$67)+SUMIF($H$35:$H$67,"ITSYS_EXP",AD$35:AD$67)+SUMIF($H$35:$H$67,"700000",AD$35:AD$67)-SUMIF($H$35:$H$67,"TOTDEPTEXP",AD$35:AD$67)</f>
        <v>4.0745362639427185E-10</v>
      </c>
      <c r="AE69" s="100"/>
      <c r="AF69" s="91"/>
      <c r="AG69" s="209">
        <f>SUMIF($H$35:$H$67,"600000",AG$35:AG$67)+SUMIF($H$35:$H$67,"707900",AG$35:AG$67)+SUMIF($H$35:$H$67,"ITSYS_EXP",AG$35:AG$67)+SUMIF($H$35:$H$67,"700000",AG$35:AG$67)-SUMIF($H$35:$H$67,"TOTDEPTEXP",AG$35:AG$67)</f>
        <v>0</v>
      </c>
      <c r="AH69" s="100"/>
      <c r="AI69" s="91"/>
      <c r="AJ69" s="11"/>
      <c r="AK69" s="11"/>
      <c r="AL69" s="11"/>
      <c r="AM69" s="11"/>
      <c r="AN69" s="11"/>
      <c r="AO69" s="11"/>
    </row>
    <row r="70" spans="1:41" x14ac:dyDescent="0.35">
      <c r="A70" s="62" t="s">
        <v>0</v>
      </c>
      <c r="B70" s="63" t="s">
        <v>1</v>
      </c>
      <c r="C70" s="11"/>
      <c r="D70" s="11"/>
      <c r="E70" s="11"/>
      <c r="F70" s="11"/>
      <c r="G70" s="11"/>
      <c r="H70" s="11"/>
      <c r="I70" s="59"/>
      <c r="J70" s="59"/>
      <c r="K70" s="11"/>
      <c r="L70" s="59"/>
      <c r="M70" s="59"/>
      <c r="N70" s="104" t="str">
        <f>N67&amp;" - Check"</f>
        <v>Department Profit (Loss) - Check</v>
      </c>
      <c r="O70" s="209">
        <f t="shared" ref="O70:AA70" si="39">SUMIF($H$33:$H$67,"TOTDEPTEXP",O$33:O$67)+SUMIF($H$33:$H$67,"TOTDEPTPL",O$33:O$67)</f>
        <v>0</v>
      </c>
      <c r="P70" s="209">
        <f t="shared" si="39"/>
        <v>0</v>
      </c>
      <c r="Q70" s="209">
        <f t="shared" si="39"/>
        <v>0</v>
      </c>
      <c r="R70" s="209">
        <f t="shared" si="39"/>
        <v>0</v>
      </c>
      <c r="S70" s="209">
        <f t="shared" si="39"/>
        <v>0</v>
      </c>
      <c r="T70" s="209">
        <f t="shared" si="39"/>
        <v>0</v>
      </c>
      <c r="U70" s="209">
        <f t="shared" si="39"/>
        <v>0</v>
      </c>
      <c r="V70" s="209">
        <f t="shared" si="39"/>
        <v>0</v>
      </c>
      <c r="W70" s="209">
        <f t="shared" si="39"/>
        <v>0</v>
      </c>
      <c r="X70" s="209">
        <f t="shared" si="39"/>
        <v>0</v>
      </c>
      <c r="Y70" s="209">
        <f t="shared" si="39"/>
        <v>0</v>
      </c>
      <c r="Z70" s="209">
        <f t="shared" si="39"/>
        <v>0</v>
      </c>
      <c r="AA70" s="209">
        <f t="shared" si="39"/>
        <v>0</v>
      </c>
      <c r="AB70" s="100"/>
      <c r="AC70" s="11"/>
      <c r="AD70" s="209">
        <f>SUMIF($H$33:$H$67,"ROOMS_TOT",AD$33:AD$67)-SUMIF($H$33:$H$67,"TOTDEPTEXP",AD$33:AD$67)-SUMIF($H$33:$H$67,"TOTDEPTPL",AD$33:AD$67)</f>
        <v>0</v>
      </c>
      <c r="AE70" s="100"/>
      <c r="AF70" s="91"/>
      <c r="AG70" s="209">
        <f>SUMIF($H$33:$H$67,"ROOMS_TOT",AG$33:AG$67)-SUMIF($H$33:$H$67,"TOTDEPTEXP",AG$33:AG$67)-SUMIF($H$33:$H$67,"TOTDEPTPL",AG$33:AG$67)</f>
        <v>0</v>
      </c>
      <c r="AH70" s="100"/>
      <c r="AI70" s="91"/>
      <c r="AJ70" s="11"/>
      <c r="AK70" s="11"/>
      <c r="AL70" s="11"/>
      <c r="AM70" s="11"/>
      <c r="AN70" s="11"/>
      <c r="AO70" s="11"/>
    </row>
    <row r="71" spans="1:41" x14ac:dyDescent="0.35">
      <c r="A71" s="65" t="s">
        <v>2</v>
      </c>
      <c r="B71" s="66" t="str">
        <f>IF(_epmOfflineCondition_,"'IT'!$B$2:$B$10",_xll.EVRNG($B$2:$B$10))</f>
        <v>'IT'!$B$2:$B$10</v>
      </c>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65" t="s">
        <v>3</v>
      </c>
      <c r="B72" s="66" t="str">
        <f>IF(_epmOfflineCondition_,"'IT'!$O$16:$AN$18",_xll.EVRNG($O$16:$AN$18))</f>
        <v>'IT'!$O$16:$AN$18</v>
      </c>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65" t="s">
        <v>4</v>
      </c>
      <c r="B73" s="66" t="str">
        <f>IF(_epmOfflineCondition_,"'IT'!$H$47:$H$53,'IT'!$H$57:$H$63",_xll.EVRNG(H47:H53,H57:H63))</f>
        <v>'IT'!$H$47:$H$53,'IT'!$H$57:$H$63</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5</v>
      </c>
      <c r="B74" s="66"/>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65" t="s">
        <v>6</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7</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47</v>
      </c>
      <c r="B77" s="66" t="str">
        <f>IF(_epmOfflineCondition_,"'IT'!$A$105:$B$126",_xll.EVRNG($A$105:$B$126))</f>
        <v>'IT'!$A$105:$B$126</v>
      </c>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8</v>
      </c>
      <c r="B78" s="66"/>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2" t="s">
        <v>9</v>
      </c>
      <c r="B80" s="63" t="s">
        <v>10</v>
      </c>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11</v>
      </c>
      <c r="B81" s="66" t="s">
        <v>21</v>
      </c>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12</v>
      </c>
      <c r="B82" s="66" t="s">
        <v>22</v>
      </c>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13</v>
      </c>
      <c r="B83" s="66" t="s">
        <v>503</v>
      </c>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14</v>
      </c>
      <c r="B84" s="608"/>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15</v>
      </c>
      <c r="B85" s="66"/>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16</v>
      </c>
      <c r="B86" s="66" t="s">
        <v>78</v>
      </c>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17</v>
      </c>
      <c r="B87" s="66"/>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208"/>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1" t="str">
        <f>IF(_epmOfflineCondition_,"Evdre:Ok",_xll.EVDRE($B$1,A94:B101))</f>
        <v>Evdre:Ok</v>
      </c>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2" t="s">
        <v>0</v>
      </c>
      <c r="B93" s="63" t="s">
        <v>1</v>
      </c>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2</v>
      </c>
      <c r="B94" s="66" t="str">
        <f>IF(_epmOfflineCondition_,"'IT'!$B$2:$B$10",_xll.EVRNG($B$2:$B$10))</f>
        <v>'IT'!$B$2:$B$10</v>
      </c>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3</v>
      </c>
      <c r="B95" s="66" t="str">
        <f>IF(_epmOfflineCondition_,"'IT'!$O$16:$AN$18",_xll.EVRNG($O$16:$AN$18))</f>
        <v>'IT'!$O$16:$AN$18</v>
      </c>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4</v>
      </c>
      <c r="B96" s="66" t="str">
        <f>IF(_epmOfflineCondition_,"'IT'!$H$66:$H$67",_xll.EVRNG(H66:H67))</f>
        <v>'IT'!$H$66:$H$67</v>
      </c>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5</v>
      </c>
      <c r="B97" s="66"/>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6</v>
      </c>
      <c r="B98" s="66"/>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7</v>
      </c>
      <c r="B99" s="66"/>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47</v>
      </c>
      <c r="B100" s="66" t="str">
        <f>IF(_epmOfflineCondition_,"'IT'!$A$105:$B$126",_xll.EVRNG($A$105:$B$126))</f>
        <v>'IT'!$A$105:$B$126</v>
      </c>
      <c r="C100" s="11"/>
      <c r="D100" s="11"/>
      <c r="E100" s="11"/>
      <c r="F100" s="11"/>
      <c r="G100" s="11"/>
      <c r="H100" s="11"/>
      <c r="I100" s="59"/>
      <c r="J100" s="59"/>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5" t="s">
        <v>8</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23</v>
      </c>
      <c r="B104" s="63" t="s">
        <v>24</v>
      </c>
      <c r="C104" s="11"/>
      <c r="D104" s="11"/>
      <c r="E104" s="11"/>
      <c r="F104" s="11"/>
      <c r="G104" s="11"/>
      <c r="H104" s="11"/>
      <c r="I104" s="59"/>
      <c r="J104" s="59"/>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25</v>
      </c>
      <c r="B105" s="66"/>
      <c r="C105" s="11"/>
      <c r="D105" s="11"/>
      <c r="E105" s="11"/>
      <c r="F105" s="11"/>
      <c r="G105" s="11"/>
      <c r="H105" s="11"/>
      <c r="I105" s="59"/>
      <c r="J105" s="59"/>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26</v>
      </c>
      <c r="B106" s="66"/>
      <c r="C106" s="11"/>
      <c r="D106" s="11"/>
      <c r="E106" s="11"/>
      <c r="F106" s="11"/>
      <c r="G106" s="11"/>
      <c r="H106" s="11"/>
      <c r="I106" s="59"/>
      <c r="J106" s="59"/>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27</v>
      </c>
      <c r="B107" s="66"/>
      <c r="C107" s="11"/>
      <c r="D107" s="11"/>
      <c r="E107" s="11"/>
      <c r="F107" s="11"/>
      <c r="G107" s="11"/>
      <c r="H107" s="11"/>
      <c r="I107" s="59"/>
      <c r="J107" s="59"/>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28</v>
      </c>
      <c r="B108" s="66"/>
      <c r="C108" s="11"/>
      <c r="D108" s="11"/>
      <c r="E108" s="11"/>
      <c r="F108" s="11"/>
      <c r="G108" s="11"/>
      <c r="H108" s="11"/>
      <c r="I108" s="59"/>
      <c r="J108" s="59"/>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29</v>
      </c>
      <c r="B109" s="66"/>
      <c r="C109" s="11"/>
      <c r="D109" s="11"/>
      <c r="E109" s="11"/>
      <c r="F109" s="11"/>
      <c r="G109" s="11"/>
      <c r="H109" s="11"/>
      <c r="I109" s="59"/>
      <c r="J109" s="59"/>
      <c r="K109" s="11"/>
      <c r="L109" s="59"/>
      <c r="M109" s="59"/>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30</v>
      </c>
      <c r="B110" s="66" t="s">
        <v>78</v>
      </c>
      <c r="C110" s="11"/>
      <c r="D110" s="11"/>
      <c r="E110" s="11"/>
      <c r="F110" s="11"/>
      <c r="G110" s="11"/>
      <c r="H110" s="11"/>
      <c r="I110" s="59"/>
      <c r="J110" s="59"/>
      <c r="K110" s="11"/>
      <c r="L110" s="59"/>
      <c r="M110" s="59"/>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31</v>
      </c>
      <c r="B111" s="66" t="s">
        <v>78</v>
      </c>
      <c r="C111" s="11"/>
      <c r="D111" s="11"/>
      <c r="E111" s="11"/>
      <c r="F111" s="11"/>
      <c r="G111" s="11"/>
      <c r="H111" s="11"/>
      <c r="I111" s="59"/>
      <c r="J111" s="59"/>
      <c r="K111" s="11"/>
      <c r="L111" s="59"/>
      <c r="M111" s="59"/>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32</v>
      </c>
      <c r="B112" s="66"/>
      <c r="C112" s="11"/>
      <c r="D112" s="11"/>
      <c r="E112" s="11"/>
      <c r="F112" s="11"/>
      <c r="G112" s="11"/>
      <c r="H112" s="11"/>
      <c r="I112" s="59"/>
      <c r="J112" s="59"/>
      <c r="K112" s="11"/>
      <c r="L112" s="59"/>
      <c r="M112" s="59"/>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5" t="s">
        <v>33</v>
      </c>
      <c r="B113" s="66"/>
      <c r="C113" s="11"/>
      <c r="D113" s="11"/>
      <c r="E113" s="11"/>
      <c r="F113" s="11"/>
      <c r="G113" s="11"/>
      <c r="H113" s="11"/>
      <c r="I113" s="59"/>
      <c r="J113" s="59"/>
      <c r="K113" s="11"/>
      <c r="L113" s="59"/>
      <c r="M113" s="59"/>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34</v>
      </c>
      <c r="B114" s="66"/>
      <c r="C114" s="11"/>
      <c r="D114" s="11"/>
      <c r="E114" s="11"/>
      <c r="F114" s="11"/>
      <c r="G114" s="11"/>
      <c r="H114" s="11"/>
      <c r="I114" s="59"/>
      <c r="J114" s="59"/>
      <c r="K114" s="11"/>
      <c r="L114" s="59"/>
      <c r="M114" s="59"/>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35</v>
      </c>
      <c r="B115" s="66"/>
      <c r="C115" s="11"/>
      <c r="D115" s="11"/>
      <c r="E115" s="11"/>
      <c r="F115" s="11"/>
      <c r="G115" s="11"/>
      <c r="H115" s="11"/>
      <c r="I115" s="59"/>
      <c r="J115" s="59"/>
      <c r="K115" s="11"/>
      <c r="L115" s="59"/>
      <c r="M115" s="59"/>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36</v>
      </c>
      <c r="B116" s="66"/>
      <c r="C116" s="11"/>
      <c r="D116" s="11"/>
      <c r="E116" s="11"/>
      <c r="F116" s="11"/>
      <c r="G116" s="11"/>
      <c r="H116" s="11"/>
      <c r="I116" s="59"/>
      <c r="J116" s="59"/>
      <c r="K116" s="11"/>
      <c r="L116" s="59"/>
      <c r="M116" s="59"/>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37</v>
      </c>
      <c r="B117" s="66"/>
      <c r="C117" s="11"/>
      <c r="D117" s="11"/>
      <c r="E117" s="11"/>
      <c r="F117" s="11"/>
      <c r="G117" s="11"/>
      <c r="H117" s="11"/>
      <c r="I117" s="59"/>
      <c r="J117" s="59"/>
      <c r="K117" s="11"/>
      <c r="L117" s="59"/>
      <c r="M117" s="59"/>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38</v>
      </c>
      <c r="B118" s="66"/>
      <c r="C118" s="11"/>
      <c r="D118" s="11"/>
      <c r="E118" s="11"/>
      <c r="F118" s="11"/>
      <c r="G118" s="11"/>
      <c r="H118" s="11"/>
      <c r="I118" s="59"/>
      <c r="J118" s="59"/>
      <c r="K118" s="11"/>
      <c r="L118" s="59"/>
      <c r="M118" s="59"/>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39</v>
      </c>
      <c r="B119" s="66"/>
      <c r="C119" s="11"/>
      <c r="D119" s="11"/>
      <c r="E119" s="11"/>
      <c r="F119" s="11"/>
      <c r="G119" s="11"/>
      <c r="H119" s="11"/>
      <c r="I119" s="59"/>
      <c r="J119" s="59"/>
      <c r="K119" s="11"/>
      <c r="L119" s="59"/>
      <c r="M119" s="59"/>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40</v>
      </c>
      <c r="B120" s="66"/>
      <c r="C120" s="11"/>
      <c r="D120" s="11"/>
      <c r="E120" s="11"/>
      <c r="F120" s="11"/>
      <c r="G120" s="11"/>
      <c r="H120" s="11"/>
      <c r="I120" s="59"/>
      <c r="J120" s="59"/>
      <c r="K120" s="11"/>
      <c r="L120" s="59"/>
      <c r="M120" s="59"/>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41</v>
      </c>
      <c r="B121" s="66"/>
      <c r="C121" s="11"/>
      <c r="D121" s="11"/>
      <c r="E121" s="11"/>
      <c r="F121" s="11"/>
      <c r="G121" s="11"/>
      <c r="H121" s="11"/>
      <c r="I121" s="59"/>
      <c r="J121" s="59"/>
      <c r="K121" s="11"/>
      <c r="L121" s="59"/>
      <c r="M121" s="59"/>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42</v>
      </c>
      <c r="B122" s="66"/>
      <c r="C122" s="11"/>
      <c r="D122" s="11"/>
      <c r="E122" s="11"/>
      <c r="F122" s="11"/>
      <c r="G122" s="11"/>
      <c r="H122" s="11"/>
      <c r="I122" s="59"/>
      <c r="J122" s="59"/>
      <c r="K122" s="11"/>
      <c r="L122" s="59"/>
      <c r="M122" s="59"/>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43</v>
      </c>
      <c r="B123" s="66"/>
      <c r="C123" s="11"/>
      <c r="D123" s="11"/>
      <c r="E123" s="11"/>
      <c r="F123" s="11"/>
      <c r="G123" s="11"/>
      <c r="H123" s="11"/>
      <c r="I123" s="59"/>
      <c r="J123" s="59"/>
      <c r="K123" s="11"/>
      <c r="L123" s="59"/>
      <c r="M123" s="59"/>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44</v>
      </c>
      <c r="B124" s="66"/>
      <c r="C124" s="11"/>
      <c r="D124" s="11"/>
      <c r="E124" s="11"/>
      <c r="F124" s="11"/>
      <c r="G124" s="11"/>
      <c r="H124" s="11"/>
      <c r="I124" s="59"/>
      <c r="J124" s="59"/>
      <c r="K124" s="11"/>
      <c r="L124" s="59"/>
      <c r="M124" s="59"/>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45</v>
      </c>
      <c r="B125" s="66"/>
      <c r="C125" s="11"/>
      <c r="D125" s="11"/>
      <c r="E125" s="11"/>
      <c r="F125" s="11"/>
      <c r="G125" s="11"/>
      <c r="H125" s="11"/>
      <c r="I125" s="59"/>
      <c r="J125" s="59"/>
      <c r="K125" s="11"/>
      <c r="L125" s="59"/>
      <c r="M125" s="59"/>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46</v>
      </c>
      <c r="B126" s="66"/>
      <c r="C126" s="11"/>
      <c r="D126" s="11"/>
      <c r="E126" s="11"/>
      <c r="F126" s="11"/>
      <c r="G126" s="11"/>
      <c r="H126" s="11"/>
      <c r="I126" s="59"/>
      <c r="J126" s="59"/>
      <c r="K126" s="11"/>
      <c r="L126" s="59"/>
      <c r="M126" s="59"/>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sheetData>
  <sheetProtection algorithmName="SHA-512" hashValue="NESuELViNRH7ogExD5jqjtyT8SxMW4yomUm1OeUueCn1hL8XZ+y8wmrcHGvWRlHRDblJP8KHGRyRB4nQ0o6YEQ==" saltValue="WhrQJW7zJ84oCn3/LBf+6g==" spinCount="100000" sheet="1" scenarios="1"/>
  <mergeCells count="2">
    <mergeCell ref="AD31:AE31"/>
    <mergeCell ref="AG31:AH31"/>
  </mergeCells>
  <dataValidations count="2">
    <dataValidation type="list" allowBlank="1" sqref="B82 B28 B59" xr:uid="{00000000-0002-0000-2800-000000000000}">
      <formula1>"ACCOUNT,BUSINESSUNIT,CATEGORY,DATASRC,DEPARTMENT,INTCO,MEASURES,RPTCURRENCY,TIME"</formula1>
    </dataValidation>
    <dataValidation type="list" allowBlank="1" sqref="B83 B29 B60" xr:uid="{00000000-0002-0000-28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632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6326" r:id="rId7" name="FPMExcelClientSheetOptionstb1"/>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pageSetUpPr fitToPage="1"/>
  </sheetPr>
  <dimension ref="A1:AO10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512</v>
      </c>
      <c r="C6" s="11" t="str">
        <f>IF(_epmOfflineCondition_,"Sales &amp; Marketing",_xll.EVDES(B6,$B$1))</f>
        <v>Sales &amp; Marketing</v>
      </c>
      <c r="D6" s="11"/>
      <c r="E6" s="58" t="str">
        <f>IF(_epmOfflineCondition_,"D_SM",_xll.EVPRO($B$1,$B$6,$F$6))</f>
        <v>D_SM</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IF(_epmOfflineCondition_,"'SM'!$B$2:$B$10",_xll.EVRNG($B$2:$B$10))</f>
        <v>'SM'!$B$2:$B$10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IF(_epmOfflineCondition_,"'SM'!$O$16:$AN$18",_xll.EVRNG($O$16:$AN$18))</f>
        <v>'SM'!$O$16:$AN$18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IF(_epmOfflineCondition_,"'SM'!$H$35:$H$36,'SM'!$H$38:$H$47,'SM'!$H$50:$H$71",_xll.EVRNG(H35:H36,H38:H47,H50:H71))</f>
        <v>'SM'!$H$35:$H$36,'SM'!$H$38:$H$47,'SM'!$H$50:$H$71</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IF(_epmOfflineCondition_,"'SM'!$A$36:$F$42",_xll.EVRNG(A36:F42))</f>
        <v>'SM'!$A$36:$F$42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IF(_epmOfflineCondition_,"'SM'!$A$59:$B$80",_xll.EVRNG($A$59:$B$80))</f>
        <v>'SM'!$A$59:$B$80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IF(_epmOfflineCondition_,"Sales &amp; Marketing Department",IF(_xll.EVDES(B6,$B$1)="#NODATA","",_xll.EVDES(B6,$B$1)&amp;" Department"))</f>
        <v>Sales &amp; Marketing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735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ht="15" customHeight="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855</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10">
        <v>9599.35</v>
      </c>
      <c r="P35" s="210">
        <v>10116.9</v>
      </c>
      <c r="Q35" s="210">
        <v>14914.53</v>
      </c>
      <c r="R35" s="210">
        <v>12607.31</v>
      </c>
      <c r="S35" s="210">
        <v>14708.61</v>
      </c>
      <c r="T35" s="210">
        <v>15450.74</v>
      </c>
      <c r="U35" s="210">
        <v>14420.62</v>
      </c>
      <c r="V35" s="210">
        <v>14324.88</v>
      </c>
      <c r="W35" s="210">
        <v>13885.07</v>
      </c>
      <c r="X35" s="210">
        <v>14172.05</v>
      </c>
      <c r="Y35" s="210">
        <v>13544.55</v>
      </c>
      <c r="Z35" s="210">
        <v>14172.4</v>
      </c>
      <c r="AA35" s="210">
        <f t="shared" ref="AA35:AA47" si="1">IF($I35="B1","",SUM(O35:Z35))</f>
        <v>161917.00999999998</v>
      </c>
      <c r="AB35" s="211">
        <f t="shared" ref="AB35:AB47" si="2">IF(AA35=0,"",IFERROR(AA35/AA$19,""))</f>
        <v>1.359901548835021E-2</v>
      </c>
      <c r="AC35" s="140"/>
      <c r="AD35" s="143">
        <v>161117.81009285699</v>
      </c>
      <c r="AE35" s="144">
        <f t="shared" ref="AE35:AE47" si="3">IF(AD35=0,"",IFERROR(AD35/AD$19,""))</f>
        <v>1.9335680543689237E-2</v>
      </c>
      <c r="AF35" s="145">
        <f t="shared" ref="AF35:AF47" si="4">IF(AND($AA35="",AD35=""),"",$AA35-AD35)</f>
        <v>799.1999071429891</v>
      </c>
      <c r="AG35" s="143">
        <v>92730</v>
      </c>
      <c r="AH35" s="144">
        <f t="shared" ref="AH35:AH47" si="5">IF(AG35=0,"",IFERROR(AG35/AG$19,""))</f>
        <v>1.7787042990649919E-2</v>
      </c>
      <c r="AI35" s="145">
        <f t="shared" ref="AI35:AI47" si="6">IF(AND($AA35="",AG35=""),"",$AA35-AG35)</f>
        <v>69187.00999999998</v>
      </c>
      <c r="AJ35" s="440">
        <f t="shared" ref="AJ35:AJ47" si="7">IFERROR(AA35/AA$20,0)</f>
        <v>3.3606685346616851</v>
      </c>
      <c r="AK35" s="441">
        <f t="shared" ref="AK35:AK47" si="8">IFERROR(AD35/AD$20,0)</f>
        <v>3.3440807408231006</v>
      </c>
      <c r="AL35" s="442">
        <f t="shared" ref="AL35:AL47" si="9">IFERROR(AG35/AG$20,0)</f>
        <v>1.9193989071038251</v>
      </c>
      <c r="AM35" s="443" t="str">
        <f t="shared" ref="AM35:AM47" si="10">+IFERROR(ROUND(($AB35-AE35)*100,2)&amp;" pts.",0)</f>
        <v>-0.57 pts.</v>
      </c>
      <c r="AN35" s="444" t="str">
        <f t="shared" ref="AN35:AN47" si="11">+IFERROR(ROUND(($AB35-AH35)*100,2)&amp;" pts.",0)</f>
        <v>-0.42 pts.</v>
      </c>
      <c r="AO35" s="11"/>
    </row>
    <row r="36" spans="1:41" hidden="1" x14ac:dyDescent="0.35">
      <c r="A36" s="11"/>
      <c r="B36" s="11"/>
      <c r="C36" s="11"/>
      <c r="D36" s="11"/>
      <c r="E36" s="11"/>
      <c r="F36" s="11"/>
      <c r="G36" s="11"/>
      <c r="H36" s="88"/>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10"/>
      <c r="P36" s="210"/>
      <c r="Q36" s="210"/>
      <c r="R36" s="210"/>
      <c r="S36" s="210"/>
      <c r="T36" s="210"/>
      <c r="U36" s="210"/>
      <c r="V36" s="210"/>
      <c r="W36" s="210"/>
      <c r="X36" s="210"/>
      <c r="Y36" s="210"/>
      <c r="Z36" s="210"/>
      <c r="AA36" s="210">
        <f t="shared" si="1"/>
        <v>0</v>
      </c>
      <c r="AB36" s="211"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 t="shared" si="0"/>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t="str">
        <f t="shared" si="2"/>
        <v/>
      </c>
      <c r="AC37" s="11"/>
      <c r="AD37" s="91"/>
      <c r="AE37" s="100" t="str">
        <f t="shared" si="3"/>
        <v/>
      </c>
      <c r="AF37" s="92" t="str">
        <f t="shared" si="4"/>
        <v/>
      </c>
      <c r="AG37" s="91"/>
      <c r="AH37" s="100" t="str">
        <f t="shared" si="5"/>
        <v/>
      </c>
      <c r="AI37" s="92" t="str">
        <f t="shared" si="6"/>
        <v/>
      </c>
      <c r="AJ37" s="397">
        <f t="shared" si="7"/>
        <v>0</v>
      </c>
      <c r="AK37" s="398">
        <f t="shared" si="8"/>
        <v>0</v>
      </c>
      <c r="AL37" s="399">
        <f t="shared" si="9"/>
        <v>0</v>
      </c>
      <c r="AM37" s="400">
        <f t="shared" si="10"/>
        <v>0</v>
      </c>
      <c r="AN37" s="401">
        <f t="shared" si="11"/>
        <v>0</v>
      </c>
      <c r="AO37" s="11"/>
    </row>
    <row r="38" spans="1:41" x14ac:dyDescent="0.35">
      <c r="A38" s="11" t="s">
        <v>100</v>
      </c>
      <c r="B38" s="11"/>
      <c r="C38" s="53" t="s">
        <v>101</v>
      </c>
      <c r="D38" s="11" t="s">
        <v>106</v>
      </c>
      <c r="E38" s="11"/>
      <c r="F38" s="11" t="s">
        <v>98</v>
      </c>
      <c r="G38" s="11"/>
      <c r="H38" s="88" t="s">
        <v>955</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IF(_epmOfflineCondition_,"Non-Mgmt. (Sales &amp; Marketing)",IF(_xll.EVDES(H38,$B$1)="#NODATA","",_xll.EVDES(H38,$B$1)))</f>
        <v>Non-Mgmt. (Sales &amp; Marketing)</v>
      </c>
      <c r="O38" s="216"/>
      <c r="P38" s="216"/>
      <c r="Q38" s="216"/>
      <c r="R38" s="216"/>
      <c r="S38" s="216"/>
      <c r="T38" s="216"/>
      <c r="U38" s="216"/>
      <c r="V38" s="216"/>
      <c r="W38" s="216"/>
      <c r="X38" s="216"/>
      <c r="Y38" s="216"/>
      <c r="Z38" s="216"/>
      <c r="AA38" s="216">
        <f t="shared" si="1"/>
        <v>0</v>
      </c>
      <c r="AB38" s="218" t="str">
        <f t="shared" si="2"/>
        <v/>
      </c>
      <c r="AC38" s="140"/>
      <c r="AD38" s="217"/>
      <c r="AE38" s="219" t="str">
        <f t="shared" si="3"/>
        <v/>
      </c>
      <c r="AF38" s="220">
        <f t="shared" si="4"/>
        <v>0</v>
      </c>
      <c r="AG38" s="217">
        <v>1353.75</v>
      </c>
      <c r="AH38" s="219">
        <f t="shared" si="5"/>
        <v>2.5967011159918393E-4</v>
      </c>
      <c r="AI38" s="220">
        <f t="shared" si="6"/>
        <v>-1353.75</v>
      </c>
      <c r="AJ38" s="449">
        <f t="shared" si="7"/>
        <v>0</v>
      </c>
      <c r="AK38" s="450">
        <f t="shared" si="8"/>
        <v>0</v>
      </c>
      <c r="AL38" s="451">
        <f t="shared" si="9"/>
        <v>2.8020988574267262E-2</v>
      </c>
      <c r="AM38" s="452">
        <f t="shared" si="10"/>
        <v>0</v>
      </c>
      <c r="AN38" s="453">
        <f t="shared" si="11"/>
        <v>0</v>
      </c>
      <c r="AO38" s="11"/>
    </row>
    <row r="39" spans="1:41" x14ac:dyDescent="0.35">
      <c r="A39" s="11" t="s">
        <v>109</v>
      </c>
      <c r="B39" s="11"/>
      <c r="C39" s="106" t="s">
        <v>101</v>
      </c>
      <c r="D39" s="11" t="s">
        <v>106</v>
      </c>
      <c r="E39" s="11"/>
      <c r="F39" s="11" t="s">
        <v>98</v>
      </c>
      <c r="G39" s="11"/>
      <c r="H39" s="88" t="s">
        <v>848</v>
      </c>
      <c r="I39" s="188" t="str">
        <f>IF(_epmOfflineCondition_,"T2",_xll.EVPRO($B$1,$H39,"STYLE"))</f>
        <v>T2</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IF(_epmOfflineCondition_,"Total Salaries and Wages",IF(_xll.EVDES(H39,$B$1)="#NODATA","",_xll.EVDES(H39,$B$1)))</f>
        <v>Total Salaries and Wages</v>
      </c>
      <c r="O39" s="225">
        <v>9599.35</v>
      </c>
      <c r="P39" s="225">
        <v>10116.9</v>
      </c>
      <c r="Q39" s="225">
        <v>14914.53</v>
      </c>
      <c r="R39" s="225">
        <v>12607.31</v>
      </c>
      <c r="S39" s="225">
        <v>14708.61</v>
      </c>
      <c r="T39" s="225">
        <v>15450.74</v>
      </c>
      <c r="U39" s="225">
        <v>14420.62</v>
      </c>
      <c r="V39" s="225">
        <v>14324.88</v>
      </c>
      <c r="W39" s="225">
        <v>13885.07</v>
      </c>
      <c r="X39" s="225">
        <v>14172.05</v>
      </c>
      <c r="Y39" s="225">
        <v>13544.55</v>
      </c>
      <c r="Z39" s="225">
        <v>14172.4</v>
      </c>
      <c r="AA39" s="225">
        <f t="shared" si="1"/>
        <v>161917.00999999998</v>
      </c>
      <c r="AB39" s="226">
        <f t="shared" si="2"/>
        <v>1.359901548835021E-2</v>
      </c>
      <c r="AC39" s="227"/>
      <c r="AD39" s="225">
        <v>161117.81009285699</v>
      </c>
      <c r="AE39" s="226">
        <f t="shared" si="3"/>
        <v>1.9335680543689237E-2</v>
      </c>
      <c r="AF39" s="228">
        <f t="shared" si="4"/>
        <v>799.1999071429891</v>
      </c>
      <c r="AG39" s="225">
        <v>94083.75</v>
      </c>
      <c r="AH39" s="226">
        <f t="shared" si="5"/>
        <v>1.8046713102249104E-2</v>
      </c>
      <c r="AI39" s="228">
        <f t="shared" si="6"/>
        <v>67833.25999999998</v>
      </c>
      <c r="AJ39" s="229">
        <f t="shared" si="7"/>
        <v>3.3606685346616851</v>
      </c>
      <c r="AK39" s="230">
        <f t="shared" si="8"/>
        <v>3.3440807408231006</v>
      </c>
      <c r="AL39" s="232">
        <f t="shared" si="9"/>
        <v>1.9474198956780924</v>
      </c>
      <c r="AM39" s="427" t="str">
        <f t="shared" si="10"/>
        <v>-0.57 pts.</v>
      </c>
      <c r="AN39" s="456" t="str">
        <f t="shared" si="11"/>
        <v>-0.44 pts.</v>
      </c>
      <c r="AO39" s="11"/>
    </row>
    <row r="40" spans="1:41" x14ac:dyDescent="0.35">
      <c r="A40" s="11" t="s">
        <v>109</v>
      </c>
      <c r="B40" s="11"/>
      <c r="C40" s="196" t="s">
        <v>101</v>
      </c>
      <c r="D40" s="11" t="s">
        <v>107</v>
      </c>
      <c r="E40" s="11"/>
      <c r="F40" s="11" t="s">
        <v>99</v>
      </c>
      <c r="G40" s="11"/>
      <c r="H40" s="88" t="s">
        <v>867</v>
      </c>
      <c r="I40" s="122" t="str">
        <f>IF(_epmOfflineCondition_,"T3",_xll.EVPRO($B$1,$H40,"STYLE"))</f>
        <v>T3</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IF(_epmOfflineCondition_,"Contracted &amp; Leased Labor",IF(_xll.EVDES(H40,$B$1)="#NODATA","",_xll.EVDES(H40,$B$1)))</f>
        <v>Contracted &amp; Leased Labor</v>
      </c>
      <c r="O40" s="216">
        <v>2525</v>
      </c>
      <c r="P40" s="216">
        <v>2525</v>
      </c>
      <c r="Q40" s="216">
        <v>2525</v>
      </c>
      <c r="R40" s="216">
        <v>2525</v>
      </c>
      <c r="S40" s="216">
        <v>2525</v>
      </c>
      <c r="T40" s="216">
        <v>2525</v>
      </c>
      <c r="U40" s="216">
        <v>2525</v>
      </c>
      <c r="V40" s="216">
        <v>2525</v>
      </c>
      <c r="W40" s="216">
        <v>2525</v>
      </c>
      <c r="X40" s="216">
        <v>2525</v>
      </c>
      <c r="Y40" s="216">
        <v>3025</v>
      </c>
      <c r="Z40" s="216">
        <v>4525</v>
      </c>
      <c r="AA40" s="216">
        <f t="shared" si="1"/>
        <v>32800</v>
      </c>
      <c r="AB40" s="218">
        <f t="shared" si="2"/>
        <v>2.7547921494961336E-3</v>
      </c>
      <c r="AC40" s="140"/>
      <c r="AD40" s="216">
        <v>30300</v>
      </c>
      <c r="AE40" s="218">
        <f t="shared" si="3"/>
        <v>3.6362902408872667E-3</v>
      </c>
      <c r="AF40" s="233">
        <f t="shared" si="4"/>
        <v>2500</v>
      </c>
      <c r="AG40" s="216">
        <v>32613.33</v>
      </c>
      <c r="AH40" s="218">
        <f t="shared" si="5"/>
        <v>6.2557392729241101E-3</v>
      </c>
      <c r="AI40" s="233">
        <f t="shared" si="6"/>
        <v>186.66999999999825</v>
      </c>
      <c r="AJ40" s="532">
        <f t="shared" si="7"/>
        <v>0.68078040680780405</v>
      </c>
      <c r="AK40" s="533">
        <f t="shared" si="8"/>
        <v>0.62889165628891652</v>
      </c>
      <c r="AL40" s="534">
        <f t="shared" si="9"/>
        <v>0.6750565076999504</v>
      </c>
      <c r="AM40" s="535" t="str">
        <f t="shared" si="10"/>
        <v>-0.09 pts.</v>
      </c>
      <c r="AN40" s="536" t="str">
        <f t="shared" si="11"/>
        <v>-0.35 pts.</v>
      </c>
      <c r="AO40" s="11"/>
    </row>
    <row r="41" spans="1:41" x14ac:dyDescent="0.35">
      <c r="A41" s="11" t="s">
        <v>110</v>
      </c>
      <c r="B41" s="11"/>
      <c r="C41" s="106" t="s">
        <v>101</v>
      </c>
      <c r="D41" s="11" t="s">
        <v>106</v>
      </c>
      <c r="E41" s="11"/>
      <c r="F41" s="11" t="s">
        <v>98</v>
      </c>
      <c r="G41" s="11"/>
      <c r="H41" s="88" t="s">
        <v>849</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16">
        <v>1007</v>
      </c>
      <c r="P41" s="216">
        <v>1007</v>
      </c>
      <c r="Q41" s="216">
        <v>1007</v>
      </c>
      <c r="R41" s="216">
        <v>3608.28</v>
      </c>
      <c r="S41" s="216">
        <v>2109</v>
      </c>
      <c r="T41" s="216">
        <v>2109</v>
      </c>
      <c r="U41" s="216">
        <v>1861.38</v>
      </c>
      <c r="V41" s="216">
        <v>5092.99</v>
      </c>
      <c r="W41" s="216">
        <v>1454.53</v>
      </c>
      <c r="X41" s="216">
        <v>7087.21</v>
      </c>
      <c r="Y41" s="216">
        <v>1348.76</v>
      </c>
      <c r="Z41" s="216">
        <v>7082.97</v>
      </c>
      <c r="AA41" s="216">
        <f t="shared" si="1"/>
        <v>34775.119999999995</v>
      </c>
      <c r="AB41" s="218">
        <f t="shared" si="2"/>
        <v>2.9206776699324992E-3</v>
      </c>
      <c r="AC41" s="140"/>
      <c r="AD41" s="217">
        <v>26337.5822816652</v>
      </c>
      <c r="AE41" s="219">
        <f t="shared" si="3"/>
        <v>3.1607621590555961E-3</v>
      </c>
      <c r="AF41" s="220">
        <f t="shared" si="4"/>
        <v>8437.5377183347955</v>
      </c>
      <c r="AG41" s="217">
        <v>-4672.53</v>
      </c>
      <c r="AH41" s="219">
        <f t="shared" si="5"/>
        <v>-8.9626325876309137E-4</v>
      </c>
      <c r="AI41" s="220">
        <f t="shared" si="6"/>
        <v>39447.649999999994</v>
      </c>
      <c r="AJ41" s="449">
        <f t="shared" si="7"/>
        <v>0.72177501037775005</v>
      </c>
      <c r="AK41" s="450">
        <f t="shared" si="8"/>
        <v>0.54664969451359902</v>
      </c>
      <c r="AL41" s="451">
        <f t="shared" si="9"/>
        <v>-9.6715722801788376E-2</v>
      </c>
      <c r="AM41" s="452" t="str">
        <f t="shared" si="10"/>
        <v>-0.02 pts.</v>
      </c>
      <c r="AN41" s="453" t="str">
        <f t="shared" si="11"/>
        <v>0.38 pts.</v>
      </c>
      <c r="AO41" s="11"/>
    </row>
    <row r="42" spans="1:41" x14ac:dyDescent="0.35">
      <c r="A42" s="11" t="s">
        <v>110</v>
      </c>
      <c r="B42" s="11"/>
      <c r="C42" s="109" t="s">
        <v>101</v>
      </c>
      <c r="D42" s="11" t="s">
        <v>107</v>
      </c>
      <c r="E42" s="11"/>
      <c r="F42" s="11" t="s">
        <v>99</v>
      </c>
      <c r="G42" s="11"/>
      <c r="H42" s="88" t="s">
        <v>850</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5">
        <v>13131.35</v>
      </c>
      <c r="P42" s="225">
        <v>13648.9</v>
      </c>
      <c r="Q42" s="225">
        <v>18446.53</v>
      </c>
      <c r="R42" s="225">
        <v>18740.59</v>
      </c>
      <c r="S42" s="225">
        <v>19342.61</v>
      </c>
      <c r="T42" s="225">
        <v>20084.740000000002</v>
      </c>
      <c r="U42" s="225">
        <v>18807</v>
      </c>
      <c r="V42" s="225">
        <v>21942.87</v>
      </c>
      <c r="W42" s="225">
        <v>17864.599999999999</v>
      </c>
      <c r="X42" s="225">
        <v>23784.26</v>
      </c>
      <c r="Y42" s="225">
        <v>17918.310000000001</v>
      </c>
      <c r="Z42" s="225">
        <v>25780.37</v>
      </c>
      <c r="AA42" s="225">
        <f t="shared" si="1"/>
        <v>229492.13</v>
      </c>
      <c r="AB42" s="226">
        <f t="shared" si="2"/>
        <v>1.9274485307778845E-2</v>
      </c>
      <c r="AC42" s="227"/>
      <c r="AD42" s="225">
        <v>217755.39237452199</v>
      </c>
      <c r="AE42" s="226">
        <f t="shared" si="3"/>
        <v>2.6132732943632074E-2</v>
      </c>
      <c r="AF42" s="228">
        <f t="shared" si="4"/>
        <v>11736.73762547801</v>
      </c>
      <c r="AG42" s="225">
        <v>122024.55</v>
      </c>
      <c r="AH42" s="226">
        <f t="shared" si="5"/>
        <v>2.3406189116410122E-2</v>
      </c>
      <c r="AI42" s="228">
        <f t="shared" si="6"/>
        <v>107467.58</v>
      </c>
      <c r="AJ42" s="229">
        <f t="shared" si="7"/>
        <v>4.7632239518472392</v>
      </c>
      <c r="AK42" s="230">
        <f t="shared" si="8"/>
        <v>4.519622091625612</v>
      </c>
      <c r="AL42" s="232">
        <f t="shared" si="9"/>
        <v>2.5257606805762545</v>
      </c>
      <c r="AM42" s="427" t="str">
        <f t="shared" si="10"/>
        <v>-0.69 pts.</v>
      </c>
      <c r="AN42" s="456" t="str">
        <f t="shared" si="11"/>
        <v>-0.41 pts.</v>
      </c>
      <c r="AO42" s="11"/>
    </row>
    <row r="43" spans="1:41" x14ac:dyDescent="0.35">
      <c r="A43" s="11"/>
      <c r="B43" s="11"/>
      <c r="C43" s="208"/>
      <c r="D43" s="11"/>
      <c r="E43" s="11"/>
      <c r="F43" s="11"/>
      <c r="G43" s="11"/>
      <c r="H43" s="88" t="s">
        <v>851</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16">
        <v>863.75</v>
      </c>
      <c r="P43" s="216">
        <v>823.63</v>
      </c>
      <c r="Q43" s="216">
        <v>1311.31</v>
      </c>
      <c r="R43" s="216">
        <v>1490.54</v>
      </c>
      <c r="S43" s="216">
        <v>1319.75</v>
      </c>
      <c r="T43" s="216">
        <v>1256.53</v>
      </c>
      <c r="U43" s="216">
        <v>1465.98</v>
      </c>
      <c r="V43" s="216">
        <v>1554.15</v>
      </c>
      <c r="W43" s="216">
        <v>1148.58</v>
      </c>
      <c r="X43" s="216">
        <v>1653.07</v>
      </c>
      <c r="Y43" s="216">
        <v>1136.68</v>
      </c>
      <c r="Z43" s="216">
        <v>1954.86</v>
      </c>
      <c r="AA43" s="216">
        <f t="shared" si="1"/>
        <v>15978.83</v>
      </c>
      <c r="AB43" s="218">
        <f t="shared" si="2"/>
        <v>1.3420230317723568E-3</v>
      </c>
      <c r="AC43" s="140"/>
      <c r="AD43" s="216">
        <v>15619.890254808801</v>
      </c>
      <c r="AE43" s="218">
        <f t="shared" si="3"/>
        <v>1.8745364520558205E-3</v>
      </c>
      <c r="AF43" s="233">
        <f t="shared" si="4"/>
        <v>358.93974519119911</v>
      </c>
      <c r="AG43" s="216">
        <v>9397.67</v>
      </c>
      <c r="AH43" s="218">
        <f t="shared" si="5"/>
        <v>1.8026179262583956E-3</v>
      </c>
      <c r="AI43" s="233">
        <f t="shared" si="6"/>
        <v>6581.16</v>
      </c>
      <c r="AJ43" s="532">
        <f t="shared" si="7"/>
        <v>0.3316486093814861</v>
      </c>
      <c r="AK43" s="533">
        <f t="shared" si="8"/>
        <v>0.3241986354256704</v>
      </c>
      <c r="AL43" s="534">
        <f t="shared" si="9"/>
        <v>0.19452040900811393</v>
      </c>
      <c r="AM43" s="535" t="str">
        <f t="shared" si="10"/>
        <v>-0.05 pts.</v>
      </c>
      <c r="AN43" s="536" t="str">
        <f t="shared" si="11"/>
        <v>-0.05 pts.</v>
      </c>
      <c r="AO43" s="11"/>
    </row>
    <row r="44" spans="1:41" x14ac:dyDescent="0.35">
      <c r="A44" s="11"/>
      <c r="B44" s="11"/>
      <c r="C44" s="11"/>
      <c r="D44" s="11"/>
      <c r="E44" s="11"/>
      <c r="F44" s="11"/>
      <c r="G44" s="11"/>
      <c r="H44" s="88" t="s">
        <v>852</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16">
        <v>1156.03</v>
      </c>
      <c r="P44" s="216">
        <v>361.34</v>
      </c>
      <c r="Q44" s="216">
        <v>1271.74</v>
      </c>
      <c r="R44" s="216">
        <v>1156.8699999999999</v>
      </c>
      <c r="S44" s="216">
        <v>1076.0899999999999</v>
      </c>
      <c r="T44" s="216">
        <v>277.99</v>
      </c>
      <c r="U44" s="216">
        <v>888.54</v>
      </c>
      <c r="V44" s="216">
        <v>796.87</v>
      </c>
      <c r="W44" s="216">
        <v>1630.15</v>
      </c>
      <c r="X44" s="216">
        <v>691.58</v>
      </c>
      <c r="Y44" s="216">
        <v>1465.73</v>
      </c>
      <c r="Z44" s="216">
        <v>1198.83</v>
      </c>
      <c r="AA44" s="216">
        <f t="shared" si="1"/>
        <v>11971.759999999998</v>
      </c>
      <c r="AB44" s="218">
        <f t="shared" si="2"/>
        <v>1.0054789775503605E-3</v>
      </c>
      <c r="AC44" s="140"/>
      <c r="AD44" s="217">
        <v>5786.0260692301999</v>
      </c>
      <c r="AE44" s="219">
        <f t="shared" si="3"/>
        <v>6.9437855211422733E-4</v>
      </c>
      <c r="AF44" s="220">
        <f t="shared" si="4"/>
        <v>6185.7339307697985</v>
      </c>
      <c r="AG44" s="217">
        <v>15873.63</v>
      </c>
      <c r="AH44" s="219">
        <f t="shared" si="5"/>
        <v>3.0448068502930037E-3</v>
      </c>
      <c r="AI44" s="220">
        <f t="shared" si="6"/>
        <v>-3901.8700000000008</v>
      </c>
      <c r="AJ44" s="449">
        <f t="shared" si="7"/>
        <v>0.24847986716479864</v>
      </c>
      <c r="AK44" s="450">
        <f t="shared" si="8"/>
        <v>0.12009186528082606</v>
      </c>
      <c r="AL44" s="451">
        <f t="shared" si="9"/>
        <v>0.32856495280675607</v>
      </c>
      <c r="AM44" s="452" t="str">
        <f t="shared" si="10"/>
        <v>0.03 pts.</v>
      </c>
      <c r="AN44" s="453" t="str">
        <f t="shared" si="11"/>
        <v>-0.2 pts.</v>
      </c>
      <c r="AO44" s="11"/>
    </row>
    <row r="45" spans="1:41" x14ac:dyDescent="0.35">
      <c r="A45" s="61" t="str">
        <f>IF(_epmOfflineCondition_,"Evdre:Ok",_xll.EVDRE($B$1,A48:B55))</f>
        <v>Evdre:Ok</v>
      </c>
      <c r="B45" s="11" t="s">
        <v>739</v>
      </c>
      <c r="C45" s="11"/>
      <c r="D45" s="11"/>
      <c r="E45" s="11"/>
      <c r="F45" s="11"/>
      <c r="G45" s="11"/>
      <c r="H45" s="88" t="s">
        <v>853</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16">
        <v>595.1</v>
      </c>
      <c r="P45" s="216">
        <v>523.5</v>
      </c>
      <c r="Q45" s="216">
        <v>561.36</v>
      </c>
      <c r="R45" s="216">
        <v>1397.52</v>
      </c>
      <c r="S45" s="216">
        <v>719.8</v>
      </c>
      <c r="T45" s="216">
        <v>658.08</v>
      </c>
      <c r="U45" s="216">
        <v>1129.56</v>
      </c>
      <c r="V45" s="216">
        <v>1289.6199999999999</v>
      </c>
      <c r="W45" s="216">
        <v>1123.81</v>
      </c>
      <c r="X45" s="216">
        <v>1123.8800000000001</v>
      </c>
      <c r="Y45" s="216">
        <v>1097.6099999999999</v>
      </c>
      <c r="Z45" s="216">
        <v>1043.68</v>
      </c>
      <c r="AA45" s="216">
        <f t="shared" si="1"/>
        <v>11263.52</v>
      </c>
      <c r="AB45" s="218">
        <f t="shared" si="2"/>
        <v>9.4599562413697229E-4</v>
      </c>
      <c r="AC45" s="140"/>
      <c r="AD45" s="217">
        <v>17169.490819574799</v>
      </c>
      <c r="AE45" s="219">
        <f t="shared" si="3"/>
        <v>2.0605033633077016E-3</v>
      </c>
      <c r="AF45" s="220">
        <f t="shared" si="4"/>
        <v>-5905.970819574799</v>
      </c>
      <c r="AG45" s="217">
        <v>658.81</v>
      </c>
      <c r="AH45" s="219">
        <f t="shared" si="5"/>
        <v>1.2636991041378273E-4</v>
      </c>
      <c r="AI45" s="220">
        <f t="shared" si="6"/>
        <v>10604.710000000001</v>
      </c>
      <c r="AJ45" s="449">
        <f t="shared" si="7"/>
        <v>0.23377999169779992</v>
      </c>
      <c r="AK45" s="450">
        <f t="shared" si="8"/>
        <v>0.35636137026929843</v>
      </c>
      <c r="AL45" s="451">
        <f t="shared" si="9"/>
        <v>1.3636570624275542E-2</v>
      </c>
      <c r="AM45" s="452" t="str">
        <f t="shared" si="10"/>
        <v>-0.11 pts.</v>
      </c>
      <c r="AN45" s="453" t="str">
        <f t="shared" si="11"/>
        <v>0.08 pts.</v>
      </c>
      <c r="AO45" s="11"/>
    </row>
    <row r="46" spans="1:41" x14ac:dyDescent="0.35">
      <c r="A46" s="11"/>
      <c r="B46" s="11"/>
      <c r="C46" s="11"/>
      <c r="D46" s="11"/>
      <c r="E46" s="11"/>
      <c r="F46" s="11"/>
      <c r="G46" s="11"/>
      <c r="H46" s="88" t="s">
        <v>854</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38">
        <v>2614.88</v>
      </c>
      <c r="P46" s="238">
        <v>1708.47</v>
      </c>
      <c r="Q46" s="238">
        <v>3144.41</v>
      </c>
      <c r="R46" s="238">
        <v>4044.93</v>
      </c>
      <c r="S46" s="238">
        <v>3115.64</v>
      </c>
      <c r="T46" s="238">
        <v>2192.6</v>
      </c>
      <c r="U46" s="238">
        <v>3484.08</v>
      </c>
      <c r="V46" s="238">
        <v>3640.64</v>
      </c>
      <c r="W46" s="238">
        <v>3902.54</v>
      </c>
      <c r="X46" s="238">
        <v>3468.53</v>
      </c>
      <c r="Y46" s="238">
        <v>3700.02</v>
      </c>
      <c r="Z46" s="238">
        <v>4197.37</v>
      </c>
      <c r="AA46" s="238">
        <f t="shared" si="1"/>
        <v>39214.11</v>
      </c>
      <c r="AB46" s="239">
        <f t="shared" si="2"/>
        <v>3.2934976334596899E-3</v>
      </c>
      <c r="AC46" s="240"/>
      <c r="AD46" s="238">
        <v>38575.407143613797</v>
      </c>
      <c r="AE46" s="239">
        <f t="shared" si="3"/>
        <v>4.6294183674777493E-3</v>
      </c>
      <c r="AF46" s="241">
        <f t="shared" si="4"/>
        <v>638.70285638620408</v>
      </c>
      <c r="AG46" s="238">
        <v>25930.11</v>
      </c>
      <c r="AH46" s="239">
        <f t="shared" si="5"/>
        <v>4.9737946869651828E-3</v>
      </c>
      <c r="AI46" s="241">
        <f t="shared" si="6"/>
        <v>13284</v>
      </c>
      <c r="AJ46" s="242">
        <f t="shared" si="7"/>
        <v>0.81390846824408469</v>
      </c>
      <c r="AK46" s="243">
        <f t="shared" si="8"/>
        <v>0.80065187097579482</v>
      </c>
      <c r="AL46" s="245">
        <f t="shared" si="9"/>
        <v>0.53672193243914557</v>
      </c>
      <c r="AM46" s="431" t="str">
        <f t="shared" si="10"/>
        <v>-0.13 pts.</v>
      </c>
      <c r="AN46" s="465" t="str">
        <f t="shared" si="11"/>
        <v>-0.17 pts.</v>
      </c>
      <c r="AO46" s="11"/>
    </row>
    <row r="47" spans="1:41" x14ac:dyDescent="0.35">
      <c r="A47" s="62" t="s">
        <v>0</v>
      </c>
      <c r="B47" s="63" t="s">
        <v>1</v>
      </c>
      <c r="C47" s="11"/>
      <c r="D47" s="11"/>
      <c r="E47" s="11"/>
      <c r="F47" s="11"/>
      <c r="G47" s="11"/>
      <c r="H47" s="88"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38">
        <v>15746.23</v>
      </c>
      <c r="P47" s="238">
        <v>15357.37</v>
      </c>
      <c r="Q47" s="238">
        <v>21590.94</v>
      </c>
      <c r="R47" s="238">
        <v>22785.52</v>
      </c>
      <c r="S47" s="238">
        <v>22458.25</v>
      </c>
      <c r="T47" s="238">
        <v>22277.34</v>
      </c>
      <c r="U47" s="238">
        <v>22291.08</v>
      </c>
      <c r="V47" s="238">
        <v>25583.51</v>
      </c>
      <c r="W47" s="238">
        <v>21767.14</v>
      </c>
      <c r="X47" s="238">
        <v>27252.79</v>
      </c>
      <c r="Y47" s="238">
        <v>21618.33</v>
      </c>
      <c r="Z47" s="238">
        <v>29977.74</v>
      </c>
      <c r="AA47" s="238">
        <f t="shared" si="1"/>
        <v>268706.24</v>
      </c>
      <c r="AB47" s="239">
        <f t="shared" si="2"/>
        <v>2.2567982941238535E-2</v>
      </c>
      <c r="AC47" s="240"/>
      <c r="AD47" s="238">
        <v>256330.79951813599</v>
      </c>
      <c r="AE47" s="239">
        <f t="shared" si="3"/>
        <v>3.0762151311109848E-2</v>
      </c>
      <c r="AF47" s="241">
        <f t="shared" si="4"/>
        <v>12375.440481864003</v>
      </c>
      <c r="AG47" s="238">
        <v>147954.66</v>
      </c>
      <c r="AH47" s="239">
        <f t="shared" si="5"/>
        <v>2.8379983803375305E-2</v>
      </c>
      <c r="AI47" s="241">
        <f t="shared" si="6"/>
        <v>120751.57999999999</v>
      </c>
      <c r="AJ47" s="242">
        <f t="shared" si="7"/>
        <v>5.5771324200913241</v>
      </c>
      <c r="AK47" s="243">
        <f t="shared" si="8"/>
        <v>5.3202739626014113</v>
      </c>
      <c r="AL47" s="245">
        <f t="shared" si="9"/>
        <v>3.0624826130153999</v>
      </c>
      <c r="AM47" s="431" t="str">
        <f t="shared" si="10"/>
        <v>-0.82 pts.</v>
      </c>
      <c r="AN47" s="465" t="str">
        <f t="shared" si="11"/>
        <v>-0.58 pts.</v>
      </c>
      <c r="AO47" s="11"/>
    </row>
    <row r="48" spans="1:41" x14ac:dyDescent="0.35">
      <c r="A48" s="65" t="s">
        <v>2</v>
      </c>
      <c r="B48" s="66" t="str">
        <f>IF(_epmOfflineCondition_,"'SM'!$B$2:$B$10",_xll.EVRNG($B$2:$B$10))</f>
        <v>'SM'!$B$2:$B$10</v>
      </c>
      <c r="C48" s="11"/>
      <c r="D48" s="11"/>
      <c r="E48" s="11"/>
      <c r="F48" s="11"/>
      <c r="G48" s="11"/>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35">
      <c r="A49" s="65" t="s">
        <v>3</v>
      </c>
      <c r="B49" s="66" t="str">
        <f>IF(_epmOfflineCondition_,"'SM'!$O$16:$AN$18",_xll.EVRNG($O$16:$AN$18))</f>
        <v>'SM'!$O$16:$AN$18</v>
      </c>
      <c r="C49" s="11"/>
      <c r="D49" s="11"/>
      <c r="E49" s="11"/>
      <c r="F49" s="11"/>
      <c r="G49" s="11"/>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35">
      <c r="A50" s="65" t="s">
        <v>4</v>
      </c>
      <c r="B50" s="66" t="str">
        <f>IF(_epmOfflineCondition_,"'SM'!$H$72:$H$75",_xll.EVRNG(H72:H75))</f>
        <v>'SM'!$H$72:$H$75</v>
      </c>
      <c r="C50" s="11"/>
      <c r="D50" s="11"/>
      <c r="E50" s="11"/>
      <c r="F50" s="11"/>
      <c r="G50" s="11"/>
      <c r="H50" s="88" t="s">
        <v>828</v>
      </c>
      <c r="I50" s="122" t="str">
        <f>IF(_epmOfflineCondition_,"N",_xll.EVPRO($B$1,$H50,"STYLE"))</f>
        <v>N</v>
      </c>
      <c r="J50" s="122" t="str">
        <f>IF(_epmOfflineCondition_,"N",_xll.EVPRO($B$1,$H50,"CALC"))</f>
        <v>N</v>
      </c>
      <c r="K50" s="179" t="str">
        <f t="shared" ref="K50:K71"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43">
        <v>4682.6099999999997</v>
      </c>
      <c r="P50" s="143">
        <v>3134.13</v>
      </c>
      <c r="Q50" s="143">
        <v>3268.75</v>
      </c>
      <c r="R50" s="143">
        <v>4233.8</v>
      </c>
      <c r="S50" s="143">
        <v>2507.0500000000002</v>
      </c>
      <c r="T50" s="143">
        <v>1593.77</v>
      </c>
      <c r="U50" s="143">
        <v>4637.55</v>
      </c>
      <c r="V50" s="143">
        <v>3321.86</v>
      </c>
      <c r="W50" s="143">
        <v>3599.51</v>
      </c>
      <c r="X50" s="143">
        <v>3423.51</v>
      </c>
      <c r="Y50" s="143">
        <v>2895.19</v>
      </c>
      <c r="Z50" s="143">
        <v>3668.88</v>
      </c>
      <c r="AA50" s="210">
        <f t="shared" ref="AA50:AA72" si="13">IF($I50="B1","",SUM(O50:Z50))</f>
        <v>40966.61</v>
      </c>
      <c r="AB50" s="144">
        <f t="shared" ref="AB50:AB72" si="14">IF(AA50=0,"",IFERROR(AA50/AA$19,""))</f>
        <v>3.4406858420570063E-3</v>
      </c>
      <c r="AC50" s="140"/>
      <c r="AD50" s="143">
        <v>36366</v>
      </c>
      <c r="AE50" s="144">
        <f t="shared" ref="AE50:AE72" si="15">IF(AD50=0,"",IFERROR(AD50/AD$19,""))</f>
        <v>4.3642683465381629E-3</v>
      </c>
      <c r="AF50" s="145">
        <f t="shared" ref="AF50:AF72" si="16">IF(AND($AA50="",AD50=""),"",$AA50-AD50)</f>
        <v>4600.6100000000006</v>
      </c>
      <c r="AG50" s="143">
        <v>43932.91</v>
      </c>
      <c r="AH50" s="144">
        <f t="shared" ref="AH50:AH72" si="17">IF(AG50=0,"",IFERROR(AG50/AG$19,""))</f>
        <v>8.427009154258102E-3</v>
      </c>
      <c r="AI50" s="145">
        <f t="shared" ref="AI50:AI72" si="18">IF(AND($AA50="",AG50=""),"",$AA50-AG50)</f>
        <v>-2966.3000000000029</v>
      </c>
      <c r="AJ50" s="440">
        <f t="shared" ref="AJ50:AJ72" si="19">IFERROR(AA50/AA$20,0)</f>
        <v>0.85028248235782489</v>
      </c>
      <c r="AK50" s="441">
        <f t="shared" ref="AK50:AK72" si="20">IFERROR(AD50/AD$20,0)</f>
        <v>0.75479452054794516</v>
      </c>
      <c r="AL50" s="442">
        <f t="shared" ref="AL50:AL72" si="21">IFERROR(AG50/AG$20,0)</f>
        <v>0.90935813048517977</v>
      </c>
      <c r="AM50" s="443" t="str">
        <f t="shared" ref="AM50:AM72" si="22">+IFERROR(ROUND(($AB50-AE50)*100,2)&amp;" pts.",0)</f>
        <v>-0.09 pts.</v>
      </c>
      <c r="AN50" s="444" t="str">
        <f t="shared" ref="AN50:AN72" si="23">+IFERROR(ROUND(($AB50-AH50)*100,2)&amp;" pts.",0)</f>
        <v>-0.5 pts.</v>
      </c>
      <c r="AO50" s="11"/>
    </row>
    <row r="51" spans="1:41" x14ac:dyDescent="0.35">
      <c r="A51" s="65" t="s">
        <v>5</v>
      </c>
      <c r="B51" s="66"/>
      <c r="C51" s="11"/>
      <c r="D51" s="11"/>
      <c r="E51" s="11"/>
      <c r="F51" s="11"/>
      <c r="G51" s="11"/>
      <c r="H51" s="88" t="s">
        <v>829</v>
      </c>
      <c r="I51" s="122" t="str">
        <f>IF(_epmOfflineCondition_,"N",_xll.EVPRO($B$1,$H51,"STYLE"))</f>
        <v>N</v>
      </c>
      <c r="J51" s="122" t="str">
        <f>IF(_epmOfflineCondition_,"N",_xll.EVPRO($B$1,$H51,"CALC"))</f>
        <v>N</v>
      </c>
      <c r="K51" s="179" t="str">
        <f t="shared" si="12"/>
        <v/>
      </c>
      <c r="L51" s="90" t="str">
        <f>IF(_epmOfflineCondition_,"701200",_xll.EVPRO($B$1,H51,"JDEID"))</f>
        <v>701200</v>
      </c>
      <c r="M51" s="90" t="str">
        <f>IF(_epmOfflineCondition_,"690010",IF(AND(I51="N",J51="N"),_xll.EVPRO($B$1,H51,"PSFTID"),""))</f>
        <v>690010</v>
      </c>
      <c r="N51" s="90" t="str">
        <f>IF(_epmOfflineCondition_,"Postage and Overnight Delivery",IF(_xll.EVDES(H51,$B$1)="#NODATA","",_xll.EVDES(H51,$B$1)))</f>
        <v>Postage and Overnight Delivery</v>
      </c>
      <c r="O51" s="143"/>
      <c r="P51" s="143"/>
      <c r="Q51" s="143"/>
      <c r="R51" s="143"/>
      <c r="S51" s="143"/>
      <c r="T51" s="143"/>
      <c r="U51" s="143"/>
      <c r="V51" s="143"/>
      <c r="W51" s="143"/>
      <c r="X51" s="143"/>
      <c r="Y51" s="143"/>
      <c r="Z51" s="143"/>
      <c r="AA51" s="210">
        <f t="shared" si="13"/>
        <v>0</v>
      </c>
      <c r="AB51" s="144" t="str">
        <f t="shared" si="14"/>
        <v/>
      </c>
      <c r="AC51" s="140"/>
      <c r="AD51" s="143">
        <v>999.99999999960005</v>
      </c>
      <c r="AE51" s="144">
        <f t="shared" si="15"/>
        <v>1.2000957890712253E-4</v>
      </c>
      <c r="AF51" s="145">
        <f t="shared" si="16"/>
        <v>-999.99999999960005</v>
      </c>
      <c r="AG51" s="143">
        <v>45.27</v>
      </c>
      <c r="AH51" s="144">
        <f t="shared" si="17"/>
        <v>8.6834836211228492E-6</v>
      </c>
      <c r="AI51" s="145">
        <f t="shared" si="18"/>
        <v>-45.27</v>
      </c>
      <c r="AJ51" s="440">
        <f t="shared" si="19"/>
        <v>0</v>
      </c>
      <c r="AK51" s="441">
        <f t="shared" si="20"/>
        <v>2.0755500207546702E-2</v>
      </c>
      <c r="AL51" s="442">
        <f t="shared" si="21"/>
        <v>9.3703427719821165E-4</v>
      </c>
      <c r="AM51" s="443">
        <f t="shared" si="22"/>
        <v>0</v>
      </c>
      <c r="AN51" s="444">
        <f t="shared" si="23"/>
        <v>0</v>
      </c>
      <c r="AO51" s="11"/>
    </row>
    <row r="52" spans="1:41" x14ac:dyDescent="0.35">
      <c r="A52" s="65" t="s">
        <v>6</v>
      </c>
      <c r="B52" s="66"/>
      <c r="C52" s="11"/>
      <c r="D52" s="11"/>
      <c r="E52" s="11"/>
      <c r="F52" s="11"/>
      <c r="G52" s="11"/>
      <c r="H52" s="88" t="s">
        <v>856</v>
      </c>
      <c r="I52" s="122" t="str">
        <f>IF(_epmOfflineCondition_,"N",_xll.EVPRO($B$1,$H52,"STYLE"))</f>
        <v>N</v>
      </c>
      <c r="J52" s="122" t="str">
        <f>IF(_epmOfflineCondition_,"N",_xll.EVPRO($B$1,$H52,"CALC"))</f>
        <v>N</v>
      </c>
      <c r="K52" s="179" t="str">
        <f t="shared" si="12"/>
        <v/>
      </c>
      <c r="L52" s="90" t="str">
        <f>IF(_epmOfflineCondition_,"701300",_xll.EVPRO($B$1,H52,"JDEID"))</f>
        <v>701300</v>
      </c>
      <c r="M52" s="90" t="str">
        <f>IF(_epmOfflineCondition_,"690205",IF(AND(I52="N",J52="N"),_xll.EVPRO($B$1,H52,"PSFTID"),""))</f>
        <v>690205</v>
      </c>
      <c r="N52" s="90" t="str">
        <f>IF(_epmOfflineCondition_,"Printing &amp; Stationery",IF(_xll.EVDES(H52,$B$1)="#NODATA","",_xll.EVDES(H52,$B$1)))</f>
        <v>Printing &amp; Stationery</v>
      </c>
      <c r="O52" s="143"/>
      <c r="P52" s="143"/>
      <c r="Q52" s="143"/>
      <c r="R52" s="143"/>
      <c r="S52" s="143"/>
      <c r="T52" s="143"/>
      <c r="U52" s="143"/>
      <c r="V52" s="143">
        <v>196.73</v>
      </c>
      <c r="W52" s="143">
        <v>-196.73</v>
      </c>
      <c r="X52" s="143"/>
      <c r="Y52" s="143"/>
      <c r="Z52" s="143"/>
      <c r="AA52" s="210">
        <f t="shared" si="13"/>
        <v>0</v>
      </c>
      <c r="AB52" s="144" t="str">
        <f t="shared" si="14"/>
        <v/>
      </c>
      <c r="AC52" s="140"/>
      <c r="AD52" s="143"/>
      <c r="AE52" s="144" t="str">
        <f t="shared" si="15"/>
        <v/>
      </c>
      <c r="AF52" s="145">
        <f t="shared" si="16"/>
        <v>0</v>
      </c>
      <c r="AG52" s="143"/>
      <c r="AH52" s="144" t="str">
        <f t="shared" si="17"/>
        <v/>
      </c>
      <c r="AI52" s="145">
        <f t="shared" si="18"/>
        <v>0</v>
      </c>
      <c r="AJ52" s="440">
        <f t="shared" si="19"/>
        <v>0</v>
      </c>
      <c r="AK52" s="441">
        <f t="shared" si="20"/>
        <v>0</v>
      </c>
      <c r="AL52" s="442">
        <f t="shared" si="21"/>
        <v>0</v>
      </c>
      <c r="AM52" s="443">
        <f t="shared" si="22"/>
        <v>0</v>
      </c>
      <c r="AN52" s="444">
        <f t="shared" si="23"/>
        <v>0</v>
      </c>
      <c r="AO52" s="11"/>
    </row>
    <row r="53" spans="1:41" x14ac:dyDescent="0.35">
      <c r="A53" s="65" t="s">
        <v>7</v>
      </c>
      <c r="B53" s="66"/>
      <c r="C53" s="11"/>
      <c r="D53" s="11"/>
      <c r="E53" s="11"/>
      <c r="F53" s="11"/>
      <c r="G53" s="11"/>
      <c r="H53" s="88" t="s">
        <v>831</v>
      </c>
      <c r="I53" s="122" t="str">
        <f>IF(_epmOfflineCondition_,"T4",_xll.EVPRO($B$1,$H53,"STYLE"))</f>
        <v>T4</v>
      </c>
      <c r="J53" s="122" t="str">
        <f>IF(_epmOfflineCondition_,"Y",_xll.EVPRO($B$1,$H53,"CALC"))</f>
        <v>Y</v>
      </c>
      <c r="K53" s="179" t="str">
        <f t="shared" si="12"/>
        <v>&gt;</v>
      </c>
      <c r="L53" s="90" t="str">
        <f>IF(_epmOfflineCondition_,"701500",_xll.EVPRO($B$1,H53,"JDEID"))</f>
        <v>701500</v>
      </c>
      <c r="M53" s="90" t="str">
        <f>IF(_epmOfflineCondition_,"",IF(AND(I53="N",J53="N"),_xll.EVPRO($B$1,H53,"PSFTID"),""))</f>
        <v/>
      </c>
      <c r="N53" s="90" t="str">
        <f>IF(_epmOfflineCondition_,"Operating Supplies",IF(_xll.EVDES(H53,$B$1)="#NODATA","",_xll.EVDES(H53,$B$1)))</f>
        <v>Operating Supplies</v>
      </c>
      <c r="O53" s="143"/>
      <c r="P53" s="143"/>
      <c r="Q53" s="143"/>
      <c r="R53" s="143"/>
      <c r="S53" s="143"/>
      <c r="T53" s="143">
        <v>196.73</v>
      </c>
      <c r="U53" s="143"/>
      <c r="V53" s="143"/>
      <c r="W53" s="143">
        <v>0</v>
      </c>
      <c r="X53" s="143"/>
      <c r="Y53" s="143">
        <v>39.79</v>
      </c>
      <c r="Z53" s="143"/>
      <c r="AA53" s="210">
        <f t="shared" si="13"/>
        <v>236.51999999999998</v>
      </c>
      <c r="AB53" s="144">
        <f t="shared" si="14"/>
        <v>1.9864738999964191E-5</v>
      </c>
      <c r="AC53" s="140"/>
      <c r="AD53" s="143">
        <v>900</v>
      </c>
      <c r="AE53" s="144">
        <f t="shared" si="15"/>
        <v>1.0800862101645347E-4</v>
      </c>
      <c r="AF53" s="145">
        <f t="shared" si="16"/>
        <v>-663.48</v>
      </c>
      <c r="AG53" s="143">
        <v>565.86</v>
      </c>
      <c r="AH53" s="144">
        <f t="shared" si="17"/>
        <v>1.0854066803288216E-4</v>
      </c>
      <c r="AI53" s="145">
        <f t="shared" si="18"/>
        <v>-329.34000000000003</v>
      </c>
      <c r="AJ53" s="440">
        <f t="shared" si="19"/>
        <v>4.909090909090909E-3</v>
      </c>
      <c r="AK53" s="441">
        <f t="shared" si="20"/>
        <v>1.86799501867995E-2</v>
      </c>
      <c r="AL53" s="442">
        <f t="shared" si="21"/>
        <v>1.1712617983109786E-2</v>
      </c>
      <c r="AM53" s="443" t="str">
        <f t="shared" si="22"/>
        <v>-0.01 pts.</v>
      </c>
      <c r="AN53" s="444" t="str">
        <f t="shared" si="23"/>
        <v>-0.01 pts.</v>
      </c>
      <c r="AO53" s="11"/>
    </row>
    <row r="54" spans="1:41" x14ac:dyDescent="0.35">
      <c r="A54" s="65" t="s">
        <v>47</v>
      </c>
      <c r="B54" s="66" t="str">
        <f>IF(_epmOfflineCondition_,"'SM'!$A$59:$B$80",_xll.EVRNG($A$59:$B$80))</f>
        <v>'SM'!$A$59:$B$80</v>
      </c>
      <c r="C54" s="11"/>
      <c r="D54" s="11"/>
      <c r="E54" s="11"/>
      <c r="F54" s="11"/>
      <c r="G54" s="11"/>
      <c r="H54" s="88" t="s">
        <v>832</v>
      </c>
      <c r="I54" s="122" t="str">
        <f>IF(_epmOfflineCondition_,"T4",_xll.EVPRO($B$1,$H54,"STYLE"))</f>
        <v>T4</v>
      </c>
      <c r="J54" s="122" t="str">
        <f>IF(_epmOfflineCondition_,"Y",_xll.EVPRO($B$1,$H54,"CALC"))</f>
        <v>Y</v>
      </c>
      <c r="K54" s="179" t="str">
        <f t="shared" si="12"/>
        <v>&gt;</v>
      </c>
      <c r="L54" s="90" t="str">
        <f>IF(_epmOfflineCondition_,"",_xll.EVPRO($B$1,H54,"JDEID"))</f>
        <v/>
      </c>
      <c r="M54" s="90" t="str">
        <f>IF(_epmOfflineCondition_,"",IF(AND(I54="N",J54="N"),_xll.EVPRO($B$1,H54,"PSFTID"),""))</f>
        <v/>
      </c>
      <c r="N54" s="90" t="str">
        <f>IF(_epmOfflineCondition_,"Contract Services",IF(_xll.EVDES(H54,$B$1)="#NODATA","",_xll.EVDES(H54,$B$1)))</f>
        <v>Contract Services</v>
      </c>
      <c r="O54" s="143">
        <v>482.33</v>
      </c>
      <c r="P54" s="143">
        <v>3992.33</v>
      </c>
      <c r="Q54" s="143">
        <v>409</v>
      </c>
      <c r="R54" s="143">
        <v>409</v>
      </c>
      <c r="S54" s="143">
        <v>629.03</v>
      </c>
      <c r="T54" s="143">
        <v>482.33</v>
      </c>
      <c r="U54" s="143">
        <v>482.33</v>
      </c>
      <c r="V54" s="143">
        <v>482.33</v>
      </c>
      <c r="W54" s="143">
        <v>73.33</v>
      </c>
      <c r="X54" s="143">
        <v>891.33</v>
      </c>
      <c r="Y54" s="143">
        <v>-1517.67</v>
      </c>
      <c r="Z54" s="143">
        <v>482.33</v>
      </c>
      <c r="AA54" s="210">
        <f t="shared" si="13"/>
        <v>7298</v>
      </c>
      <c r="AB54" s="144">
        <f t="shared" si="14"/>
        <v>6.129412532628897E-4</v>
      </c>
      <c r="AC54" s="140"/>
      <c r="AD54" s="143">
        <v>10110</v>
      </c>
      <c r="AE54" s="144">
        <f t="shared" si="15"/>
        <v>1.213296842751494E-3</v>
      </c>
      <c r="AF54" s="145">
        <f t="shared" si="16"/>
        <v>-2812</v>
      </c>
      <c r="AG54" s="143">
        <v>17907.939999999999</v>
      </c>
      <c r="AH54" s="144">
        <f t="shared" si="17"/>
        <v>3.4350188574784782E-3</v>
      </c>
      <c r="AI54" s="145">
        <f t="shared" si="18"/>
        <v>-10609.939999999999</v>
      </c>
      <c r="AJ54" s="440">
        <f t="shared" si="19"/>
        <v>0.15147364051473641</v>
      </c>
      <c r="AK54" s="441">
        <f t="shared" si="20"/>
        <v>0.20983810709838108</v>
      </c>
      <c r="AL54" s="442">
        <f t="shared" si="21"/>
        <v>0.37067271071369429</v>
      </c>
      <c r="AM54" s="443" t="str">
        <f t="shared" si="22"/>
        <v>-0.06 pts.</v>
      </c>
      <c r="AN54" s="444" t="str">
        <f t="shared" si="23"/>
        <v>-0.28 pts.</v>
      </c>
      <c r="AO54" s="11"/>
    </row>
    <row r="55" spans="1:41" x14ac:dyDescent="0.35">
      <c r="A55" s="65" t="s">
        <v>8</v>
      </c>
      <c r="B55" s="66"/>
      <c r="C55" s="11"/>
      <c r="D55" s="11"/>
      <c r="E55" s="11"/>
      <c r="F55" s="11"/>
      <c r="G55" s="11"/>
      <c r="H55" s="88" t="s">
        <v>833</v>
      </c>
      <c r="I55" s="122" t="str">
        <f>IF(_epmOfflineCondition_,"T4",_xll.EVPRO($B$1,$H55,"STYLE"))</f>
        <v>T4</v>
      </c>
      <c r="J55" s="122" t="str">
        <f>IF(_epmOfflineCondition_,"Y",_xll.EVPRO($B$1,$H55,"CALC"))</f>
        <v>Y</v>
      </c>
      <c r="K55" s="179" t="str">
        <f t="shared" si="12"/>
        <v>&gt;</v>
      </c>
      <c r="L55" s="90" t="str">
        <f>IF(_epmOfflineCondition_,"",_xll.EVPRO($B$1,H55,"JDEID"))</f>
        <v/>
      </c>
      <c r="M55" s="90" t="str">
        <f>IF(_epmOfflineCondition_,"",IF(AND(I55="N",J55="N"),_xll.EVPRO($B$1,H55,"PSFTID"),""))</f>
        <v/>
      </c>
      <c r="N55" s="90" t="str">
        <f>IF(_epmOfflineCondition_,"Travel - Other",IF(_xll.EVDES(H55,$B$1)="#NODATA","",_xll.EVDES(H55,$B$1)))</f>
        <v>Travel - Other</v>
      </c>
      <c r="O55" s="143"/>
      <c r="P55" s="143"/>
      <c r="Q55" s="143"/>
      <c r="R55" s="143"/>
      <c r="S55" s="143"/>
      <c r="T55" s="143"/>
      <c r="U55" s="143"/>
      <c r="V55" s="143"/>
      <c r="W55" s="143"/>
      <c r="X55" s="143"/>
      <c r="Y55" s="143"/>
      <c r="Z55" s="143"/>
      <c r="AA55" s="210">
        <f t="shared" si="13"/>
        <v>0</v>
      </c>
      <c r="AB55" s="144" t="str">
        <f t="shared" si="14"/>
        <v/>
      </c>
      <c r="AC55" s="140"/>
      <c r="AD55" s="143">
        <v>800</v>
      </c>
      <c r="AE55" s="144">
        <f t="shared" si="15"/>
        <v>9.6007663125736414E-5</v>
      </c>
      <c r="AF55" s="145">
        <f t="shared" si="16"/>
        <v>-800</v>
      </c>
      <c r="AG55" s="143">
        <v>4117.3900000000003</v>
      </c>
      <c r="AH55" s="144">
        <f t="shared" si="17"/>
        <v>7.897788519278774E-4</v>
      </c>
      <c r="AI55" s="145">
        <f t="shared" si="18"/>
        <v>-4117.3900000000003</v>
      </c>
      <c r="AJ55" s="440">
        <f t="shared" si="19"/>
        <v>0</v>
      </c>
      <c r="AK55" s="441">
        <f t="shared" si="20"/>
        <v>1.6604400166044003E-2</v>
      </c>
      <c r="AL55" s="442">
        <f t="shared" si="21"/>
        <v>8.5224995860241765E-2</v>
      </c>
      <c r="AM55" s="443">
        <f t="shared" si="22"/>
        <v>0</v>
      </c>
      <c r="AN55" s="444">
        <f t="shared" si="23"/>
        <v>0</v>
      </c>
      <c r="AO55" s="11"/>
    </row>
    <row r="56" spans="1:41" x14ac:dyDescent="0.35">
      <c r="A56" s="11"/>
      <c r="B56" s="11"/>
      <c r="C56" s="11"/>
      <c r="D56" s="11"/>
      <c r="E56" s="11"/>
      <c r="F56" s="11"/>
      <c r="G56" s="11"/>
      <c r="H56" s="88" t="s">
        <v>834</v>
      </c>
      <c r="I56" s="122" t="str">
        <f>IF(_epmOfflineCondition_,"T4",_xll.EVPRO($B$1,$H56,"STYLE"))</f>
        <v>T4</v>
      </c>
      <c r="J56" s="122" t="str">
        <f>IF(_epmOfflineCondition_,"Y",_xll.EVPRO($B$1,$H56,"CALC"))</f>
        <v>Y</v>
      </c>
      <c r="K56" s="179" t="str">
        <f t="shared" si="12"/>
        <v>&gt;</v>
      </c>
      <c r="L56" s="90" t="str">
        <f>IF(_epmOfflineCondition_,"702900",_xll.EVPRO($B$1,H56,"JDEID"))</f>
        <v>702900</v>
      </c>
      <c r="M56" s="90" t="str">
        <f>IF(_epmOfflineCondition_,"",IF(AND(I56="N",J56="N"),_xll.EVPRO($B$1,H56,"PSFTID"),""))</f>
        <v/>
      </c>
      <c r="N56" s="90" t="str">
        <f>IF(_epmOfflineCondition_,"Travel - Meals &amp; Entertainment",IF(_xll.EVDES(H56,$B$1)="#NODATA","",_xll.EVDES(H56,$B$1)))</f>
        <v>Travel - Meals &amp; Entertainment</v>
      </c>
      <c r="O56" s="143"/>
      <c r="P56" s="143"/>
      <c r="Q56" s="143"/>
      <c r="R56" s="143"/>
      <c r="S56" s="143"/>
      <c r="T56" s="143"/>
      <c r="U56" s="143"/>
      <c r="V56" s="143"/>
      <c r="W56" s="143"/>
      <c r="X56" s="143"/>
      <c r="Y56" s="143"/>
      <c r="Z56" s="143"/>
      <c r="AA56" s="210">
        <f t="shared" si="13"/>
        <v>0</v>
      </c>
      <c r="AB56" s="144" t="str">
        <f t="shared" si="14"/>
        <v/>
      </c>
      <c r="AC56" s="140"/>
      <c r="AD56" s="143">
        <v>3500</v>
      </c>
      <c r="AE56" s="144">
        <f t="shared" si="15"/>
        <v>4.2003352617509682E-4</v>
      </c>
      <c r="AF56" s="145">
        <f t="shared" si="16"/>
        <v>-3500</v>
      </c>
      <c r="AG56" s="143">
        <v>3199.82</v>
      </c>
      <c r="AH56" s="144">
        <f t="shared" si="17"/>
        <v>6.1377478596291843E-4</v>
      </c>
      <c r="AI56" s="145">
        <f t="shared" si="18"/>
        <v>-3199.82</v>
      </c>
      <c r="AJ56" s="440">
        <f t="shared" si="19"/>
        <v>0</v>
      </c>
      <c r="AK56" s="441">
        <f t="shared" si="20"/>
        <v>7.2644250726442511E-2</v>
      </c>
      <c r="AL56" s="442">
        <f t="shared" si="21"/>
        <v>6.6232406027487992E-2</v>
      </c>
      <c r="AM56" s="443">
        <f t="shared" si="22"/>
        <v>0</v>
      </c>
      <c r="AN56" s="444">
        <f t="shared" si="23"/>
        <v>0</v>
      </c>
      <c r="AO56" s="11"/>
    </row>
    <row r="57" spans="1:41" x14ac:dyDescent="0.35">
      <c r="A57" s="11"/>
      <c r="B57" s="11"/>
      <c r="C57" s="11"/>
      <c r="D57" s="11"/>
      <c r="E57" s="11"/>
      <c r="F57" s="11"/>
      <c r="G57" s="11"/>
      <c r="H57" s="88" t="s">
        <v>874</v>
      </c>
      <c r="I57" s="122" t="str">
        <f>IF(_epmOfflineCondition_,"T4",_xll.EVPRO($B$1,$H57,"STYLE"))</f>
        <v>T4</v>
      </c>
      <c r="J57" s="122" t="str">
        <f>IF(_epmOfflineCondition_,"Y",_xll.EVPRO($B$1,$H57,"CALC"))</f>
        <v>Y</v>
      </c>
      <c r="K57" s="179" t="str">
        <f t="shared" si="12"/>
        <v>&gt;</v>
      </c>
      <c r="L57" s="90" t="str">
        <f>IF(_epmOfflineCondition_,"703000",_xll.EVPRO($B$1,H57,"JDEID"))</f>
        <v>703000</v>
      </c>
      <c r="M57" s="90" t="str">
        <f>IF(_epmOfflineCondition_,"",IF(AND(I57="N",J57="N"),_xll.EVPRO($B$1,H57,"PSFTID"),""))</f>
        <v/>
      </c>
      <c r="N57" s="90" t="str">
        <f>IF(_epmOfflineCondition_,"Complimentary Services &amp; Gifts",IF(_xll.EVDES(H57,$B$1)="#NODATA","",_xll.EVDES(H57,$B$1)))</f>
        <v>Complimentary Services &amp; Gifts</v>
      </c>
      <c r="O57" s="143"/>
      <c r="P57" s="143"/>
      <c r="Q57" s="143"/>
      <c r="R57" s="143">
        <v>25</v>
      </c>
      <c r="S57" s="143"/>
      <c r="T57" s="143">
        <v>79.91</v>
      </c>
      <c r="U57" s="143"/>
      <c r="V57" s="143"/>
      <c r="W57" s="143"/>
      <c r="X57" s="143">
        <v>53.49</v>
      </c>
      <c r="Y57" s="143"/>
      <c r="Z57" s="143"/>
      <c r="AA57" s="210">
        <f t="shared" si="13"/>
        <v>158.4</v>
      </c>
      <c r="AB57" s="144">
        <f t="shared" si="14"/>
        <v>1.3303630380493523E-5</v>
      </c>
      <c r="AC57" s="140"/>
      <c r="AD57" s="143">
        <v>1600</v>
      </c>
      <c r="AE57" s="144">
        <f t="shared" si="15"/>
        <v>1.9201532625147283E-4</v>
      </c>
      <c r="AF57" s="145">
        <f t="shared" si="16"/>
        <v>-1441.6</v>
      </c>
      <c r="AG57" s="143">
        <v>873.99</v>
      </c>
      <c r="AH57" s="144">
        <f t="shared" si="17"/>
        <v>1.6764475038712524E-4</v>
      </c>
      <c r="AI57" s="145">
        <f t="shared" si="18"/>
        <v>-715.59</v>
      </c>
      <c r="AJ57" s="440">
        <f t="shared" si="19"/>
        <v>3.2876712328767125E-3</v>
      </c>
      <c r="AK57" s="441">
        <f t="shared" si="20"/>
        <v>3.3208800332088007E-2</v>
      </c>
      <c r="AL57" s="442">
        <f t="shared" si="21"/>
        <v>1.8090536512667659E-2</v>
      </c>
      <c r="AM57" s="443" t="str">
        <f t="shared" si="22"/>
        <v>-0.02 pts.</v>
      </c>
      <c r="AN57" s="444" t="str">
        <f t="shared" si="23"/>
        <v>-0.02 pts.</v>
      </c>
      <c r="AO57" s="11"/>
    </row>
    <row r="58" spans="1:41" x14ac:dyDescent="0.35">
      <c r="A58" s="62" t="s">
        <v>23</v>
      </c>
      <c r="B58" s="63" t="s">
        <v>24</v>
      </c>
      <c r="C58" s="11"/>
      <c r="D58" s="11"/>
      <c r="E58" s="11"/>
      <c r="F58" s="11"/>
      <c r="G58" s="11"/>
      <c r="H58" s="88" t="s">
        <v>883</v>
      </c>
      <c r="I58" s="122" t="str">
        <f>IF(_epmOfflineCondition_,"N",_xll.EVPRO($B$1,$H58,"STYLE"))</f>
        <v>N</v>
      </c>
      <c r="J58" s="122" t="str">
        <f>IF(_epmOfflineCondition_,"N",_xll.EVPRO($B$1,$H58,"CALC"))</f>
        <v>N</v>
      </c>
      <c r="K58" s="179" t="str">
        <f t="shared" si="12"/>
        <v/>
      </c>
      <c r="L58" s="90" t="str">
        <f>IF(_epmOfflineCondition_,"703100",_xll.EVPRO($B$1,H58,"JDEID"))</f>
        <v>703100</v>
      </c>
      <c r="M58" s="90" t="str">
        <f>IF(_epmOfflineCondition_,"690035",IF(AND(I58="N",J58="N"),_xll.EVPRO($B$1,H58,"PSFTID"),""))</f>
        <v>690035</v>
      </c>
      <c r="N58" s="90" t="str">
        <f>IF(_epmOfflineCondition_,"Training",IF(_xll.EVDES(H58,$B$1)="#NODATA","",_xll.EVDES(H58,$B$1)))</f>
        <v>Training</v>
      </c>
      <c r="O58" s="143"/>
      <c r="P58" s="143"/>
      <c r="Q58" s="143"/>
      <c r="R58" s="143"/>
      <c r="S58" s="143"/>
      <c r="T58" s="143"/>
      <c r="U58" s="143"/>
      <c r="V58" s="143"/>
      <c r="W58" s="143"/>
      <c r="X58" s="143"/>
      <c r="Y58" s="143"/>
      <c r="Z58" s="143"/>
      <c r="AA58" s="210">
        <f t="shared" si="13"/>
        <v>0</v>
      </c>
      <c r="AB58" s="144" t="str">
        <f t="shared" si="14"/>
        <v/>
      </c>
      <c r="AC58" s="140"/>
      <c r="AD58" s="143"/>
      <c r="AE58" s="144" t="str">
        <f t="shared" si="15"/>
        <v/>
      </c>
      <c r="AF58" s="145">
        <f t="shared" si="16"/>
        <v>0</v>
      </c>
      <c r="AG58" s="143">
        <v>21.24</v>
      </c>
      <c r="AH58" s="144">
        <f t="shared" si="17"/>
        <v>4.0741593132902435E-6</v>
      </c>
      <c r="AI58" s="145">
        <f t="shared" si="18"/>
        <v>-21.24</v>
      </c>
      <c r="AJ58" s="440">
        <f t="shared" si="19"/>
        <v>0</v>
      </c>
      <c r="AK58" s="441">
        <f t="shared" si="20"/>
        <v>0</v>
      </c>
      <c r="AL58" s="442">
        <f t="shared" si="21"/>
        <v>4.3964232488822647E-4</v>
      </c>
      <c r="AM58" s="443">
        <f t="shared" si="22"/>
        <v>0</v>
      </c>
      <c r="AN58" s="444">
        <f t="shared" si="23"/>
        <v>0</v>
      </c>
      <c r="AO58" s="11"/>
    </row>
    <row r="59" spans="1:41" x14ac:dyDescent="0.35">
      <c r="A59" s="65" t="s">
        <v>25</v>
      </c>
      <c r="B59" s="66"/>
      <c r="C59" s="11"/>
      <c r="D59" s="11"/>
      <c r="E59" s="11"/>
      <c r="F59" s="11"/>
      <c r="G59" s="11"/>
      <c r="H59" s="88" t="s">
        <v>876</v>
      </c>
      <c r="I59" s="122" t="str">
        <f>IF(_epmOfflineCondition_,"N",_xll.EVPRO($B$1,$H59,"STYLE"))</f>
        <v>N</v>
      </c>
      <c r="J59" s="122" t="str">
        <f>IF(_epmOfflineCondition_,"N",_xll.EVPRO($B$1,$H59,"CALC"))</f>
        <v>N</v>
      </c>
      <c r="K59" s="179" t="str">
        <f t="shared" si="12"/>
        <v/>
      </c>
      <c r="L59" s="90" t="str">
        <f>IF(_epmOfflineCondition_,"703300",_xll.EVPRO($B$1,H59,"JDEID"))</f>
        <v>703300</v>
      </c>
      <c r="M59" s="90" t="str">
        <f>IF(_epmOfflineCondition_,"590115",IF(AND(I59="N",J59="N"),_xll.EVPRO($B$1,H59,"PSFTID"),""))</f>
        <v>590115</v>
      </c>
      <c r="N59" s="90" t="str">
        <f>IF(_epmOfflineCondition_,"Uniforms Laundry",IF(_xll.EVDES(H59,$B$1)="#NODATA","",_xll.EVDES(H59,$B$1)))</f>
        <v>Uniforms Laundry</v>
      </c>
      <c r="O59" s="143"/>
      <c r="P59" s="143"/>
      <c r="Q59" s="143"/>
      <c r="R59" s="143"/>
      <c r="S59" s="143"/>
      <c r="T59" s="143">
        <v>22.8</v>
      </c>
      <c r="U59" s="143">
        <v>38.4</v>
      </c>
      <c r="V59" s="143"/>
      <c r="W59" s="143"/>
      <c r="X59" s="143">
        <v>54.4</v>
      </c>
      <c r="Y59" s="143">
        <v>2</v>
      </c>
      <c r="Z59" s="143"/>
      <c r="AA59" s="210">
        <f t="shared" si="13"/>
        <v>117.6</v>
      </c>
      <c r="AB59" s="144">
        <f t="shared" si="14"/>
        <v>9.8769377067300387E-6</v>
      </c>
      <c r="AC59" s="140"/>
      <c r="AD59" s="143"/>
      <c r="AE59" s="144" t="str">
        <f t="shared" si="15"/>
        <v/>
      </c>
      <c r="AF59" s="145">
        <f t="shared" si="16"/>
        <v>117.6</v>
      </c>
      <c r="AG59" s="143">
        <v>381.46</v>
      </c>
      <c r="AH59" s="144">
        <f t="shared" si="17"/>
        <v>7.3169906386426367E-5</v>
      </c>
      <c r="AI59" s="145">
        <f t="shared" si="18"/>
        <v>-263.86</v>
      </c>
      <c r="AJ59" s="440">
        <f t="shared" si="19"/>
        <v>2.4408468244084681E-3</v>
      </c>
      <c r="AK59" s="441">
        <f t="shared" si="20"/>
        <v>0</v>
      </c>
      <c r="AL59" s="442">
        <f t="shared" si="21"/>
        <v>7.8957608875641662E-3</v>
      </c>
      <c r="AM59" s="443">
        <f t="shared" si="22"/>
        <v>0</v>
      </c>
      <c r="AN59" s="444" t="str">
        <f t="shared" si="23"/>
        <v>-0.01 pts.</v>
      </c>
      <c r="AO59" s="11"/>
    </row>
    <row r="60" spans="1:41" x14ac:dyDescent="0.35">
      <c r="A60" s="65" t="s">
        <v>26</v>
      </c>
      <c r="B60" s="66"/>
      <c r="C60" s="11"/>
      <c r="D60" s="11"/>
      <c r="E60" s="11"/>
      <c r="F60" s="11"/>
      <c r="G60" s="11"/>
      <c r="H60" s="88" t="s">
        <v>845</v>
      </c>
      <c r="I60" s="122" t="str">
        <f>IF(_epmOfflineCondition_,"T4",_xll.EVPRO($B$1,$H60,"STYLE"))</f>
        <v>T4</v>
      </c>
      <c r="J60" s="122" t="str">
        <f>IF(_epmOfflineCondition_,"Y",_xll.EVPRO($B$1,$H60,"CALC"))</f>
        <v>Y</v>
      </c>
      <c r="K60" s="179" t="str">
        <f t="shared" si="12"/>
        <v>&gt;</v>
      </c>
      <c r="L60" s="90" t="str">
        <f>IF(_epmOfflineCondition_,"706500",_xll.EVPRO($B$1,H60,"JDEID"))</f>
        <v>706500</v>
      </c>
      <c r="M60" s="90" t="str">
        <f>IF(_epmOfflineCondition_,"",IF(AND(I60="N",J60="N"),_xll.EVPRO($B$1,H60,"PSFTID"),""))</f>
        <v/>
      </c>
      <c r="N60" s="90" t="str">
        <f>IF(_epmOfflineCondition_,"Corporate Office Reimbursement",IF(_xll.EVDES(H60,$B$1)="#NODATA","",_xll.EVDES(H60,$B$1)))</f>
        <v>Corporate Office Reimbursement</v>
      </c>
      <c r="O60" s="143">
        <v>11731.04</v>
      </c>
      <c r="P60" s="143">
        <v>13733.92</v>
      </c>
      <c r="Q60" s="143">
        <v>17345.03</v>
      </c>
      <c r="R60" s="143">
        <v>17170.27</v>
      </c>
      <c r="S60" s="143">
        <v>20428.68</v>
      </c>
      <c r="T60" s="143">
        <v>16583.13</v>
      </c>
      <c r="U60" s="143">
        <v>19006.509999999998</v>
      </c>
      <c r="V60" s="143">
        <v>11162.55</v>
      </c>
      <c r="W60" s="143">
        <v>8152.62</v>
      </c>
      <c r="X60" s="143">
        <v>11184.56</v>
      </c>
      <c r="Y60" s="143">
        <v>14479.49</v>
      </c>
      <c r="Z60" s="143">
        <v>22241.29</v>
      </c>
      <c r="AA60" s="210">
        <f t="shared" si="13"/>
        <v>183219.09</v>
      </c>
      <c r="AB60" s="144">
        <f t="shared" si="14"/>
        <v>1.5388125328348341E-2</v>
      </c>
      <c r="AC60" s="140"/>
      <c r="AD60" s="143">
        <v>118841.2084</v>
      </c>
      <c r="AE60" s="144">
        <f t="shared" si="15"/>
        <v>1.4262083376903297E-2</v>
      </c>
      <c r="AF60" s="145">
        <f t="shared" si="16"/>
        <v>64377.881599999993</v>
      </c>
      <c r="AG60" s="143">
        <v>81382.740000000005</v>
      </c>
      <c r="AH60" s="144">
        <f t="shared" si="17"/>
        <v>1.5610463658760756E-2</v>
      </c>
      <c r="AI60" s="145">
        <f t="shared" si="18"/>
        <v>101836.34999999999</v>
      </c>
      <c r="AJ60" s="440">
        <f t="shared" si="19"/>
        <v>3.8028038605230385</v>
      </c>
      <c r="AK60" s="441">
        <f t="shared" si="20"/>
        <v>2.4666087256122875</v>
      </c>
      <c r="AL60" s="442">
        <f t="shared" si="21"/>
        <v>1.6845243417784403</v>
      </c>
      <c r="AM60" s="443" t="str">
        <f t="shared" si="22"/>
        <v>0.11 pts.</v>
      </c>
      <c r="AN60" s="444" t="str">
        <f t="shared" si="23"/>
        <v>-0.02 pts.</v>
      </c>
      <c r="AO60" s="11"/>
    </row>
    <row r="61" spans="1:41" x14ac:dyDescent="0.35">
      <c r="A61" s="65" t="s">
        <v>27</v>
      </c>
      <c r="B61" s="66"/>
      <c r="C61" s="11"/>
      <c r="D61" s="11"/>
      <c r="E61" s="11"/>
      <c r="F61" s="11"/>
      <c r="G61" s="11"/>
      <c r="H61" s="88" t="s">
        <v>944</v>
      </c>
      <c r="I61" s="122" t="str">
        <f>IF(_epmOfflineCondition_,"T4",_xll.EVPRO($B$1,$H61,"STYLE"))</f>
        <v>T4</v>
      </c>
      <c r="J61" s="122" t="str">
        <f>IF(_epmOfflineCondition_,"Y",_xll.EVPRO($B$1,$H61,"CALC"))</f>
        <v>Y</v>
      </c>
      <c r="K61" s="179" t="str">
        <f t="shared" si="12"/>
        <v>&gt;</v>
      </c>
      <c r="L61" s="90" t="str">
        <f>IF(_epmOfflineCondition_,"711100",_xll.EVPRO($B$1,H61,"JDEID"))</f>
        <v>711100</v>
      </c>
      <c r="M61" s="90" t="str">
        <f>IF(_epmOfflineCondition_,"",IF(AND(I61="N",J61="N"),_xll.EVPRO($B$1,H61,"PSFTID"),""))</f>
        <v/>
      </c>
      <c r="N61" s="90" t="str">
        <f>IF(_epmOfflineCondition_,"Promotion",IF(_xll.EVDES(H61,$B$1)="#NODATA","",_xll.EVDES(H61,$B$1)))</f>
        <v>Promotion</v>
      </c>
      <c r="O61" s="143">
        <v>421.61</v>
      </c>
      <c r="P61" s="143">
        <v>553.94000000000005</v>
      </c>
      <c r="Q61" s="143">
        <v>559.09</v>
      </c>
      <c r="R61" s="143">
        <v>1315.79</v>
      </c>
      <c r="S61" s="143">
        <v>4448.6000000000004</v>
      </c>
      <c r="T61" s="143">
        <v>13206.73</v>
      </c>
      <c r="U61" s="143">
        <v>629.54</v>
      </c>
      <c r="V61" s="143">
        <v>-11223.9</v>
      </c>
      <c r="W61" s="143">
        <v>153.86000000000001</v>
      </c>
      <c r="X61" s="143">
        <v>1253.53</v>
      </c>
      <c r="Y61" s="143">
        <v>1443.96</v>
      </c>
      <c r="Z61" s="143">
        <v>15760.67</v>
      </c>
      <c r="AA61" s="210">
        <f t="shared" si="13"/>
        <v>28523.420000000006</v>
      </c>
      <c r="AB61" s="144">
        <f t="shared" si="14"/>
        <v>2.3956126064872264E-3</v>
      </c>
      <c r="AC61" s="140"/>
      <c r="AD61" s="143">
        <v>25420.619924999999</v>
      </c>
      <c r="AE61" s="144">
        <f t="shared" si="15"/>
        <v>3.0507178927584784E-3</v>
      </c>
      <c r="AF61" s="145">
        <f t="shared" si="16"/>
        <v>3102.8000750000065</v>
      </c>
      <c r="AG61" s="143">
        <v>20933.59</v>
      </c>
      <c r="AH61" s="144">
        <f t="shared" si="17"/>
        <v>4.015385153441596E-3</v>
      </c>
      <c r="AI61" s="145">
        <f t="shared" si="18"/>
        <v>7589.8300000000054</v>
      </c>
      <c r="AJ61" s="440">
        <f t="shared" si="19"/>
        <v>0.59201784973017857</v>
      </c>
      <c r="AK61" s="441">
        <f t="shared" si="20"/>
        <v>0.52761768212951432</v>
      </c>
      <c r="AL61" s="442">
        <f t="shared" si="21"/>
        <v>0.43330000827951648</v>
      </c>
      <c r="AM61" s="443" t="str">
        <f t="shared" si="22"/>
        <v>-0.07 pts.</v>
      </c>
      <c r="AN61" s="444" t="str">
        <f t="shared" si="23"/>
        <v>-0.16 pts.</v>
      </c>
      <c r="AO61" s="11"/>
    </row>
    <row r="62" spans="1:41" x14ac:dyDescent="0.35">
      <c r="A62" s="65" t="s">
        <v>28</v>
      </c>
      <c r="B62" s="66"/>
      <c r="C62" s="11"/>
      <c r="D62" s="11"/>
      <c r="E62" s="11"/>
      <c r="F62" s="11"/>
      <c r="G62" s="11"/>
      <c r="H62" s="88" t="s">
        <v>945</v>
      </c>
      <c r="I62" s="122" t="str">
        <f>IF(_epmOfflineCondition_,"N",_xll.EVPRO($B$1,$H62,"STYLE"))</f>
        <v>N</v>
      </c>
      <c r="J62" s="122" t="str">
        <f>IF(_epmOfflineCondition_,"N",_xll.EVPRO($B$1,$H62,"CALC"))</f>
        <v>N</v>
      </c>
      <c r="K62" s="179" t="str">
        <f t="shared" si="12"/>
        <v/>
      </c>
      <c r="L62" s="90" t="str">
        <f>IF(_epmOfflineCondition_,"711200",_xll.EVPRO($B$1,H62,"JDEID"))</f>
        <v>711200</v>
      </c>
      <c r="M62" s="90" t="str">
        <f>IF(_epmOfflineCondition_,"690668",IF(AND(I62="N",J62="N"),_xll.EVPRO($B$1,H62,"PSFTID"),""))</f>
        <v>690668</v>
      </c>
      <c r="N62" s="90" t="str">
        <f>IF(_epmOfflineCondition_,"Fam Trips",IF(_xll.EVDES(H62,$B$1)="#NODATA","",_xll.EVDES(H62,$B$1)))</f>
        <v>Fam Trips</v>
      </c>
      <c r="O62" s="143"/>
      <c r="P62" s="143"/>
      <c r="Q62" s="143"/>
      <c r="R62" s="143"/>
      <c r="S62" s="143"/>
      <c r="T62" s="143">
        <v>333.33</v>
      </c>
      <c r="U62" s="143"/>
      <c r="V62" s="143"/>
      <c r="W62" s="143"/>
      <c r="X62" s="143"/>
      <c r="Y62" s="143"/>
      <c r="Z62" s="143"/>
      <c r="AA62" s="210">
        <f t="shared" si="13"/>
        <v>333.33</v>
      </c>
      <c r="AB62" s="144">
        <f t="shared" si="14"/>
        <v>2.7995575219254456E-5</v>
      </c>
      <c r="AC62" s="140"/>
      <c r="AD62" s="143"/>
      <c r="AE62" s="144" t="str">
        <f t="shared" si="15"/>
        <v/>
      </c>
      <c r="AF62" s="145">
        <f t="shared" si="16"/>
        <v>333.33</v>
      </c>
      <c r="AG62" s="143"/>
      <c r="AH62" s="144" t="str">
        <f t="shared" si="17"/>
        <v/>
      </c>
      <c r="AI62" s="145">
        <f t="shared" si="18"/>
        <v>333.33</v>
      </c>
      <c r="AJ62" s="440">
        <f t="shared" si="19"/>
        <v>6.9184308841843088E-3</v>
      </c>
      <c r="AK62" s="441">
        <f t="shared" si="20"/>
        <v>0</v>
      </c>
      <c r="AL62" s="442">
        <f t="shared" si="21"/>
        <v>0</v>
      </c>
      <c r="AM62" s="443">
        <f t="shared" si="22"/>
        <v>0</v>
      </c>
      <c r="AN62" s="444">
        <f t="shared" si="23"/>
        <v>0</v>
      </c>
      <c r="AO62" s="11"/>
    </row>
    <row r="63" spans="1:41" x14ac:dyDescent="0.35">
      <c r="A63" s="65" t="s">
        <v>29</v>
      </c>
      <c r="B63" s="66"/>
      <c r="C63" s="11"/>
      <c r="D63" s="11"/>
      <c r="E63" s="11"/>
      <c r="F63" s="11"/>
      <c r="G63" s="11"/>
      <c r="H63" s="88" t="s">
        <v>946</v>
      </c>
      <c r="I63" s="122" t="str">
        <f>IF(_epmOfflineCondition_,"N",_xll.EVPRO($B$1,$H63,"STYLE"))</f>
        <v>N</v>
      </c>
      <c r="J63" s="122" t="str">
        <f>IF(_epmOfflineCondition_,"N",_xll.EVPRO($B$1,$H63,"CALC"))</f>
        <v>N</v>
      </c>
      <c r="K63" s="179" t="str">
        <f t="shared" si="12"/>
        <v/>
      </c>
      <c r="L63" s="90" t="str">
        <f>IF(_epmOfflineCondition_,"711400",_xll.EVPRO($B$1,H63,"JDEID"))</f>
        <v>711400</v>
      </c>
      <c r="M63" s="90" t="str">
        <f>IF(_epmOfflineCondition_,"690674",IF(AND(I63="N",J63="N"),_xll.EVPRO($B$1,H63,"PSFTID"),""))</f>
        <v>690674</v>
      </c>
      <c r="N63" s="90" t="str">
        <f>IF(_epmOfflineCondition_,"Trade Shows",IF(_xll.EVDES(H63,$B$1)="#NODATA","",_xll.EVDES(H63,$B$1)))</f>
        <v>Trade Shows</v>
      </c>
      <c r="O63" s="143">
        <v>4.6399999999999997</v>
      </c>
      <c r="P63" s="143"/>
      <c r="Q63" s="143">
        <v>5.72</v>
      </c>
      <c r="R63" s="143">
        <v>54.04</v>
      </c>
      <c r="S63" s="143">
        <v>37.090000000000003</v>
      </c>
      <c r="T63" s="143"/>
      <c r="U63" s="143">
        <v>32.26</v>
      </c>
      <c r="V63" s="143">
        <v>15.05</v>
      </c>
      <c r="W63" s="143">
        <v>258.66000000000003</v>
      </c>
      <c r="X63" s="143"/>
      <c r="Y63" s="143">
        <v>30.57</v>
      </c>
      <c r="Z63" s="143">
        <v>15.94</v>
      </c>
      <c r="AA63" s="210">
        <f t="shared" si="13"/>
        <v>453.97</v>
      </c>
      <c r="AB63" s="144">
        <f t="shared" si="14"/>
        <v>3.8127835125206093E-5</v>
      </c>
      <c r="AC63" s="140"/>
      <c r="AD63" s="143">
        <v>900</v>
      </c>
      <c r="AE63" s="144">
        <f t="shared" si="15"/>
        <v>1.0800862101645347E-4</v>
      </c>
      <c r="AF63" s="145">
        <f t="shared" si="16"/>
        <v>-446.03</v>
      </c>
      <c r="AG63" s="143">
        <v>5534.25</v>
      </c>
      <c r="AH63" s="144">
        <f t="shared" si="17"/>
        <v>1.0615544340666916E-3</v>
      </c>
      <c r="AI63" s="145">
        <f t="shared" si="18"/>
        <v>-5080.28</v>
      </c>
      <c r="AJ63" s="440">
        <f t="shared" si="19"/>
        <v>9.4223744292237441E-3</v>
      </c>
      <c r="AK63" s="441">
        <f t="shared" si="20"/>
        <v>1.86799501867995E-2</v>
      </c>
      <c r="AL63" s="442">
        <f t="shared" si="21"/>
        <v>0.11455228514654744</v>
      </c>
      <c r="AM63" s="443" t="str">
        <f t="shared" si="22"/>
        <v>-0.01 pts.</v>
      </c>
      <c r="AN63" s="444" t="str">
        <f t="shared" si="23"/>
        <v>-0.1 pts.</v>
      </c>
      <c r="AO63" s="11"/>
    </row>
    <row r="64" spans="1:41" x14ac:dyDescent="0.35">
      <c r="A64" s="65" t="s">
        <v>30</v>
      </c>
      <c r="B64" s="66" t="s">
        <v>78</v>
      </c>
      <c r="C64" s="11"/>
      <c r="D64" s="11"/>
      <c r="E64" s="11"/>
      <c r="F64" s="11"/>
      <c r="G64" s="11"/>
      <c r="H64" s="88" t="s">
        <v>947</v>
      </c>
      <c r="I64" s="122" t="str">
        <f>IF(_epmOfflineCondition_,"N",_xll.EVPRO($B$1,$H64,"STYLE"))</f>
        <v>N</v>
      </c>
      <c r="J64" s="122" t="str">
        <f>IF(_epmOfflineCondition_,"Y",_xll.EVPRO($B$1,$H64,"CALC"))</f>
        <v>Y</v>
      </c>
      <c r="K64" s="179" t="str">
        <f t="shared" si="12"/>
        <v/>
      </c>
      <c r="L64" s="90" t="str">
        <f>IF(_epmOfflineCondition_,"712100",_xll.EVPRO($B$1,H64,"JDEID"))</f>
        <v>712100</v>
      </c>
      <c r="M64" s="90" t="str">
        <f>IF(_epmOfflineCondition_,"",IF(AND(I64="N",J64="N"),_xll.EVPRO($B$1,H64,"PSFTID"),""))</f>
        <v/>
      </c>
      <c r="N64" s="90" t="str">
        <f>IF(_epmOfflineCondition_,"Collateral Materials",IF(_xll.EVDES(H64,$B$1)="#NODATA","",_xll.EVDES(H64,$B$1)))</f>
        <v>Collateral Materials</v>
      </c>
      <c r="O64" s="143"/>
      <c r="P64" s="143"/>
      <c r="Q64" s="143"/>
      <c r="R64" s="143"/>
      <c r="S64" s="143"/>
      <c r="T64" s="143"/>
      <c r="U64" s="143">
        <v>300</v>
      </c>
      <c r="V64" s="143"/>
      <c r="W64" s="143"/>
      <c r="X64" s="143"/>
      <c r="Y64" s="143"/>
      <c r="Z64" s="143">
        <v>-300</v>
      </c>
      <c r="AA64" s="210">
        <f t="shared" si="13"/>
        <v>0</v>
      </c>
      <c r="AB64" s="144" t="str">
        <f t="shared" si="14"/>
        <v/>
      </c>
      <c r="AC64" s="140"/>
      <c r="AD64" s="143">
        <v>1200</v>
      </c>
      <c r="AE64" s="144">
        <f t="shared" si="15"/>
        <v>1.4401149468860463E-4</v>
      </c>
      <c r="AF64" s="145">
        <f t="shared" si="16"/>
        <v>-1200</v>
      </c>
      <c r="AG64" s="143"/>
      <c r="AH64" s="144" t="str">
        <f t="shared" si="17"/>
        <v/>
      </c>
      <c r="AI64" s="145">
        <f t="shared" si="18"/>
        <v>0</v>
      </c>
      <c r="AJ64" s="440">
        <f t="shared" si="19"/>
        <v>0</v>
      </c>
      <c r="AK64" s="441">
        <f t="shared" si="20"/>
        <v>2.4906600249066001E-2</v>
      </c>
      <c r="AL64" s="442">
        <f t="shared" si="21"/>
        <v>0</v>
      </c>
      <c r="AM64" s="443">
        <f t="shared" si="22"/>
        <v>0</v>
      </c>
      <c r="AN64" s="444">
        <f t="shared" si="23"/>
        <v>0</v>
      </c>
      <c r="AO64" s="11"/>
    </row>
    <row r="65" spans="1:41" x14ac:dyDescent="0.35">
      <c r="A65" s="65" t="s">
        <v>31</v>
      </c>
      <c r="B65" s="66" t="s">
        <v>78</v>
      </c>
      <c r="C65" s="11"/>
      <c r="D65" s="11"/>
      <c r="E65" s="11"/>
      <c r="F65" s="11"/>
      <c r="G65" s="11"/>
      <c r="H65" s="88" t="s">
        <v>948</v>
      </c>
      <c r="I65" s="122" t="str">
        <f>IF(_epmOfflineCondition_,"N",_xll.EVPRO($B$1,$H65,"STYLE"))</f>
        <v>N</v>
      </c>
      <c r="J65" s="122" t="str">
        <f>IF(_epmOfflineCondition_,"N",_xll.EVPRO($B$1,$H65,"CALC"))</f>
        <v>N</v>
      </c>
      <c r="K65" s="179" t="str">
        <f t="shared" si="12"/>
        <v/>
      </c>
      <c r="L65" s="90" t="str">
        <f>IF(_epmOfflineCondition_,"712200",_xll.EVPRO($B$1,H65,"JDEID"))</f>
        <v>712200</v>
      </c>
      <c r="M65" s="90" t="str">
        <f>IF(_epmOfflineCondition_,"690533",IF(AND(I65="N",J65="N"),_xll.EVPRO($B$1,H65,"PSFTID"),""))</f>
        <v>690533</v>
      </c>
      <c r="N65" s="90" t="str">
        <f>IF(_epmOfflineCondition_,"Direct Mail",IF(_xll.EVDES(H65,$B$1)="#NODATA","",_xll.EVDES(H65,$B$1)))</f>
        <v>Direct Mail</v>
      </c>
      <c r="O65" s="143"/>
      <c r="P65" s="143"/>
      <c r="Q65" s="143"/>
      <c r="R65" s="143"/>
      <c r="S65" s="143"/>
      <c r="T65" s="143"/>
      <c r="U65" s="143"/>
      <c r="V65" s="143"/>
      <c r="W65" s="143"/>
      <c r="X65" s="143"/>
      <c r="Y65" s="143"/>
      <c r="Z65" s="143"/>
      <c r="AA65" s="210">
        <f t="shared" si="13"/>
        <v>0</v>
      </c>
      <c r="AB65" s="144" t="str">
        <f t="shared" si="14"/>
        <v/>
      </c>
      <c r="AC65" s="140"/>
      <c r="AD65" s="143"/>
      <c r="AE65" s="144" t="str">
        <f t="shared" si="15"/>
        <v/>
      </c>
      <c r="AF65" s="145">
        <f t="shared" si="16"/>
        <v>0</v>
      </c>
      <c r="AG65" s="143">
        <v>235.28</v>
      </c>
      <c r="AH65" s="144">
        <f t="shared" si="17"/>
        <v>4.513032971897027E-5</v>
      </c>
      <c r="AI65" s="145">
        <f t="shared" si="18"/>
        <v>-235.28</v>
      </c>
      <c r="AJ65" s="440">
        <f t="shared" si="19"/>
        <v>0</v>
      </c>
      <c r="AK65" s="441">
        <f t="shared" si="20"/>
        <v>0</v>
      </c>
      <c r="AL65" s="442">
        <f t="shared" si="21"/>
        <v>4.8700115913230665E-3</v>
      </c>
      <c r="AM65" s="443">
        <f t="shared" si="22"/>
        <v>0</v>
      </c>
      <c r="AN65" s="444">
        <f t="shared" si="23"/>
        <v>0</v>
      </c>
      <c r="AO65" s="11"/>
    </row>
    <row r="66" spans="1:41" x14ac:dyDescent="0.35">
      <c r="A66" s="65" t="s">
        <v>32</v>
      </c>
      <c r="B66" s="66"/>
      <c r="C66" s="11"/>
      <c r="D66" s="11"/>
      <c r="E66" s="11"/>
      <c r="F66" s="11"/>
      <c r="G66" s="11"/>
      <c r="H66" s="88" t="s">
        <v>949</v>
      </c>
      <c r="I66" s="122" t="str">
        <f>IF(_epmOfflineCondition_,"N",_xll.EVPRO($B$1,$H66,"STYLE"))</f>
        <v>N</v>
      </c>
      <c r="J66" s="122" t="str">
        <f>IF(_epmOfflineCondition_,"N",_xll.EVPRO($B$1,$H66,"CALC"))</f>
        <v>N</v>
      </c>
      <c r="K66" s="179" t="str">
        <f t="shared" si="12"/>
        <v/>
      </c>
      <c r="L66" s="90" t="str">
        <f>IF(_epmOfflineCondition_,"712400",_xll.EVPRO($B$1,H66,"JDEID"))</f>
        <v>712400</v>
      </c>
      <c r="M66" s="90" t="str">
        <f>IF(_epmOfflineCondition_,"690655",IF(AND(I66="N",J66="N"),_xll.EVPRO($B$1,H66,"PSFTID"),""))</f>
        <v>690655</v>
      </c>
      <c r="N66" s="90" t="str">
        <f>IF(_epmOfflineCondition_,"Website",IF(_xll.EVDES(H66,$B$1)="#NODATA","",_xll.EVDES(H66,$B$1)))</f>
        <v>Website</v>
      </c>
      <c r="O66" s="143">
        <v>850</v>
      </c>
      <c r="P66" s="143">
        <v>3350</v>
      </c>
      <c r="Q66" s="143">
        <v>1375</v>
      </c>
      <c r="R66" s="143">
        <v>2910</v>
      </c>
      <c r="S66" s="143">
        <v>2622.74</v>
      </c>
      <c r="T66" s="143">
        <v>1935</v>
      </c>
      <c r="U66" s="143">
        <v>1650</v>
      </c>
      <c r="V66" s="143">
        <v>2700</v>
      </c>
      <c r="W66" s="143">
        <v>2550</v>
      </c>
      <c r="X66" s="143">
        <v>2503.58</v>
      </c>
      <c r="Y66" s="143">
        <v>2775</v>
      </c>
      <c r="Z66" s="143">
        <v>2775</v>
      </c>
      <c r="AA66" s="210">
        <f t="shared" si="13"/>
        <v>27996.32</v>
      </c>
      <c r="AB66" s="144">
        <f t="shared" si="14"/>
        <v>2.3513427606945609E-3</v>
      </c>
      <c r="AC66" s="140"/>
      <c r="AD66" s="143">
        <v>24420</v>
      </c>
      <c r="AE66" s="144">
        <f t="shared" si="15"/>
        <v>2.9306339169131038E-3</v>
      </c>
      <c r="AF66" s="145">
        <f t="shared" si="16"/>
        <v>3576.3199999999997</v>
      </c>
      <c r="AG66" s="143">
        <v>20298.62</v>
      </c>
      <c r="AH66" s="144">
        <f t="shared" si="17"/>
        <v>3.8935881224077024E-3</v>
      </c>
      <c r="AI66" s="145">
        <f t="shared" si="18"/>
        <v>7697.7000000000007</v>
      </c>
      <c r="AJ66" s="440">
        <f t="shared" si="19"/>
        <v>0.58107762557077625</v>
      </c>
      <c r="AK66" s="441">
        <f t="shared" si="20"/>
        <v>0.50684931506849318</v>
      </c>
      <c r="AL66" s="442">
        <f t="shared" si="21"/>
        <v>0.42015689683722468</v>
      </c>
      <c r="AM66" s="443" t="str">
        <f t="shared" si="22"/>
        <v>-0.06 pts.</v>
      </c>
      <c r="AN66" s="444" t="str">
        <f t="shared" si="23"/>
        <v>-0.15 pts.</v>
      </c>
      <c r="AO66" s="11"/>
    </row>
    <row r="67" spans="1:41" x14ac:dyDescent="0.35">
      <c r="A67" s="65" t="s">
        <v>33</v>
      </c>
      <c r="B67" s="66"/>
      <c r="C67" s="11"/>
      <c r="D67" s="11"/>
      <c r="E67" s="11"/>
      <c r="F67" s="11"/>
      <c r="G67" s="11"/>
      <c r="H67" s="88" t="s">
        <v>950</v>
      </c>
      <c r="I67" s="122" t="str">
        <f>IF(_epmOfflineCondition_,"T5",_xll.EVPRO($B$1,$H67,"STYLE"))</f>
        <v>T5</v>
      </c>
      <c r="J67" s="122" t="str">
        <f>IF(_epmOfflineCondition_,"Y",_xll.EVPRO($B$1,$H67,"CALC"))</f>
        <v>Y</v>
      </c>
      <c r="K67" s="179" t="str">
        <f t="shared" si="12"/>
        <v>&gt;</v>
      </c>
      <c r="L67" s="90" t="str">
        <f>IF(_epmOfflineCondition_,"712600",_xll.EVPRO($B$1,H67,"JDEID"))</f>
        <v>712600</v>
      </c>
      <c r="M67" s="90" t="str">
        <f>IF(_epmOfflineCondition_,"",IF(AND(I67="N",J67="N"),_xll.EVPRO($B$1,H67,"PSFTID"),""))</f>
        <v/>
      </c>
      <c r="N67" s="90" t="str">
        <f>IF(_epmOfflineCondition_,"Media",IF(_xll.EVDES(H67,$B$1)="#NODATA","",_xll.EVDES(H67,$B$1)))</f>
        <v>Media</v>
      </c>
      <c r="O67" s="143">
        <v>5000</v>
      </c>
      <c r="P67" s="143">
        <v>4500</v>
      </c>
      <c r="Q67" s="143">
        <v>9500</v>
      </c>
      <c r="R67" s="143">
        <v>4320.49</v>
      </c>
      <c r="S67" s="143">
        <v>5018.1099999999997</v>
      </c>
      <c r="T67" s="143">
        <v>14007.33</v>
      </c>
      <c r="U67" s="143">
        <v>7994.45</v>
      </c>
      <c r="V67" s="143">
        <v>4083.2</v>
      </c>
      <c r="W67" s="143">
        <v>13429.17</v>
      </c>
      <c r="X67" s="143">
        <v>5954.12</v>
      </c>
      <c r="Y67" s="143">
        <v>3130.91</v>
      </c>
      <c r="Z67" s="143">
        <v>8614.82</v>
      </c>
      <c r="AA67" s="210">
        <f t="shared" si="13"/>
        <v>85552.6</v>
      </c>
      <c r="AB67" s="144">
        <f t="shared" si="14"/>
        <v>7.1853545990543579E-3</v>
      </c>
      <c r="AC67" s="140"/>
      <c r="AD67" s="143">
        <v>88000</v>
      </c>
      <c r="AE67" s="144">
        <f t="shared" si="15"/>
        <v>1.0560842943831006E-2</v>
      </c>
      <c r="AF67" s="145">
        <f t="shared" si="16"/>
        <v>-2447.3999999999942</v>
      </c>
      <c r="AG67" s="143">
        <v>52279.3</v>
      </c>
      <c r="AH67" s="144">
        <f t="shared" si="17"/>
        <v>1.0027975376049653E-2</v>
      </c>
      <c r="AI67" s="145">
        <f t="shared" si="18"/>
        <v>33273.300000000003</v>
      </c>
      <c r="AJ67" s="440">
        <f t="shared" si="19"/>
        <v>1.7756870070568702</v>
      </c>
      <c r="AK67" s="441">
        <f t="shared" si="20"/>
        <v>1.8264840182648401</v>
      </c>
      <c r="AL67" s="442">
        <f t="shared" si="21"/>
        <v>1.0821183142904456</v>
      </c>
      <c r="AM67" s="443" t="str">
        <f t="shared" si="22"/>
        <v>-0.34 pts.</v>
      </c>
      <c r="AN67" s="444" t="str">
        <f t="shared" si="23"/>
        <v>-0.28 pts.</v>
      </c>
      <c r="AO67" s="11"/>
    </row>
    <row r="68" spans="1:41" x14ac:dyDescent="0.35">
      <c r="A68" s="65" t="s">
        <v>34</v>
      </c>
      <c r="B68" s="66"/>
      <c r="C68" s="11"/>
      <c r="D68" s="11"/>
      <c r="E68" s="11"/>
      <c r="F68" s="11"/>
      <c r="G68" s="11"/>
      <c r="H68" s="88" t="s">
        <v>951</v>
      </c>
      <c r="I68" s="122" t="str">
        <f>IF(_epmOfflineCondition_,"N",_xll.EVPRO($B$1,$H68,"STYLE"))</f>
        <v>N</v>
      </c>
      <c r="J68" s="122" t="str">
        <f>IF(_epmOfflineCondition_,"N",_xll.EVPRO($B$1,$H68,"CALC"))</f>
        <v>N</v>
      </c>
      <c r="K68" s="179" t="str">
        <f t="shared" si="12"/>
        <v/>
      </c>
      <c r="L68" s="90" t="str">
        <f>IF(_epmOfflineCondition_,"712800",_xll.EVPRO($B$1,H68,"JDEID"))</f>
        <v>712800</v>
      </c>
      <c r="M68" s="90" t="str">
        <f>IF(_epmOfflineCondition_,"690953",IF(AND(I68="N",J68="N"),_xll.EVPRO($B$1,H68,"PSFTID"),""))</f>
        <v>690953</v>
      </c>
      <c r="N68" s="90" t="str">
        <f>IF(_epmOfflineCondition_,"Outside Services Market Research",IF(_xll.EVDES(H68,$B$1)="#NODATA","",_xll.EVDES(H68,$B$1)))</f>
        <v>Outside Services Market Research</v>
      </c>
      <c r="O68" s="143">
        <v>2157.63</v>
      </c>
      <c r="P68" s="143">
        <v>826.61</v>
      </c>
      <c r="Q68" s="143">
        <v>1125.6099999999999</v>
      </c>
      <c r="R68" s="143">
        <v>620.6</v>
      </c>
      <c r="S68" s="143">
        <v>620.6</v>
      </c>
      <c r="T68" s="143">
        <v>919.6</v>
      </c>
      <c r="U68" s="143">
        <v>620.6</v>
      </c>
      <c r="V68" s="143">
        <v>919.6</v>
      </c>
      <c r="W68" s="143">
        <v>919.6</v>
      </c>
      <c r="X68" s="143">
        <v>1274.05</v>
      </c>
      <c r="Y68" s="143">
        <v>919.6</v>
      </c>
      <c r="Z68" s="143">
        <v>1274.05</v>
      </c>
      <c r="AA68" s="210">
        <f t="shared" si="13"/>
        <v>12198.150000000001</v>
      </c>
      <c r="AB68" s="144">
        <f t="shared" si="14"/>
        <v>1.0244929225114716E-3</v>
      </c>
      <c r="AC68" s="140"/>
      <c r="AD68" s="143">
        <v>12227</v>
      </c>
      <c r="AE68" s="144">
        <f t="shared" si="15"/>
        <v>1.4673571212979739E-3</v>
      </c>
      <c r="AF68" s="145">
        <f t="shared" si="16"/>
        <v>-28.849999999998545</v>
      </c>
      <c r="AG68" s="143">
        <v>13419.97</v>
      </c>
      <c r="AH68" s="144">
        <f t="shared" si="17"/>
        <v>2.5741570508274795E-3</v>
      </c>
      <c r="AI68" s="145">
        <f t="shared" si="18"/>
        <v>-1221.8199999999979</v>
      </c>
      <c r="AJ68" s="440">
        <f t="shared" si="19"/>
        <v>0.25317870485678706</v>
      </c>
      <c r="AK68" s="441">
        <f t="shared" si="20"/>
        <v>0.25377750103777502</v>
      </c>
      <c r="AL68" s="442">
        <f t="shared" si="21"/>
        <v>0.27777715681404203</v>
      </c>
      <c r="AM68" s="443" t="str">
        <f t="shared" si="22"/>
        <v>-0.04 pts.</v>
      </c>
      <c r="AN68" s="444" t="str">
        <f t="shared" si="23"/>
        <v>-0.15 pts.</v>
      </c>
      <c r="AO68" s="11"/>
    </row>
    <row r="69" spans="1:41" x14ac:dyDescent="0.35">
      <c r="A69" s="65" t="s">
        <v>35</v>
      </c>
      <c r="B69" s="66"/>
      <c r="C69" s="11"/>
      <c r="D69" s="11"/>
      <c r="E69" s="11"/>
      <c r="F69" s="11"/>
      <c r="G69" s="11"/>
      <c r="H69" s="88" t="s">
        <v>952</v>
      </c>
      <c r="I69" s="122" t="str">
        <f>IF(_epmOfflineCondition_,"N",_xll.EVPRO($B$1,$H69,"STYLE"))</f>
        <v>N</v>
      </c>
      <c r="J69" s="122" t="str">
        <f>IF(_epmOfflineCondition_,"N",_xll.EVPRO($B$1,$H69,"CALC"))</f>
        <v>N</v>
      </c>
      <c r="K69" s="179" t="str">
        <f t="shared" si="12"/>
        <v/>
      </c>
      <c r="L69" s="90" t="str">
        <f>IF(_epmOfflineCondition_,"712900",_xll.EVPRO($B$1,H69,"JDEID"))</f>
        <v>712900</v>
      </c>
      <c r="M69" s="90" t="str">
        <f>IF(_epmOfflineCondition_,"690540",IF(AND(I69="N",J69="N"),_xll.EVPRO($B$1,H69,"PSFTID"),""))</f>
        <v>690540</v>
      </c>
      <c r="N69" s="90" t="str">
        <f>IF(_epmOfflineCondition_,"Photography",IF(_xll.EVDES(H69,$B$1)="#NODATA","",_xll.EVDES(H69,$B$1)))</f>
        <v>Photography</v>
      </c>
      <c r="O69" s="143"/>
      <c r="P69" s="143"/>
      <c r="Q69" s="143">
        <v>3000</v>
      </c>
      <c r="R69" s="143"/>
      <c r="S69" s="143"/>
      <c r="T69" s="143"/>
      <c r="U69" s="143"/>
      <c r="V69" s="143"/>
      <c r="W69" s="143">
        <v>-2600</v>
      </c>
      <c r="X69" s="143">
        <v>3000</v>
      </c>
      <c r="Y69" s="143"/>
      <c r="Z69" s="143">
        <v>2000</v>
      </c>
      <c r="AA69" s="210">
        <f t="shared" si="13"/>
        <v>5400</v>
      </c>
      <c r="AB69" s="144">
        <f t="shared" si="14"/>
        <v>4.53532853880461E-4</v>
      </c>
      <c r="AC69" s="140"/>
      <c r="AD69" s="143">
        <v>9500</v>
      </c>
      <c r="AE69" s="144">
        <f t="shared" si="15"/>
        <v>1.1400909996181199E-3</v>
      </c>
      <c r="AF69" s="145">
        <f t="shared" si="16"/>
        <v>-4100</v>
      </c>
      <c r="AG69" s="143">
        <v>5957.89</v>
      </c>
      <c r="AH69" s="144">
        <f t="shared" si="17"/>
        <v>1.1428151144566294E-3</v>
      </c>
      <c r="AI69" s="145">
        <f t="shared" si="18"/>
        <v>-557.89000000000033</v>
      </c>
      <c r="AJ69" s="440">
        <f t="shared" si="19"/>
        <v>0.11207970112079702</v>
      </c>
      <c r="AK69" s="441">
        <f t="shared" si="20"/>
        <v>0.19717725197177252</v>
      </c>
      <c r="AL69" s="442">
        <f t="shared" si="21"/>
        <v>0.1233211210465309</v>
      </c>
      <c r="AM69" s="443" t="str">
        <f t="shared" si="22"/>
        <v>-0.07 pts.</v>
      </c>
      <c r="AN69" s="444" t="str">
        <f t="shared" si="23"/>
        <v>-0.07 pts.</v>
      </c>
      <c r="AO69" s="11"/>
    </row>
    <row r="70" spans="1:41" x14ac:dyDescent="0.35">
      <c r="A70" s="65" t="s">
        <v>36</v>
      </c>
      <c r="B70" s="66"/>
      <c r="C70" s="11"/>
      <c r="D70" s="11"/>
      <c r="E70" s="11"/>
      <c r="F70" s="11"/>
      <c r="G70" s="11"/>
      <c r="H70" s="88" t="s">
        <v>953</v>
      </c>
      <c r="I70" s="122" t="str">
        <f>IF(_epmOfflineCondition_,"T5",_xll.EVPRO($B$1,$H70,"STYLE"))</f>
        <v>T5</v>
      </c>
      <c r="J70" s="122" t="str">
        <f>IF(_epmOfflineCondition_,"Y",_xll.EVPRO($B$1,$H70,"CALC"))</f>
        <v>Y</v>
      </c>
      <c r="K70" s="179" t="str">
        <f t="shared" si="12"/>
        <v>&gt;</v>
      </c>
      <c r="L70" s="90" t="str">
        <f>IF(_epmOfflineCondition_,"713000",_xll.EVPRO($B$1,H70,"JDEID"))</f>
        <v>713000</v>
      </c>
      <c r="M70" s="90" t="str">
        <f>IF(_epmOfflineCondition_,"",IF(AND(I70="N",J70="N"),_xll.EVPRO($B$1,H70,"PSFTID"),""))</f>
        <v/>
      </c>
      <c r="N70" s="90" t="str">
        <f>IF(_epmOfflineCondition_,"Loyalty Programs",IF(_xll.EVDES(H70,$B$1)="#NODATA","",_xll.EVDES(H70,$B$1)))</f>
        <v>Loyalty Programs</v>
      </c>
      <c r="O70" s="143">
        <v>3470.86</v>
      </c>
      <c r="P70" s="143">
        <v>7129.48</v>
      </c>
      <c r="Q70" s="143">
        <v>7503.96</v>
      </c>
      <c r="R70" s="143">
        <v>8849.7999999999993</v>
      </c>
      <c r="S70" s="143">
        <v>10757.33</v>
      </c>
      <c r="T70" s="143">
        <v>7953.77</v>
      </c>
      <c r="U70" s="143">
        <v>11662.12</v>
      </c>
      <c r="V70" s="143">
        <v>6380.04</v>
      </c>
      <c r="W70" s="143">
        <v>7062.89</v>
      </c>
      <c r="X70" s="143">
        <v>5566.58</v>
      </c>
      <c r="Y70" s="143">
        <v>8499.5400000000009</v>
      </c>
      <c r="Z70" s="143">
        <v>9792.73</v>
      </c>
      <c r="AA70" s="210">
        <f t="shared" si="13"/>
        <v>94629.099999999991</v>
      </c>
      <c r="AB70" s="144">
        <f t="shared" si="14"/>
        <v>7.9476677376184319E-3</v>
      </c>
      <c r="AC70" s="140"/>
      <c r="AD70" s="143">
        <v>47239.38</v>
      </c>
      <c r="AE70" s="144">
        <f t="shared" si="15"/>
        <v>5.6691781016358122E-3</v>
      </c>
      <c r="AF70" s="145">
        <f t="shared" si="16"/>
        <v>47389.719999999994</v>
      </c>
      <c r="AG70" s="143">
        <v>40594.400000000001</v>
      </c>
      <c r="AH70" s="144">
        <f t="shared" si="17"/>
        <v>7.786631489050351E-3</v>
      </c>
      <c r="AI70" s="145">
        <f t="shared" si="18"/>
        <v>54034.69999999999</v>
      </c>
      <c r="AJ70" s="440">
        <f t="shared" si="19"/>
        <v>1.964074304690743</v>
      </c>
      <c r="AK70" s="441">
        <f t="shared" si="20"/>
        <v>0.98047696139476959</v>
      </c>
      <c r="AL70" s="442">
        <f t="shared" si="21"/>
        <v>0.8402550091074682</v>
      </c>
      <c r="AM70" s="443" t="str">
        <f t="shared" si="22"/>
        <v>0.23 pts.</v>
      </c>
      <c r="AN70" s="444" t="str">
        <f t="shared" si="23"/>
        <v>0.02 pts.</v>
      </c>
      <c r="AO70" s="11"/>
    </row>
    <row r="71" spans="1:41" x14ac:dyDescent="0.35">
      <c r="A71" s="65" t="s">
        <v>37</v>
      </c>
      <c r="B71" s="66"/>
      <c r="C71" s="11"/>
      <c r="D71" s="11"/>
      <c r="E71" s="11"/>
      <c r="F71" s="11"/>
      <c r="G71" s="11"/>
      <c r="H71" s="88" t="s">
        <v>954</v>
      </c>
      <c r="I71" s="122" t="str">
        <f>IF(_epmOfflineCondition_,"N",_xll.EVPRO($B$1,$H71,"STYLE"))</f>
        <v>N</v>
      </c>
      <c r="J71" s="122" t="str">
        <f>IF(_epmOfflineCondition_,"N",_xll.EVPRO($B$1,$H71,"CALC"))</f>
        <v>N</v>
      </c>
      <c r="K71" s="179" t="str">
        <f t="shared" si="12"/>
        <v/>
      </c>
      <c r="L71" s="90" t="str">
        <f>IF(_epmOfflineCondition_,"713100",_xll.EVPRO($B$1,H71,"JDEID"))</f>
        <v>713100</v>
      </c>
      <c r="M71" s="90" t="str">
        <f>IF(_epmOfflineCondition_,"690799",IF(AND(I71="N",J71="N"),_xll.EVPRO($B$1,H71,"PSFTID"),""))</f>
        <v>690799</v>
      </c>
      <c r="N71" s="90" t="str">
        <f>IF(_epmOfflineCondition_,"Agency Fees",IF(_xll.EVDES(H71,$B$1)="#NODATA","",_xll.EVDES(H71,$B$1)))</f>
        <v>Agency Fees</v>
      </c>
      <c r="O71" s="143">
        <v>5160.3500000000004</v>
      </c>
      <c r="P71" s="143">
        <v>5219.3500000000004</v>
      </c>
      <c r="Q71" s="143">
        <v>5160.3500000000004</v>
      </c>
      <c r="R71" s="143">
        <v>5160.3500000000004</v>
      </c>
      <c r="S71" s="143">
        <v>6020.78</v>
      </c>
      <c r="T71" s="143">
        <v>5378.05</v>
      </c>
      <c r="U71" s="143">
        <v>5000</v>
      </c>
      <c r="V71" s="143">
        <v>5195.3500000000004</v>
      </c>
      <c r="W71" s="143">
        <v>5195.3500000000004</v>
      </c>
      <c r="X71" s="143">
        <v>5000</v>
      </c>
      <c r="Y71" s="143">
        <v>5195.3500000000004</v>
      </c>
      <c r="Z71" s="143">
        <v>6111.65</v>
      </c>
      <c r="AA71" s="210">
        <f t="shared" si="13"/>
        <v>63796.929999999993</v>
      </c>
      <c r="AB71" s="144">
        <f t="shared" si="14"/>
        <v>5.3581488392059253E-3</v>
      </c>
      <c r="AC71" s="140"/>
      <c r="AD71" s="143">
        <v>60000</v>
      </c>
      <c r="AE71" s="144">
        <f t="shared" si="15"/>
        <v>7.2005747344302306E-3</v>
      </c>
      <c r="AF71" s="145">
        <f t="shared" si="16"/>
        <v>3796.929999999993</v>
      </c>
      <c r="AG71" s="143">
        <v>51635.75</v>
      </c>
      <c r="AH71" s="144">
        <f t="shared" si="17"/>
        <v>9.9045325687959831E-3</v>
      </c>
      <c r="AI71" s="145">
        <f t="shared" si="18"/>
        <v>12161.179999999993</v>
      </c>
      <c r="AJ71" s="440">
        <f t="shared" si="19"/>
        <v>1.3241371938563717</v>
      </c>
      <c r="AK71" s="441">
        <f t="shared" si="20"/>
        <v>1.2453300124533002</v>
      </c>
      <c r="AL71" s="442">
        <f t="shared" si="21"/>
        <v>1.0687976072197383</v>
      </c>
      <c r="AM71" s="443" t="str">
        <f t="shared" si="22"/>
        <v>-0.18 pts.</v>
      </c>
      <c r="AN71" s="444" t="str">
        <f t="shared" si="23"/>
        <v>-0.45 pts.</v>
      </c>
      <c r="AO71" s="11"/>
    </row>
    <row r="72" spans="1:41" x14ac:dyDescent="0.35">
      <c r="A72" s="65" t="s">
        <v>38</v>
      </c>
      <c r="B72" s="66"/>
      <c r="C72" s="11"/>
      <c r="D72" s="11"/>
      <c r="E72" s="11"/>
      <c r="F72" s="11"/>
      <c r="G72" s="11"/>
      <c r="H72" s="88" t="s">
        <v>79</v>
      </c>
      <c r="I72" s="136" t="str">
        <f>IF(_epmOfflineCondition_,"T3",_xll.EVPRO($B$1,$H72,"STYLE"))</f>
        <v>T3</v>
      </c>
      <c r="J72" s="136" t="str">
        <f>IF(_epmOfflineCondition_,"Y",_xll.EVPRO($B$1,$H72,"CALC"))</f>
        <v>Y</v>
      </c>
      <c r="K72" s="104"/>
      <c r="L72" s="59"/>
      <c r="M72" s="59"/>
      <c r="N72" s="106" t="str">
        <f>IF(_epmOfflineCondition_,"Total Operations Expense",IF(_xll.EVDES(H72,$B$1)="#NODATA","",_xll.EVDES(H72,$B$1)))</f>
        <v>Total Operations Expense</v>
      </c>
      <c r="O72" s="154">
        <v>33961.07</v>
      </c>
      <c r="P72" s="154">
        <v>42439.76</v>
      </c>
      <c r="Q72" s="154">
        <v>49252.51</v>
      </c>
      <c r="R72" s="154">
        <v>45069.14</v>
      </c>
      <c r="S72" s="154">
        <v>53090.01</v>
      </c>
      <c r="T72" s="154">
        <v>62692.480000000003</v>
      </c>
      <c r="U72" s="154">
        <v>52053.760000000002</v>
      </c>
      <c r="V72" s="154">
        <v>23232.81</v>
      </c>
      <c r="W72" s="154">
        <v>38598.26</v>
      </c>
      <c r="X72" s="154">
        <v>40159.15</v>
      </c>
      <c r="Y72" s="154">
        <v>37893.730000000003</v>
      </c>
      <c r="Z72" s="154">
        <v>72437.36</v>
      </c>
      <c r="AA72" s="154">
        <f t="shared" si="13"/>
        <v>550880.04</v>
      </c>
      <c r="AB72" s="155">
        <f t="shared" si="14"/>
        <v>4.6267073460552324E-2</v>
      </c>
      <c r="AC72" s="140"/>
      <c r="AD72" s="154">
        <v>442024.20832500001</v>
      </c>
      <c r="AE72" s="155">
        <f t="shared" si="15"/>
        <v>5.3047139107858667E-2</v>
      </c>
      <c r="AF72" s="156">
        <f t="shared" si="16"/>
        <v>108855.83167500002</v>
      </c>
      <c r="AG72" s="154">
        <v>363317.67</v>
      </c>
      <c r="AH72" s="155">
        <f t="shared" si="17"/>
        <v>6.9689927914944036E-2</v>
      </c>
      <c r="AI72" s="156">
        <f t="shared" si="18"/>
        <v>187562.37000000005</v>
      </c>
      <c r="AJ72" s="477">
        <f t="shared" si="19"/>
        <v>11.433790784557909</v>
      </c>
      <c r="AK72" s="478">
        <f t="shared" si="20"/>
        <v>9.174433547633873</v>
      </c>
      <c r="AL72" s="479">
        <f t="shared" si="21"/>
        <v>7.5202365871833079</v>
      </c>
      <c r="AM72" s="480" t="str">
        <f t="shared" si="22"/>
        <v>-0.68 pts.</v>
      </c>
      <c r="AN72" s="555" t="str">
        <f t="shared" si="23"/>
        <v>-2.34 pts.</v>
      </c>
      <c r="AO72" s="11"/>
    </row>
    <row r="73" spans="1:41" x14ac:dyDescent="0.35">
      <c r="A73" s="65" t="s">
        <v>39</v>
      </c>
      <c r="B73" s="66"/>
      <c r="C73" s="11"/>
      <c r="D73" s="11"/>
      <c r="E73" s="11"/>
      <c r="F73" s="11"/>
      <c r="G73" s="11"/>
      <c r="H73" s="11"/>
      <c r="I73" s="59"/>
      <c r="J73" s="59"/>
      <c r="K73" s="11"/>
      <c r="L73" s="59"/>
      <c r="M73" s="59"/>
      <c r="N73" s="11"/>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1"/>
    </row>
    <row r="74" spans="1:41" x14ac:dyDescent="0.35">
      <c r="A74" s="65" t="s">
        <v>40</v>
      </c>
      <c r="B74" s="66"/>
      <c r="C74" s="11"/>
      <c r="D74" s="11"/>
      <c r="E74" s="11"/>
      <c r="F74" s="11"/>
      <c r="G74" s="11"/>
      <c r="H74" s="88" t="s">
        <v>80</v>
      </c>
      <c r="I74" s="136" t="str">
        <f>IF(_epmOfflineCondition_,"T3",_xll.EVPRO($B$1,$H74,"STYLE"))</f>
        <v>T3</v>
      </c>
      <c r="J74" s="136" t="str">
        <f>IF(_epmOfflineCondition_,"Y",_xll.EVPRO($B$1,$H74,"CALC"))</f>
        <v>Y</v>
      </c>
      <c r="K74" s="106"/>
      <c r="L74" s="59"/>
      <c r="M74" s="59"/>
      <c r="N74" s="106" t="str">
        <f>IF(_epmOfflineCondition_,"Total Expenses",IF(_xll.EVDES(H74,$B$1)="#NODATA","",_xll.EVDES(H74,$B$1)))</f>
        <v>Total Expenses</v>
      </c>
      <c r="O74" s="238">
        <v>49707.3</v>
      </c>
      <c r="P74" s="238">
        <v>57797.13</v>
      </c>
      <c r="Q74" s="238">
        <v>70843.45</v>
      </c>
      <c r="R74" s="238">
        <v>67854.66</v>
      </c>
      <c r="S74" s="238">
        <v>75548.259999999995</v>
      </c>
      <c r="T74" s="238">
        <v>84969.82</v>
      </c>
      <c r="U74" s="238">
        <v>74344.84</v>
      </c>
      <c r="V74" s="238">
        <v>48816.32</v>
      </c>
      <c r="W74" s="238">
        <v>60365.4</v>
      </c>
      <c r="X74" s="238">
        <v>67411.94</v>
      </c>
      <c r="Y74" s="238">
        <v>59512.06</v>
      </c>
      <c r="Z74" s="238">
        <v>102415.1</v>
      </c>
      <c r="AA74" s="238">
        <f>IF($I74="B1","",SUM(O74:Z74))</f>
        <v>819586.27999999991</v>
      </c>
      <c r="AB74" s="239">
        <f>IF(AA74=0,"",IFERROR(AA74/AA$19,""))</f>
        <v>6.8835056401790842E-2</v>
      </c>
      <c r="AC74" s="140"/>
      <c r="AD74" s="238">
        <v>698355.00784313597</v>
      </c>
      <c r="AE74" s="239">
        <f>IF(AD74=0,"",IFERROR(AD74/AD$19,""))</f>
        <v>8.3809290418968507E-2</v>
      </c>
      <c r="AF74" s="254">
        <f>IF(AND($AA74="",AD74=""),"",$AA74-AD74)</f>
        <v>121231.27215686394</v>
      </c>
      <c r="AG74" s="255">
        <v>511272.33</v>
      </c>
      <c r="AH74" s="256">
        <f>IF(AG74=0,"",IFERROR(AG74/AG$19,""))</f>
        <v>9.8069911718319344E-2</v>
      </c>
      <c r="AI74" s="254">
        <f>IF(AND($AA74="",AG74=""),"",$AA74-AG74)</f>
        <v>308313.9499999999</v>
      </c>
      <c r="AJ74" s="466">
        <f>IFERROR(AA74/AA$20,0)</f>
        <v>17.010923204649231</v>
      </c>
      <c r="AK74" s="467">
        <f>IFERROR(AD74/AD$20,0)</f>
        <v>14.494707510235283</v>
      </c>
      <c r="AL74" s="468">
        <f>IFERROR(AG74/AG$20,0)</f>
        <v>10.582719200198708</v>
      </c>
      <c r="AM74" s="469" t="str">
        <f>+IFERROR(ROUND(($AB74-AE74)*100,2)&amp;" pts.",0)</f>
        <v>-1.5 pts.</v>
      </c>
      <c r="AN74" s="556" t="str">
        <f>+IFERROR(ROUND(($AB74-AH74)*100,2)&amp;" pts.",0)</f>
        <v>-2.92 pts.</v>
      </c>
      <c r="AO74" s="11"/>
    </row>
    <row r="75" spans="1:41" ht="15" thickBot="1" x14ac:dyDescent="0.4">
      <c r="A75" s="65" t="s">
        <v>41</v>
      </c>
      <c r="B75" s="66"/>
      <c r="C75" s="11"/>
      <c r="D75" s="11"/>
      <c r="E75" s="11"/>
      <c r="F75" s="11"/>
      <c r="G75" s="11"/>
      <c r="H75" s="88" t="s">
        <v>81</v>
      </c>
      <c r="I75" s="136" t="str">
        <f>IF(_epmOfflineCondition_,"T3",_xll.EVPRO($B$1,$H75,"STYLE"))</f>
        <v>T3</v>
      </c>
      <c r="J75" s="136" t="str">
        <f>IF(_epmOfflineCondition_,"Y",_xll.EVPRO($B$1,$H75,"CALC"))</f>
        <v>Y</v>
      </c>
      <c r="K75" s="106"/>
      <c r="L75" s="59"/>
      <c r="M75" s="59"/>
      <c r="N75" s="106" t="str">
        <f>IF(_epmOfflineCondition_,"Department Profit (Loss)",IF(_xll.EVDES(H75,$B$1)="#NODATA","",_xll.EVDES(H75,$B$1)))</f>
        <v>Department Profit (Loss)</v>
      </c>
      <c r="O75" s="169">
        <v>-49707.3</v>
      </c>
      <c r="P75" s="169">
        <v>-57797.13</v>
      </c>
      <c r="Q75" s="169">
        <v>-70843.45</v>
      </c>
      <c r="R75" s="169">
        <v>-67854.66</v>
      </c>
      <c r="S75" s="169">
        <v>-75548.259999999995</v>
      </c>
      <c r="T75" s="169">
        <v>-84969.82</v>
      </c>
      <c r="U75" s="169">
        <v>-74344.84</v>
      </c>
      <c r="V75" s="169">
        <v>-48816.32</v>
      </c>
      <c r="W75" s="169">
        <v>-60365.4</v>
      </c>
      <c r="X75" s="169">
        <v>-67411.94</v>
      </c>
      <c r="Y75" s="169">
        <v>-59512.06</v>
      </c>
      <c r="Z75" s="169">
        <v>-102415.1</v>
      </c>
      <c r="AA75" s="169">
        <f>IF($I75="B1","",SUM(O75:Z75))</f>
        <v>-819586.27999999991</v>
      </c>
      <c r="AB75" s="170">
        <f>IF(AA75=0,"",IFERROR(AA75/AA$19,""))</f>
        <v>-6.8835056401790842E-2</v>
      </c>
      <c r="AC75" s="140"/>
      <c r="AD75" s="169">
        <v>-698355.00784313597</v>
      </c>
      <c r="AE75" s="170">
        <f>IF(AD75=0,"",IFERROR(AD75/AD$19,""))</f>
        <v>-8.3809290418968507E-2</v>
      </c>
      <c r="AF75" s="171">
        <f>IF(AND($AA75="",AD75=""),"",$AA75-AD75)</f>
        <v>-121231.27215686394</v>
      </c>
      <c r="AG75" s="169">
        <v>-511272.33</v>
      </c>
      <c r="AH75" s="170">
        <f>IF(AG75=0,"",IFERROR(AG75/AG$19,""))</f>
        <v>-9.8069911718319344E-2</v>
      </c>
      <c r="AI75" s="171">
        <f>IF(AND($AA75="",AG75=""),"",$AA75-AG75)</f>
        <v>-308313.9499999999</v>
      </c>
      <c r="AJ75" s="483">
        <f>IFERROR(AA75/AA$20,0)</f>
        <v>-17.010923204649231</v>
      </c>
      <c r="AK75" s="484">
        <f>IFERROR(AD75/AD$20,0)</f>
        <v>-14.494707510235283</v>
      </c>
      <c r="AL75" s="485">
        <f>IFERROR(AG75/AG$20,0)</f>
        <v>-10.582719200198708</v>
      </c>
      <c r="AM75" s="486" t="str">
        <f>+IFERROR(ROUND(($AB75-AE75)*100,2)&amp;" pts.",0)</f>
        <v>1.5 pts.</v>
      </c>
      <c r="AN75" s="557" t="str">
        <f>+IFERROR(ROUND(($AB75-AH75)*100,2)&amp;" pts.",0)</f>
        <v>2.92 pts.</v>
      </c>
      <c r="AO75" s="11"/>
    </row>
    <row r="76" spans="1:41" ht="15" thickTop="1" x14ac:dyDescent="0.35">
      <c r="A76" s="65" t="s">
        <v>42</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43</v>
      </c>
      <c r="B77" s="66"/>
      <c r="C77" s="11"/>
      <c r="D77" s="11"/>
      <c r="E77" s="11"/>
      <c r="F77" s="11"/>
      <c r="G77" s="11"/>
      <c r="H77" s="11"/>
      <c r="I77" s="59"/>
      <c r="J77" s="59"/>
      <c r="K77" s="11"/>
      <c r="L77" s="59"/>
      <c r="M77" s="59"/>
      <c r="N77" s="104" t="str">
        <f>N74&amp;" - Check"</f>
        <v>Total Expenses - Check</v>
      </c>
      <c r="O77" s="209">
        <f t="shared" ref="O77:AA77" si="24">SUMIF($H$33:$H$75,"600000",O$33:O$75)+SUMIF($H$33:$H$75,"700000",O$33:O$75)-SUMIF($H$33:$H$75,"TOTDEPTEXP",O$33:O$75)</f>
        <v>0</v>
      </c>
      <c r="P77" s="209">
        <f t="shared" si="24"/>
        <v>0</v>
      </c>
      <c r="Q77" s="209">
        <f t="shared" si="24"/>
        <v>0</v>
      </c>
      <c r="R77" s="209">
        <f t="shared" si="24"/>
        <v>0</v>
      </c>
      <c r="S77" s="209">
        <f t="shared" si="24"/>
        <v>0</v>
      </c>
      <c r="T77" s="209">
        <f t="shared" si="24"/>
        <v>0</v>
      </c>
      <c r="U77" s="209">
        <f t="shared" si="24"/>
        <v>0</v>
      </c>
      <c r="V77" s="209">
        <f t="shared" si="24"/>
        <v>0</v>
      </c>
      <c r="W77" s="209">
        <f t="shared" si="24"/>
        <v>0</v>
      </c>
      <c r="X77" s="209">
        <f t="shared" si="24"/>
        <v>0</v>
      </c>
      <c r="Y77" s="209">
        <f t="shared" si="24"/>
        <v>0</v>
      </c>
      <c r="Z77" s="209">
        <f t="shared" si="24"/>
        <v>0</v>
      </c>
      <c r="AA77" s="209">
        <f t="shared" si="24"/>
        <v>0</v>
      </c>
      <c r="AB77" s="100"/>
      <c r="AC77" s="11"/>
      <c r="AD77" s="209">
        <f>SUMIF($H$33:$H$75,"600000",AD$33:AD$75)+SUMIF($H$33:$H$75,"700000",AD$33:AD$75)-SUMIF($H$33:$H$75,"TOTDEPTEXP",AD$33:AD$75)</f>
        <v>0</v>
      </c>
      <c r="AE77" s="100"/>
      <c r="AF77" s="91"/>
      <c r="AG77" s="209">
        <f>SUMIF($H$33:$H$75,"600000",AG$33:AG$75)+SUMIF($H$33:$H$75,"700000",AG$33:AG$75)-SUMIF($H$33:$H$75,"TOTDEPTEXP",AG$33:AG$75)</f>
        <v>0</v>
      </c>
      <c r="AH77" s="100"/>
      <c r="AI77" s="91"/>
      <c r="AJ77" s="11"/>
      <c r="AK77" s="11"/>
      <c r="AL77" s="11"/>
      <c r="AM77" s="11"/>
      <c r="AN77" s="11"/>
      <c r="AO77" s="11"/>
    </row>
    <row r="78" spans="1:41" x14ac:dyDescent="0.35">
      <c r="A78" s="65" t="s">
        <v>44</v>
      </c>
      <c r="B78" s="66"/>
      <c r="C78" s="11"/>
      <c r="D78" s="11"/>
      <c r="E78" s="11"/>
      <c r="F78" s="11"/>
      <c r="G78" s="11"/>
      <c r="H78" s="11"/>
      <c r="I78" s="59"/>
      <c r="J78" s="59"/>
      <c r="K78" s="11"/>
      <c r="L78" s="59"/>
      <c r="M78" s="59"/>
      <c r="N78" s="104" t="str">
        <f>N75&amp;" - Check"</f>
        <v>Department Profit (Loss) - Check</v>
      </c>
      <c r="O78" s="209">
        <f t="shared" ref="O78:AA78" si="25">SUMIF($H$33:$H$75,"TOTDEPTEXP",O$33:O$75)+SUMIF($H$33:$H$75,"TOTDEPTPL",O$33:O$75)</f>
        <v>0</v>
      </c>
      <c r="P78" s="209">
        <f t="shared" si="25"/>
        <v>0</v>
      </c>
      <c r="Q78" s="209">
        <f t="shared" si="25"/>
        <v>0</v>
      </c>
      <c r="R78" s="209">
        <f t="shared" si="25"/>
        <v>0</v>
      </c>
      <c r="S78" s="209">
        <f t="shared" si="25"/>
        <v>0</v>
      </c>
      <c r="T78" s="209">
        <f t="shared" si="25"/>
        <v>0</v>
      </c>
      <c r="U78" s="209">
        <f t="shared" si="25"/>
        <v>0</v>
      </c>
      <c r="V78" s="209">
        <f t="shared" si="25"/>
        <v>0</v>
      </c>
      <c r="W78" s="209">
        <f t="shared" si="25"/>
        <v>0</v>
      </c>
      <c r="X78" s="209">
        <f t="shared" si="25"/>
        <v>0</v>
      </c>
      <c r="Y78" s="209">
        <f t="shared" si="25"/>
        <v>0</v>
      </c>
      <c r="Z78" s="209">
        <f t="shared" si="25"/>
        <v>0</v>
      </c>
      <c r="AA78" s="209">
        <f t="shared" si="25"/>
        <v>0</v>
      </c>
      <c r="AB78" s="100"/>
      <c r="AC78" s="11"/>
      <c r="AD78" s="209">
        <f>SUMIF($H$33:$H$75,"TOTDEPTEXP",AD$33:AD$75)+SUMIF($H$33:$H$75,"TOTDEPTPL",AD$33:AD$75)</f>
        <v>0</v>
      </c>
      <c r="AE78" s="100"/>
      <c r="AF78" s="91"/>
      <c r="AG78" s="209">
        <f>SUMIF($H$33:$H$75,"TOTDEPTEXP",AG$33:AG$75)+SUMIF($H$33:$H$75,"TOTDEPTPL",AG$33:AG$75)</f>
        <v>0</v>
      </c>
      <c r="AH78" s="100"/>
      <c r="AI78" s="91"/>
      <c r="AJ78" s="11"/>
      <c r="AK78" s="11"/>
      <c r="AL78" s="11"/>
      <c r="AM78" s="11"/>
      <c r="AN78" s="11"/>
      <c r="AO78" s="11"/>
    </row>
    <row r="79" spans="1:41" x14ac:dyDescent="0.35">
      <c r="A79" s="65" t="s">
        <v>45</v>
      </c>
      <c r="B79" s="66"/>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c r="B105" s="11"/>
      <c r="C105" s="11"/>
      <c r="D105" s="11"/>
      <c r="E105" s="11"/>
      <c r="F105" s="11"/>
      <c r="G105" s="11"/>
      <c r="H105" s="59"/>
      <c r="I105" s="59"/>
      <c r="J105" s="11"/>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59"/>
      <c r="I106" s="59"/>
      <c r="J106" s="11"/>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59"/>
      <c r="I107" s="59"/>
      <c r="J107" s="11"/>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sheetData>
  <sheetProtection algorithmName="SHA-512" hashValue="gIPyU0/IcksYFAKf4tuHYJbXRlAQJBfTSNIMDNo8SbzxVcY9pBLjUCawIENfLweIGn8ooBSl5Q2wXBWWncAe3A==" saltValue="Y6cbhCkk94qpWdWUje7HXw==" spinCount="100000" sheet="1" scenarios="1"/>
  <mergeCells count="2">
    <mergeCell ref="AD31:AE31"/>
    <mergeCell ref="AG31:AH31"/>
  </mergeCells>
  <dataValidations disablePrompts="1" count="2">
    <dataValidation type="list" allowBlank="1" sqref="B29" xr:uid="{00000000-0002-0000-2900-000000000000}">
      <formula1>"SELF,ALL,BAS,DEP,BASMEMBERS,MEMBERS,NOEXPAND,GDEP"</formula1>
    </dataValidation>
    <dataValidation type="list" allowBlank="1" sqref="B28" xr:uid="{00000000-0002-0000-29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6">
    <pageSetUpPr fitToPage="1"/>
  </sheetPr>
  <dimension ref="A1:AO10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513</v>
      </c>
      <c r="C6" s="11" t="str">
        <f>IF(_epmOfflineCondition_,"Property Operation &amp; Maintenance",_xll.EVDES(B6,$B$1))</f>
        <v>Property Operation &amp; Maintenance</v>
      </c>
      <c r="D6" s="11"/>
      <c r="E6" s="58" t="str">
        <f>IF(_epmOfflineCondition_,"D_PM",_xll.EVPRO($B$1,$B$6,$F$6))</f>
        <v>D_PM</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IF(_epmOfflineCondition_,"'POM'!$B$2:$B$10",_xll.EVRNG($B$2:$B$10))</f>
        <v>'POM'!$B$2:$B$10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IF(_epmOfflineCondition_,"'POM'!$O$16:$AN$18",_xll.EVRNG($O$16:$AN$18))</f>
        <v>'POM'!$O$16:$AN$18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IF(_epmOfflineCondition_,"'POM'!$H$35:$H$36,'POM'!$H$38:$H$47,'POM'!$H$50:$H$71",_xll.EVRNG(H35:H36,H38:H47,H50:H71))</f>
        <v>'POM'!$H$35:$H$36,'POM'!$H$38:$H$47,'POM'!$H$50:$H$71</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IF(_epmOfflineCondition_,"'POM'!$A$36:$F$42",_xll.EVRNG(A36:F42))</f>
        <v>'POM'!$A$36:$F$42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IF(_epmOfflineCondition_,"'POM'!$A$59:$B$80",_xll.EVRNG($A$59:$B$80))</f>
        <v>'POM'!$A$59:$B$80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IF(_epmOfflineCondition_,"Property Operation &amp; Maintenance Department",IF(_xll.EVDES(B6,$B$1)="#NODATA","",_xll.EVDES(B6,$B$1)&amp;" Department"))</f>
        <v>Property Operation &amp; Maintenance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735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855</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10">
        <v>5456.66</v>
      </c>
      <c r="P35" s="210">
        <v>6999.91</v>
      </c>
      <c r="Q35" s="210">
        <v>6666.89</v>
      </c>
      <c r="R35" s="210">
        <v>6666.66</v>
      </c>
      <c r="S35" s="210">
        <v>6775.1</v>
      </c>
      <c r="T35" s="210">
        <v>8000</v>
      </c>
      <c r="U35" s="210">
        <v>8153.99</v>
      </c>
      <c r="V35" s="210">
        <v>7461.54</v>
      </c>
      <c r="W35" s="210">
        <v>8153.99</v>
      </c>
      <c r="X35" s="210">
        <v>8500</v>
      </c>
      <c r="Y35" s="210">
        <v>8500</v>
      </c>
      <c r="Z35" s="210">
        <v>7057.97</v>
      </c>
      <c r="AA35" s="210">
        <f t="shared" ref="AA35:AA47" si="1">IF($I35="B1","",SUM(O35:Z35))</f>
        <v>88392.709999999992</v>
      </c>
      <c r="AB35" s="211">
        <f t="shared" ref="AB35:AB47" si="2">IF(AA35=0,"",IFERROR(AA35/AA$19,""))</f>
        <v>7.4238885238014744E-3</v>
      </c>
      <c r="AC35" s="140"/>
      <c r="AD35" s="143">
        <v>76310.769230692793</v>
      </c>
      <c r="AE35" s="144">
        <f t="shared" ref="AE35:AE47" si="3">IF(AD35=0,"",IFERROR(AD35/AD$19,""))</f>
        <v>9.1580232814577073E-3</v>
      </c>
      <c r="AF35" s="145">
        <f t="shared" ref="AF35:AF47" si="4">IF(AND($AA35="",AD35=""),"",$AA35-AD35)</f>
        <v>12081.940769307199</v>
      </c>
      <c r="AG35" s="143">
        <v>64211.21</v>
      </c>
      <c r="AH35" s="144">
        <f t="shared" ref="AH35:AH47" si="5">IF(AG35=0,"",IFERROR(AG35/AG$19,""))</f>
        <v>1.2316699587529924E-2</v>
      </c>
      <c r="AI35" s="145">
        <f t="shared" ref="AI35:AI47" si="6">IF(AND($AA35="",AG35=""),"",$AA35-AG35)</f>
        <v>24181.499999999993</v>
      </c>
      <c r="AJ35" s="440">
        <f t="shared" ref="AJ35:AJ47" si="7">IFERROR(AA35/AA$20,0)</f>
        <v>1.8346349107513489</v>
      </c>
      <c r="AK35" s="441">
        <f t="shared" ref="AK35:AK47" si="8">IFERROR(AD35/AD$20,0)</f>
        <v>1.5838681866063262</v>
      </c>
      <c r="AL35" s="442">
        <f t="shared" ref="AL35:AL47" si="9">IFERROR(AG35/AG$20,0)</f>
        <v>1.3290944278854115</v>
      </c>
      <c r="AM35" s="443" t="str">
        <f t="shared" ref="AM35:AM47" si="10">+IFERROR(ROUND(($AB35-AE35)*100,2)&amp;" pts.",0)</f>
        <v>-0.17 pts.</v>
      </c>
      <c r="AN35" s="444" t="str">
        <f t="shared" ref="AN35:AN47" si="11">+IFERROR(ROUND(($AB35-AH35)*100,2)&amp;" pts.",0)</f>
        <v>-0.49 pts.</v>
      </c>
      <c r="AO35" s="11"/>
    </row>
    <row r="36" spans="1:41" hidden="1" x14ac:dyDescent="0.35">
      <c r="A36" s="11"/>
      <c r="B36" s="11"/>
      <c r="C36" s="11"/>
      <c r="D36" s="11"/>
      <c r="E36" s="11"/>
      <c r="F36" s="11"/>
      <c r="G36" s="11"/>
      <c r="H36" s="88"/>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10"/>
      <c r="P36" s="210"/>
      <c r="Q36" s="210"/>
      <c r="R36" s="210"/>
      <c r="S36" s="210"/>
      <c r="T36" s="210"/>
      <c r="U36" s="210"/>
      <c r="V36" s="210"/>
      <c r="W36" s="210"/>
      <c r="X36" s="210"/>
      <c r="Y36" s="210"/>
      <c r="Z36" s="210"/>
      <c r="AA36" s="210">
        <f t="shared" si="1"/>
        <v>0</v>
      </c>
      <c r="AB36" s="211"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 t="shared" si="0"/>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t="str">
        <f t="shared" si="2"/>
        <v/>
      </c>
      <c r="AC37" s="11"/>
      <c r="AD37" s="91"/>
      <c r="AE37" s="100" t="str">
        <f t="shared" si="3"/>
        <v/>
      </c>
      <c r="AF37" s="92" t="str">
        <f t="shared" si="4"/>
        <v/>
      </c>
      <c r="AG37" s="91"/>
      <c r="AH37" s="100" t="str">
        <f t="shared" si="5"/>
        <v/>
      </c>
      <c r="AI37" s="92" t="str">
        <f t="shared" si="6"/>
        <v/>
      </c>
      <c r="AJ37" s="397">
        <f t="shared" si="7"/>
        <v>0</v>
      </c>
      <c r="AK37" s="398">
        <f t="shared" si="8"/>
        <v>0</v>
      </c>
      <c r="AL37" s="399">
        <f t="shared" si="9"/>
        <v>0</v>
      </c>
      <c r="AM37" s="400">
        <f t="shared" si="10"/>
        <v>0</v>
      </c>
      <c r="AN37" s="401">
        <f t="shared" si="11"/>
        <v>0</v>
      </c>
      <c r="AO37" s="11"/>
    </row>
    <row r="38" spans="1:41" x14ac:dyDescent="0.35">
      <c r="A38" s="11" t="s">
        <v>100</v>
      </c>
      <c r="B38" s="11"/>
      <c r="C38" s="53" t="s">
        <v>101</v>
      </c>
      <c r="D38" s="11" t="s">
        <v>106</v>
      </c>
      <c r="E38" s="11"/>
      <c r="F38" s="11" t="s">
        <v>98</v>
      </c>
      <c r="G38" s="11"/>
      <c r="H38" s="88" t="s">
        <v>912</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IF(_epmOfflineCondition_,"Non-Mgmt. (PO &amp; M)",IF(_xll.EVDES(H38,$B$1)="#NODATA","",_xll.EVDES(H38,$B$1)))</f>
        <v>Non-Mgmt. (PO &amp; M)</v>
      </c>
      <c r="O38" s="216">
        <v>6803.03</v>
      </c>
      <c r="P38" s="216">
        <v>5996.41</v>
      </c>
      <c r="Q38" s="216">
        <v>6516.59</v>
      </c>
      <c r="R38" s="216">
        <v>6820.95</v>
      </c>
      <c r="S38" s="216">
        <v>6647.34</v>
      </c>
      <c r="T38" s="216">
        <v>6890.27</v>
      </c>
      <c r="U38" s="216">
        <v>7375.87</v>
      </c>
      <c r="V38" s="216">
        <v>6604.21</v>
      </c>
      <c r="W38" s="216">
        <v>5993.37</v>
      </c>
      <c r="X38" s="216">
        <v>7065.59</v>
      </c>
      <c r="Y38" s="216">
        <v>6466.66</v>
      </c>
      <c r="Z38" s="216">
        <v>5148.12</v>
      </c>
      <c r="AA38" s="216">
        <f t="shared" si="1"/>
        <v>78328.41</v>
      </c>
      <c r="AB38" s="218">
        <f t="shared" si="2"/>
        <v>6.5786124680034894E-3</v>
      </c>
      <c r="AC38" s="140"/>
      <c r="AD38" s="217">
        <v>124771.845714286</v>
      </c>
      <c r="AE38" s="219">
        <f t="shared" si="3"/>
        <v>1.4973816663641911E-2</v>
      </c>
      <c r="AF38" s="220">
        <f t="shared" si="4"/>
        <v>-46443.435714285995</v>
      </c>
      <c r="AG38" s="217">
        <v>83358.509999999995</v>
      </c>
      <c r="AH38" s="219">
        <f t="shared" si="5"/>
        <v>1.5989446791831348E-2</v>
      </c>
      <c r="AI38" s="220">
        <f t="shared" si="6"/>
        <v>-5030.0999999999913</v>
      </c>
      <c r="AJ38" s="449">
        <f t="shared" si="7"/>
        <v>1.6257453300124534</v>
      </c>
      <c r="AK38" s="450">
        <f t="shared" si="8"/>
        <v>2.5897020696198836</v>
      </c>
      <c r="AL38" s="451">
        <f t="shared" si="9"/>
        <v>1.725420392449081</v>
      </c>
      <c r="AM38" s="452" t="str">
        <f t="shared" si="10"/>
        <v>-0.84 pts.</v>
      </c>
      <c r="AN38" s="453" t="str">
        <f t="shared" si="11"/>
        <v>-0.94 pts.</v>
      </c>
      <c r="AO38" s="11"/>
    </row>
    <row r="39" spans="1:41" x14ac:dyDescent="0.35">
      <c r="A39" s="11" t="s">
        <v>109</v>
      </c>
      <c r="B39" s="11"/>
      <c r="C39" s="106" t="s">
        <v>101</v>
      </c>
      <c r="D39" s="11" t="s">
        <v>106</v>
      </c>
      <c r="E39" s="11"/>
      <c r="F39" s="11" t="s">
        <v>98</v>
      </c>
      <c r="G39" s="11"/>
      <c r="H39" s="88" t="s">
        <v>848</v>
      </c>
      <c r="I39" s="188" t="str">
        <f>IF(_epmOfflineCondition_,"T2",_xll.EVPRO($B$1,$H39,"STYLE"))</f>
        <v>T2</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IF(_epmOfflineCondition_,"Total Salaries and Wages",IF(_xll.EVDES(H39,$B$1)="#NODATA","",_xll.EVDES(H39,$B$1)))</f>
        <v>Total Salaries and Wages</v>
      </c>
      <c r="O39" s="225">
        <v>12259.69</v>
      </c>
      <c r="P39" s="225">
        <v>12996.32</v>
      </c>
      <c r="Q39" s="225">
        <v>13183.48</v>
      </c>
      <c r="R39" s="225">
        <v>13487.61</v>
      </c>
      <c r="S39" s="225">
        <v>13422.44</v>
      </c>
      <c r="T39" s="225">
        <v>14890.27</v>
      </c>
      <c r="U39" s="225">
        <v>15529.86</v>
      </c>
      <c r="V39" s="225">
        <v>14065.75</v>
      </c>
      <c r="W39" s="225">
        <v>14147.36</v>
      </c>
      <c r="X39" s="225">
        <v>15565.59</v>
      </c>
      <c r="Y39" s="225">
        <v>14966.66</v>
      </c>
      <c r="Z39" s="225">
        <v>12206.09</v>
      </c>
      <c r="AA39" s="225">
        <f t="shared" si="1"/>
        <v>166721.12000000002</v>
      </c>
      <c r="AB39" s="226">
        <f t="shared" si="2"/>
        <v>1.4002500991804966E-2</v>
      </c>
      <c r="AC39" s="227"/>
      <c r="AD39" s="225">
        <v>201082.61494497801</v>
      </c>
      <c r="AE39" s="226">
        <f t="shared" si="3"/>
        <v>2.4131839945099522E-2</v>
      </c>
      <c r="AF39" s="228">
        <f t="shared" si="4"/>
        <v>-34361.494944977982</v>
      </c>
      <c r="AG39" s="225">
        <v>147569.72</v>
      </c>
      <c r="AH39" s="226">
        <f t="shared" si="5"/>
        <v>2.8306146379361276E-2</v>
      </c>
      <c r="AI39" s="228">
        <f t="shared" si="6"/>
        <v>19151.400000000023</v>
      </c>
      <c r="AJ39" s="229">
        <f t="shared" si="7"/>
        <v>3.4603802407638029</v>
      </c>
      <c r="AK39" s="230">
        <f t="shared" si="8"/>
        <v>4.1735702562261938</v>
      </c>
      <c r="AL39" s="232">
        <f t="shared" si="9"/>
        <v>3.0545148203344925</v>
      </c>
      <c r="AM39" s="427" t="str">
        <f t="shared" si="10"/>
        <v>-1.01 pts.</v>
      </c>
      <c r="AN39" s="456" t="str">
        <f t="shared" si="11"/>
        <v>-1.43 pts.</v>
      </c>
      <c r="AO39" s="11"/>
    </row>
    <row r="40" spans="1:41" x14ac:dyDescent="0.35">
      <c r="A40" s="11" t="s">
        <v>109</v>
      </c>
      <c r="B40" s="11"/>
      <c r="C40" s="196" t="s">
        <v>101</v>
      </c>
      <c r="D40" s="11" t="s">
        <v>107</v>
      </c>
      <c r="E40" s="11"/>
      <c r="F40" s="11" t="s">
        <v>99</v>
      </c>
      <c r="G40" s="11"/>
      <c r="H40" s="88" t="s">
        <v>867</v>
      </c>
      <c r="I40" s="122" t="str">
        <f>IF(_epmOfflineCondition_,"T3",_xll.EVPRO($B$1,$H40,"STYLE"))</f>
        <v>T3</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IF(_epmOfflineCondition_,"Contracted &amp; Leased Labor",IF(_xll.EVDES(H40,$B$1)="#NODATA","",_xll.EVDES(H40,$B$1)))</f>
        <v>Contracted &amp; Leased Labor</v>
      </c>
      <c r="O40" s="216"/>
      <c r="P40" s="216">
        <v>3702.5</v>
      </c>
      <c r="Q40" s="216">
        <v>3187</v>
      </c>
      <c r="R40" s="216">
        <v>2520</v>
      </c>
      <c r="S40" s="216">
        <v>2934</v>
      </c>
      <c r="T40" s="216">
        <v>3622.5</v>
      </c>
      <c r="U40" s="216">
        <v>6860.25</v>
      </c>
      <c r="V40" s="216">
        <v>6879.75</v>
      </c>
      <c r="W40" s="216">
        <v>7946.25</v>
      </c>
      <c r="X40" s="216">
        <v>9775.31</v>
      </c>
      <c r="Y40" s="216">
        <v>13260</v>
      </c>
      <c r="Z40" s="216">
        <v>11122.28</v>
      </c>
      <c r="AA40" s="216">
        <f t="shared" si="1"/>
        <v>71809.84</v>
      </c>
      <c r="AB40" s="218">
        <f t="shared" si="2"/>
        <v>6.0311336429443117E-3</v>
      </c>
      <c r="AC40" s="140"/>
      <c r="AD40" s="216"/>
      <c r="AE40" s="218" t="str">
        <f t="shared" si="3"/>
        <v/>
      </c>
      <c r="AF40" s="233">
        <f t="shared" si="4"/>
        <v>71809.84</v>
      </c>
      <c r="AG40" s="216"/>
      <c r="AH40" s="218" t="str">
        <f t="shared" si="5"/>
        <v/>
      </c>
      <c r="AI40" s="233">
        <f t="shared" si="6"/>
        <v>71809.84</v>
      </c>
      <c r="AJ40" s="532">
        <f t="shared" si="7"/>
        <v>1.4904491490244913</v>
      </c>
      <c r="AK40" s="533">
        <f t="shared" si="8"/>
        <v>0</v>
      </c>
      <c r="AL40" s="534">
        <f t="shared" si="9"/>
        <v>0</v>
      </c>
      <c r="AM40" s="535">
        <f t="shared" si="10"/>
        <v>0</v>
      </c>
      <c r="AN40" s="536">
        <f t="shared" si="11"/>
        <v>0</v>
      </c>
      <c r="AO40" s="11"/>
    </row>
    <row r="41" spans="1:41" x14ac:dyDescent="0.35">
      <c r="A41" s="11" t="s">
        <v>110</v>
      </c>
      <c r="B41" s="11"/>
      <c r="C41" s="106" t="s">
        <v>101</v>
      </c>
      <c r="D41" s="11" t="s">
        <v>106</v>
      </c>
      <c r="E41" s="11"/>
      <c r="F41" s="11" t="s">
        <v>98</v>
      </c>
      <c r="G41" s="11"/>
      <c r="H41" s="88" t="s">
        <v>849</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16">
        <v>399.8</v>
      </c>
      <c r="P41" s="216">
        <v>399.8</v>
      </c>
      <c r="Q41" s="216">
        <v>430.66</v>
      </c>
      <c r="R41" s="216">
        <v>480.37</v>
      </c>
      <c r="S41" s="216">
        <v>931.21</v>
      </c>
      <c r="T41" s="216">
        <v>930.67</v>
      </c>
      <c r="U41" s="216">
        <v>742.99</v>
      </c>
      <c r="V41" s="216">
        <v>1425</v>
      </c>
      <c r="W41" s="216">
        <v>2175</v>
      </c>
      <c r="X41" s="216">
        <v>1425</v>
      </c>
      <c r="Y41" s="216">
        <v>1425</v>
      </c>
      <c r="Z41" s="216">
        <v>1425</v>
      </c>
      <c r="AA41" s="216">
        <f t="shared" si="1"/>
        <v>12190.5</v>
      </c>
      <c r="AB41" s="218">
        <f t="shared" si="2"/>
        <v>1.0238504176351409E-3</v>
      </c>
      <c r="AC41" s="140"/>
      <c r="AD41" s="217">
        <v>5952.2289230712004</v>
      </c>
      <c r="AE41" s="219">
        <f t="shared" si="3"/>
        <v>7.1432448661685577E-4</v>
      </c>
      <c r="AF41" s="220">
        <f t="shared" si="4"/>
        <v>6238.2710769287996</v>
      </c>
      <c r="AG41" s="217">
        <v>-750.65</v>
      </c>
      <c r="AH41" s="219">
        <f t="shared" si="5"/>
        <v>-1.4398623768932775E-4</v>
      </c>
      <c r="AI41" s="220">
        <f t="shared" si="6"/>
        <v>12941.15</v>
      </c>
      <c r="AJ41" s="449">
        <f t="shared" si="7"/>
        <v>0.25301992528019923</v>
      </c>
      <c r="AK41" s="450">
        <f t="shared" si="8"/>
        <v>0.12354148864821919</v>
      </c>
      <c r="AL41" s="451">
        <f t="shared" si="9"/>
        <v>-1.5537547607219739E-2</v>
      </c>
      <c r="AM41" s="452" t="str">
        <f t="shared" si="10"/>
        <v>0.03 pts.</v>
      </c>
      <c r="AN41" s="453" t="str">
        <f t="shared" si="11"/>
        <v>0.12 pts.</v>
      </c>
      <c r="AO41" s="11"/>
    </row>
    <row r="42" spans="1:41" x14ac:dyDescent="0.35">
      <c r="A42" s="11" t="s">
        <v>110</v>
      </c>
      <c r="B42" s="11"/>
      <c r="C42" s="109" t="s">
        <v>101</v>
      </c>
      <c r="D42" s="11" t="s">
        <v>107</v>
      </c>
      <c r="E42" s="11"/>
      <c r="F42" s="11" t="s">
        <v>99</v>
      </c>
      <c r="G42" s="11"/>
      <c r="H42" s="88" t="s">
        <v>850</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5">
        <v>12659.49</v>
      </c>
      <c r="P42" s="225">
        <v>17098.62</v>
      </c>
      <c r="Q42" s="225">
        <v>16801.14</v>
      </c>
      <c r="R42" s="225">
        <v>16487.98</v>
      </c>
      <c r="S42" s="225">
        <v>17287.650000000001</v>
      </c>
      <c r="T42" s="225">
        <v>19443.439999999999</v>
      </c>
      <c r="U42" s="225">
        <v>23133.1</v>
      </c>
      <c r="V42" s="225">
        <v>22370.5</v>
      </c>
      <c r="W42" s="225">
        <v>24268.61</v>
      </c>
      <c r="X42" s="225">
        <v>26765.9</v>
      </c>
      <c r="Y42" s="225">
        <v>29651.66</v>
      </c>
      <c r="Z42" s="225">
        <v>24753.37</v>
      </c>
      <c r="AA42" s="225">
        <f t="shared" si="1"/>
        <v>250721.46000000002</v>
      </c>
      <c r="AB42" s="226">
        <f t="shared" si="2"/>
        <v>2.1057485052384421E-2</v>
      </c>
      <c r="AC42" s="227"/>
      <c r="AD42" s="225">
        <v>207034.84386805</v>
      </c>
      <c r="AE42" s="226">
        <f t="shared" si="3"/>
        <v>2.4846164431716476E-2</v>
      </c>
      <c r="AF42" s="228">
        <f t="shared" si="4"/>
        <v>43686.616131950024</v>
      </c>
      <c r="AG42" s="225">
        <v>146819.07</v>
      </c>
      <c r="AH42" s="226">
        <f t="shared" si="5"/>
        <v>2.8162160141671951E-2</v>
      </c>
      <c r="AI42" s="228">
        <f t="shared" si="6"/>
        <v>103902.39000000001</v>
      </c>
      <c r="AJ42" s="229">
        <f t="shared" si="7"/>
        <v>5.2038493150684939</v>
      </c>
      <c r="AK42" s="230">
        <f t="shared" si="8"/>
        <v>4.2971117448744289</v>
      </c>
      <c r="AL42" s="232">
        <f t="shared" si="9"/>
        <v>3.0389772727272728</v>
      </c>
      <c r="AM42" s="427" t="str">
        <f t="shared" si="10"/>
        <v>-0.38 pts.</v>
      </c>
      <c r="AN42" s="456" t="str">
        <f t="shared" si="11"/>
        <v>-0.71 pts.</v>
      </c>
      <c r="AO42" s="11"/>
    </row>
    <row r="43" spans="1:41" x14ac:dyDescent="0.35">
      <c r="A43" s="11"/>
      <c r="B43" s="11"/>
      <c r="C43" s="208"/>
      <c r="D43" s="11"/>
      <c r="E43" s="11"/>
      <c r="F43" s="11"/>
      <c r="G43" s="11"/>
      <c r="H43" s="88" t="s">
        <v>851</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16">
        <v>1164.3599999999999</v>
      </c>
      <c r="P43" s="216">
        <v>1019.93</v>
      </c>
      <c r="Q43" s="216">
        <v>1057.1099999999999</v>
      </c>
      <c r="R43" s="216">
        <v>1107.5999999999999</v>
      </c>
      <c r="S43" s="216">
        <v>1250.98</v>
      </c>
      <c r="T43" s="216">
        <v>1155.23</v>
      </c>
      <c r="U43" s="216">
        <v>1295.82</v>
      </c>
      <c r="V43" s="216">
        <v>1101.58</v>
      </c>
      <c r="W43" s="216">
        <v>1078.23</v>
      </c>
      <c r="X43" s="216">
        <v>1256.1099999999999</v>
      </c>
      <c r="Y43" s="216">
        <v>1232.8800000000001</v>
      </c>
      <c r="Z43" s="216">
        <v>1479.04</v>
      </c>
      <c r="AA43" s="216">
        <f t="shared" si="1"/>
        <v>14198.869999999999</v>
      </c>
      <c r="AB43" s="218">
        <f t="shared" si="2"/>
        <v>1.1925285246254928E-3</v>
      </c>
      <c r="AC43" s="140"/>
      <c r="AD43" s="216">
        <v>18876.310764992199</v>
      </c>
      <c r="AE43" s="218">
        <f t="shared" si="3"/>
        <v>2.2653381062276035E-3</v>
      </c>
      <c r="AF43" s="233">
        <f t="shared" si="4"/>
        <v>-4677.4407649921995</v>
      </c>
      <c r="AG43" s="216">
        <v>12189.98</v>
      </c>
      <c r="AH43" s="218">
        <f t="shared" si="5"/>
        <v>2.3382260143983897E-3</v>
      </c>
      <c r="AI43" s="233">
        <f t="shared" si="6"/>
        <v>2008.8899999999994</v>
      </c>
      <c r="AJ43" s="532">
        <f t="shared" si="7"/>
        <v>0.29470464923204648</v>
      </c>
      <c r="AK43" s="533">
        <f t="shared" si="8"/>
        <v>0.39178727200066832</v>
      </c>
      <c r="AL43" s="534">
        <f t="shared" si="9"/>
        <v>0.25231785063752277</v>
      </c>
      <c r="AM43" s="535" t="str">
        <f t="shared" si="10"/>
        <v>-0.11 pts.</v>
      </c>
      <c r="AN43" s="536" t="str">
        <f t="shared" si="11"/>
        <v>-0.11 pts.</v>
      </c>
      <c r="AO43" s="11"/>
    </row>
    <row r="44" spans="1:41" x14ac:dyDescent="0.35">
      <c r="A44" s="11"/>
      <c r="B44" s="11"/>
      <c r="C44" s="11"/>
      <c r="D44" s="11"/>
      <c r="E44" s="11"/>
      <c r="F44" s="11"/>
      <c r="G44" s="11"/>
      <c r="H44" s="88" t="s">
        <v>852</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16">
        <v>2126.0300000000002</v>
      </c>
      <c r="P44" s="216">
        <v>644.94000000000005</v>
      </c>
      <c r="Q44" s="216">
        <v>1268.8499999999999</v>
      </c>
      <c r="R44" s="216">
        <v>840.86</v>
      </c>
      <c r="S44" s="216">
        <v>3522.2</v>
      </c>
      <c r="T44" s="216">
        <v>1306.3800000000001</v>
      </c>
      <c r="U44" s="216">
        <v>1536.97</v>
      </c>
      <c r="V44" s="216">
        <v>1595.53</v>
      </c>
      <c r="W44" s="216">
        <v>1226.0899999999999</v>
      </c>
      <c r="X44" s="216">
        <v>531.11</v>
      </c>
      <c r="Y44" s="216">
        <v>700.98</v>
      </c>
      <c r="Z44" s="216">
        <v>1796.47</v>
      </c>
      <c r="AA44" s="216">
        <f t="shared" si="1"/>
        <v>17096.410000000003</v>
      </c>
      <c r="AB44" s="218">
        <f t="shared" si="2"/>
        <v>1.4358858552611952E-3</v>
      </c>
      <c r="AC44" s="140"/>
      <c r="AD44" s="217">
        <v>16353.449208784899</v>
      </c>
      <c r="AE44" s="219">
        <f t="shared" si="3"/>
        <v>1.9625705532260768E-3</v>
      </c>
      <c r="AF44" s="220">
        <f t="shared" si="4"/>
        <v>742.96079121510411</v>
      </c>
      <c r="AG44" s="217">
        <v>18335.89</v>
      </c>
      <c r="AH44" s="219">
        <f t="shared" si="5"/>
        <v>3.5171062622865084E-3</v>
      </c>
      <c r="AI44" s="220">
        <f t="shared" si="6"/>
        <v>-1239.4799999999959</v>
      </c>
      <c r="AJ44" s="449">
        <f t="shared" si="7"/>
        <v>0.3548445413034455</v>
      </c>
      <c r="AK44" s="450">
        <f t="shared" si="8"/>
        <v>0.33942401844717518</v>
      </c>
      <c r="AL44" s="451">
        <f t="shared" si="9"/>
        <v>0.3795307584037092</v>
      </c>
      <c r="AM44" s="452" t="str">
        <f t="shared" si="10"/>
        <v>-0.05 pts.</v>
      </c>
      <c r="AN44" s="453" t="str">
        <f t="shared" si="11"/>
        <v>-0.21 pts.</v>
      </c>
      <c r="AO44" s="11"/>
    </row>
    <row r="45" spans="1:41" x14ac:dyDescent="0.35">
      <c r="A45" s="61" t="str">
        <f>IF(_epmOfflineCondition_,"Evdre:Ok",_xll.EVDRE($B$1,A48:B55))</f>
        <v>Evdre:Ok</v>
      </c>
      <c r="B45" s="11" t="s">
        <v>736</v>
      </c>
      <c r="C45" s="11"/>
      <c r="D45" s="11"/>
      <c r="E45" s="11"/>
      <c r="F45" s="11"/>
      <c r="G45" s="11"/>
      <c r="H45" s="88" t="s">
        <v>853</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16">
        <v>1462.69</v>
      </c>
      <c r="P45" s="216">
        <v>2308.4899999999998</v>
      </c>
      <c r="Q45" s="216">
        <v>1368.59</v>
      </c>
      <c r="R45" s="216">
        <v>1612.56</v>
      </c>
      <c r="S45" s="216">
        <v>1700.09</v>
      </c>
      <c r="T45" s="216">
        <v>1688.73</v>
      </c>
      <c r="U45" s="216">
        <v>1732.22</v>
      </c>
      <c r="V45" s="216">
        <v>1622.17</v>
      </c>
      <c r="W45" s="216">
        <v>1665.35</v>
      </c>
      <c r="X45" s="216">
        <v>1671.68</v>
      </c>
      <c r="Y45" s="216">
        <v>1661.85</v>
      </c>
      <c r="Z45" s="216">
        <v>1656.5</v>
      </c>
      <c r="AA45" s="216">
        <f t="shared" si="1"/>
        <v>20150.919999999998</v>
      </c>
      <c r="AB45" s="218">
        <f t="shared" si="2"/>
        <v>1.6924267140586776E-3</v>
      </c>
      <c r="AC45" s="140"/>
      <c r="AD45" s="217">
        <v>19547.909178448699</v>
      </c>
      <c r="AE45" s="219">
        <f t="shared" si="3"/>
        <v>2.3459363490212419E-3</v>
      </c>
      <c r="AF45" s="220">
        <f t="shared" si="4"/>
        <v>603.01082155129916</v>
      </c>
      <c r="AG45" s="217">
        <v>14467.6</v>
      </c>
      <c r="AH45" s="219">
        <f t="shared" si="5"/>
        <v>2.7751086290469834E-3</v>
      </c>
      <c r="AI45" s="220">
        <f t="shared" si="6"/>
        <v>5683.3199999999979</v>
      </c>
      <c r="AJ45" s="449">
        <f t="shared" si="7"/>
        <v>0.41824242424242419</v>
      </c>
      <c r="AK45" s="450">
        <f t="shared" si="8"/>
        <v>0.40572663301055828</v>
      </c>
      <c r="AL45" s="451">
        <f t="shared" si="9"/>
        <v>0.29946183142904453</v>
      </c>
      <c r="AM45" s="452" t="str">
        <f t="shared" si="10"/>
        <v>-0.07 pts.</v>
      </c>
      <c r="AN45" s="453" t="str">
        <f t="shared" si="11"/>
        <v>-0.11 pts.</v>
      </c>
      <c r="AO45" s="11"/>
    </row>
    <row r="46" spans="1:41" x14ac:dyDescent="0.35">
      <c r="A46" s="11"/>
      <c r="B46" s="11"/>
      <c r="C46" s="11"/>
      <c r="D46" s="11"/>
      <c r="E46" s="11"/>
      <c r="F46" s="11"/>
      <c r="G46" s="11"/>
      <c r="H46" s="88" t="s">
        <v>854</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38">
        <v>4753.08</v>
      </c>
      <c r="P46" s="238">
        <v>3973.36</v>
      </c>
      <c r="Q46" s="238">
        <v>3694.55</v>
      </c>
      <c r="R46" s="238">
        <v>3561.02</v>
      </c>
      <c r="S46" s="238">
        <v>6473.27</v>
      </c>
      <c r="T46" s="238">
        <v>4150.34</v>
      </c>
      <c r="U46" s="238">
        <v>4565.01</v>
      </c>
      <c r="V46" s="238">
        <v>4319.28</v>
      </c>
      <c r="W46" s="238">
        <v>3969.67</v>
      </c>
      <c r="X46" s="238">
        <v>3458.9</v>
      </c>
      <c r="Y46" s="238">
        <v>3595.71</v>
      </c>
      <c r="Z46" s="238">
        <v>4932.01</v>
      </c>
      <c r="AA46" s="238">
        <f t="shared" si="1"/>
        <v>51446.200000000004</v>
      </c>
      <c r="AB46" s="239">
        <f t="shared" si="2"/>
        <v>4.320841093945366E-3</v>
      </c>
      <c r="AC46" s="240"/>
      <c r="AD46" s="238">
        <v>54777.669152225797</v>
      </c>
      <c r="AE46" s="239">
        <f t="shared" si="3"/>
        <v>6.5738450084749222E-3</v>
      </c>
      <c r="AF46" s="241">
        <f t="shared" si="4"/>
        <v>-3331.4691522257926</v>
      </c>
      <c r="AG46" s="238">
        <v>44993.47</v>
      </c>
      <c r="AH46" s="239">
        <f t="shared" si="5"/>
        <v>8.6304409057318815E-3</v>
      </c>
      <c r="AI46" s="241">
        <f t="shared" si="6"/>
        <v>6452.7300000000032</v>
      </c>
      <c r="AJ46" s="242">
        <f t="shared" si="7"/>
        <v>1.0677916147779163</v>
      </c>
      <c r="AK46" s="243">
        <f t="shared" si="8"/>
        <v>1.1369379234584018</v>
      </c>
      <c r="AL46" s="245">
        <f t="shared" si="9"/>
        <v>0.93131044047027656</v>
      </c>
      <c r="AM46" s="431" t="str">
        <f t="shared" si="10"/>
        <v>-0.23 pts.</v>
      </c>
      <c r="AN46" s="465" t="str">
        <f t="shared" si="11"/>
        <v>-0.43 pts.</v>
      </c>
      <c r="AO46" s="11"/>
    </row>
    <row r="47" spans="1:41" x14ac:dyDescent="0.35">
      <c r="A47" s="62" t="s">
        <v>0</v>
      </c>
      <c r="B47" s="63" t="s">
        <v>1</v>
      </c>
      <c r="C47" s="11"/>
      <c r="D47" s="11"/>
      <c r="E47" s="11"/>
      <c r="F47" s="11"/>
      <c r="G47" s="11"/>
      <c r="H47" s="88"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38">
        <v>17412.57</v>
      </c>
      <c r="P47" s="238">
        <v>21071.98</v>
      </c>
      <c r="Q47" s="238">
        <v>20495.689999999999</v>
      </c>
      <c r="R47" s="238">
        <v>20049</v>
      </c>
      <c r="S47" s="238">
        <v>23760.92</v>
      </c>
      <c r="T47" s="238">
        <v>23593.78</v>
      </c>
      <c r="U47" s="238">
        <v>27698.11</v>
      </c>
      <c r="V47" s="238">
        <v>26689.78</v>
      </c>
      <c r="W47" s="238">
        <v>28238.28</v>
      </c>
      <c r="X47" s="238">
        <v>30224.799999999999</v>
      </c>
      <c r="Y47" s="238">
        <v>33247.370000000003</v>
      </c>
      <c r="Z47" s="238">
        <v>29685.38</v>
      </c>
      <c r="AA47" s="238">
        <f t="shared" si="1"/>
        <v>302167.65999999997</v>
      </c>
      <c r="AB47" s="239">
        <f t="shared" si="2"/>
        <v>2.5378326146329781E-2</v>
      </c>
      <c r="AC47" s="240"/>
      <c r="AD47" s="238">
        <v>261812.51302027499</v>
      </c>
      <c r="AE47" s="239">
        <f t="shared" si="3"/>
        <v>3.1420009440191299E-2</v>
      </c>
      <c r="AF47" s="241">
        <f t="shared" si="4"/>
        <v>40355.146979724988</v>
      </c>
      <c r="AG47" s="238">
        <v>191812.54</v>
      </c>
      <c r="AH47" s="239">
        <f t="shared" si="5"/>
        <v>3.6792601047403832E-2</v>
      </c>
      <c r="AI47" s="241">
        <f t="shared" si="6"/>
        <v>110355.11999999997</v>
      </c>
      <c r="AJ47" s="242">
        <f t="shared" si="7"/>
        <v>6.2716409298464084</v>
      </c>
      <c r="AK47" s="243">
        <f t="shared" si="8"/>
        <v>5.4340496683328139</v>
      </c>
      <c r="AL47" s="245">
        <f t="shared" si="9"/>
        <v>3.9702877131975494</v>
      </c>
      <c r="AM47" s="431" t="str">
        <f t="shared" si="10"/>
        <v>-0.6 pts.</v>
      </c>
      <c r="AN47" s="465" t="str">
        <f t="shared" si="11"/>
        <v>-1.14 pts.</v>
      </c>
      <c r="AO47" s="11"/>
    </row>
    <row r="48" spans="1:41" x14ac:dyDescent="0.35">
      <c r="A48" s="65" t="s">
        <v>2</v>
      </c>
      <c r="B48" s="66" t="str">
        <f>IF(_epmOfflineCondition_,"'POM'!$B$2:$B$10",_xll.EVRNG($B$2:$B$10))</f>
        <v>'POM'!$B$2:$B$10</v>
      </c>
      <c r="C48" s="11"/>
      <c r="D48" s="11"/>
      <c r="E48" s="11"/>
      <c r="F48" s="11"/>
      <c r="G48" s="11"/>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35">
      <c r="A49" s="65" t="s">
        <v>3</v>
      </c>
      <c r="B49" s="66" t="str">
        <f>IF(_epmOfflineCondition_,"'POM'!$O$16:$AN$18",_xll.EVRNG($O$16:$AN$18))</f>
        <v>'POM'!$O$16:$AN$18</v>
      </c>
      <c r="C49" s="11"/>
      <c r="D49" s="11"/>
      <c r="E49" s="11"/>
      <c r="F49" s="11"/>
      <c r="G49" s="11"/>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35">
      <c r="A50" s="65" t="s">
        <v>4</v>
      </c>
      <c r="B50" s="66" t="str">
        <f>IF(_epmOfflineCondition_,"'POM'!$H$72:$H$75",_xll.EVRNG(H72:H75))</f>
        <v>'POM'!$H$72:$H$75</v>
      </c>
      <c r="C50" s="11"/>
      <c r="D50" s="11"/>
      <c r="E50" s="11"/>
      <c r="F50" s="11"/>
      <c r="G50" s="11"/>
      <c r="H50" s="88" t="s">
        <v>828</v>
      </c>
      <c r="I50" s="122" t="str">
        <f>IF(_epmOfflineCondition_,"N",_xll.EVPRO($B$1,$H50,"STYLE"))</f>
        <v>N</v>
      </c>
      <c r="J50" s="122" t="str">
        <f>IF(_epmOfflineCondition_,"N",_xll.EVPRO($B$1,$H50,"CALC"))</f>
        <v>N</v>
      </c>
      <c r="K50" s="179" t="str">
        <f t="shared" ref="K50:K71"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43"/>
      <c r="P50" s="143"/>
      <c r="Q50" s="143"/>
      <c r="R50" s="143"/>
      <c r="S50" s="143"/>
      <c r="T50" s="143"/>
      <c r="U50" s="143"/>
      <c r="V50" s="143"/>
      <c r="W50" s="143"/>
      <c r="X50" s="143"/>
      <c r="Y50" s="143"/>
      <c r="Z50" s="143">
        <v>250</v>
      </c>
      <c r="AA50" s="210">
        <f t="shared" ref="AA50:AA72" si="13">IF($I50="B1","",SUM(O50:Z50))</f>
        <v>250</v>
      </c>
      <c r="AB50" s="144">
        <f t="shared" ref="AB50:AB72" si="14">IF(AA50=0,"",IFERROR(AA50/AA$19,""))</f>
        <v>2.0996891383354678E-5</v>
      </c>
      <c r="AC50" s="140"/>
      <c r="AD50" s="143"/>
      <c r="AE50" s="144" t="str">
        <f t="shared" ref="AE50:AE72" si="15">IF(AD50=0,"",IFERROR(AD50/AD$19,""))</f>
        <v/>
      </c>
      <c r="AF50" s="145">
        <f t="shared" ref="AF50:AF72" si="16">IF(AND($AA50="",AD50=""),"",$AA50-AD50)</f>
        <v>250</v>
      </c>
      <c r="AG50" s="143"/>
      <c r="AH50" s="144" t="str">
        <f t="shared" ref="AH50:AH72" si="17">IF(AG50=0,"",IFERROR(AG50/AG$19,""))</f>
        <v/>
      </c>
      <c r="AI50" s="145">
        <f t="shared" ref="AI50:AI72" si="18">IF(AND($AA50="",AG50=""),"",$AA50-AG50)</f>
        <v>250</v>
      </c>
      <c r="AJ50" s="440">
        <f t="shared" ref="AJ50:AJ72" si="19">IFERROR(AA50/AA$20,0)</f>
        <v>5.1888750518887502E-3</v>
      </c>
      <c r="AK50" s="441">
        <f t="shared" ref="AK50:AK72" si="20">IFERROR(AD50/AD$20,0)</f>
        <v>0</v>
      </c>
      <c r="AL50" s="442">
        <f t="shared" ref="AL50:AL72" si="21">IFERROR(AG50/AG$20,0)</f>
        <v>0</v>
      </c>
      <c r="AM50" s="443">
        <f t="shared" ref="AM50:AM72" si="22">+IFERROR(ROUND(($AB50-AE50)*100,2)&amp;" pts.",0)</f>
        <v>0</v>
      </c>
      <c r="AN50" s="444">
        <f t="shared" ref="AN50:AN72" si="23">+IFERROR(ROUND(($AB50-AH50)*100,2)&amp;" pts.",0)</f>
        <v>0</v>
      </c>
      <c r="AO50" s="11"/>
    </row>
    <row r="51" spans="1:41" x14ac:dyDescent="0.35">
      <c r="A51" s="65" t="s">
        <v>5</v>
      </c>
      <c r="B51" s="66"/>
      <c r="C51" s="11"/>
      <c r="D51" s="11"/>
      <c r="E51" s="11"/>
      <c r="F51" s="11"/>
      <c r="G51" s="11"/>
      <c r="H51" s="88" t="s">
        <v>831</v>
      </c>
      <c r="I51" s="122" t="str">
        <f>IF(_epmOfflineCondition_,"T4",_xll.EVPRO($B$1,$H51,"STYLE"))</f>
        <v>T4</v>
      </c>
      <c r="J51" s="122" t="str">
        <f>IF(_epmOfflineCondition_,"Y",_xll.EVPRO($B$1,$H51,"CALC"))</f>
        <v>Y</v>
      </c>
      <c r="K51" s="179" t="str">
        <f t="shared" si="12"/>
        <v>&gt;</v>
      </c>
      <c r="L51" s="90" t="str">
        <f>IF(_epmOfflineCondition_,"701500",_xll.EVPRO($B$1,H51,"JDEID"))</f>
        <v>701500</v>
      </c>
      <c r="M51" s="90" t="str">
        <f>IF(_epmOfflineCondition_,"",IF(AND(I51="N",J51="N"),_xll.EVPRO($B$1,H51,"PSFTID"),""))</f>
        <v/>
      </c>
      <c r="N51" s="90" t="str">
        <f>IF(_epmOfflineCondition_,"Operating Supplies",IF(_xll.EVDES(H51,$B$1)="#NODATA","",_xll.EVDES(H51,$B$1)))</f>
        <v>Operating Supplies</v>
      </c>
      <c r="O51" s="143">
        <v>346.34</v>
      </c>
      <c r="P51" s="143">
        <v>131.68</v>
      </c>
      <c r="Q51" s="143">
        <v>1098.74</v>
      </c>
      <c r="R51" s="143">
        <v>1039.82</v>
      </c>
      <c r="S51" s="143">
        <v>822.24</v>
      </c>
      <c r="T51" s="143">
        <v>215.93</v>
      </c>
      <c r="U51" s="143">
        <v>200.1</v>
      </c>
      <c r="V51" s="143"/>
      <c r="W51" s="143">
        <v>331.76</v>
      </c>
      <c r="X51" s="143">
        <v>349.62</v>
      </c>
      <c r="Y51" s="143">
        <v>555.29999999999995</v>
      </c>
      <c r="Z51" s="143">
        <v>525.39</v>
      </c>
      <c r="AA51" s="210">
        <f t="shared" si="13"/>
        <v>5616.92</v>
      </c>
      <c r="AB51" s="144">
        <f t="shared" si="14"/>
        <v>4.7175143659597022E-4</v>
      </c>
      <c r="AC51" s="140"/>
      <c r="AD51" s="143">
        <v>4420</v>
      </c>
      <c r="AE51" s="144">
        <f t="shared" si="15"/>
        <v>5.3044233876969372E-4</v>
      </c>
      <c r="AF51" s="145">
        <f t="shared" si="16"/>
        <v>1196.92</v>
      </c>
      <c r="AG51" s="143">
        <v>6859.93</v>
      </c>
      <c r="AH51" s="144">
        <f t="shared" si="17"/>
        <v>1.3158402871007128E-3</v>
      </c>
      <c r="AI51" s="145">
        <f t="shared" si="18"/>
        <v>-1243.0100000000002</v>
      </c>
      <c r="AJ51" s="440">
        <f t="shared" si="19"/>
        <v>0.11658198422581985</v>
      </c>
      <c r="AK51" s="441">
        <f t="shared" si="20"/>
        <v>9.173931091739311E-2</v>
      </c>
      <c r="AL51" s="442">
        <f t="shared" si="21"/>
        <v>0.14199225865209472</v>
      </c>
      <c r="AM51" s="443" t="str">
        <f t="shared" si="22"/>
        <v>-0.01 pts.</v>
      </c>
      <c r="AN51" s="444" t="str">
        <f t="shared" si="23"/>
        <v>-0.08 pts.</v>
      </c>
      <c r="AO51" s="11"/>
    </row>
    <row r="52" spans="1:41" x14ac:dyDescent="0.35">
      <c r="A52" s="65" t="s">
        <v>6</v>
      </c>
      <c r="B52" s="66"/>
      <c r="C52" s="11"/>
      <c r="D52" s="11"/>
      <c r="E52" s="11"/>
      <c r="F52" s="11"/>
      <c r="G52" s="11"/>
      <c r="H52" s="88" t="s">
        <v>832</v>
      </c>
      <c r="I52" s="122" t="str">
        <f>IF(_epmOfflineCondition_,"T4",_xll.EVPRO($B$1,$H52,"STYLE"))</f>
        <v>T4</v>
      </c>
      <c r="J52" s="122" t="str">
        <f>IF(_epmOfflineCondition_,"Y",_xll.EVPRO($B$1,$H52,"CALC"))</f>
        <v>Y</v>
      </c>
      <c r="K52" s="179" t="str">
        <f t="shared" si="12"/>
        <v>&gt;</v>
      </c>
      <c r="L52" s="90" t="str">
        <f>IF(_epmOfflineCondition_,"",_xll.EVPRO($B$1,H52,"JDEID"))</f>
        <v/>
      </c>
      <c r="M52" s="90" t="str">
        <f>IF(_epmOfflineCondition_,"",IF(AND(I52="N",J52="N"),_xll.EVPRO($B$1,H52,"PSFTID"),""))</f>
        <v/>
      </c>
      <c r="N52" s="90" t="str">
        <f>IF(_epmOfflineCondition_,"Contract Services",IF(_xll.EVDES(H52,$B$1)="#NODATA","",_xll.EVDES(H52,$B$1)))</f>
        <v>Contract Services</v>
      </c>
      <c r="O52" s="143">
        <v>5420.37</v>
      </c>
      <c r="P52" s="143">
        <v>4791.91</v>
      </c>
      <c r="Q52" s="143">
        <v>6550.11</v>
      </c>
      <c r="R52" s="143">
        <v>-4664.32</v>
      </c>
      <c r="S52" s="143">
        <v>1177.3699999999999</v>
      </c>
      <c r="T52" s="143">
        <v>4343.03</v>
      </c>
      <c r="U52" s="143">
        <v>4327.58</v>
      </c>
      <c r="V52" s="143">
        <v>3636.29</v>
      </c>
      <c r="W52" s="143">
        <v>2649.35</v>
      </c>
      <c r="X52" s="143">
        <v>1830.9</v>
      </c>
      <c r="Y52" s="143">
        <v>3581.96</v>
      </c>
      <c r="Z52" s="143">
        <v>3544.51</v>
      </c>
      <c r="AA52" s="210">
        <f t="shared" si="13"/>
        <v>37189.06</v>
      </c>
      <c r="AB52" s="144">
        <f t="shared" si="14"/>
        <v>3.12341861387624E-3</v>
      </c>
      <c r="AC52" s="140"/>
      <c r="AD52" s="143">
        <v>44808</v>
      </c>
      <c r="AE52" s="144">
        <f t="shared" si="15"/>
        <v>5.3773892116724962E-3</v>
      </c>
      <c r="AF52" s="145">
        <f t="shared" si="16"/>
        <v>-7618.9400000000023</v>
      </c>
      <c r="AG52" s="143">
        <v>9220.58</v>
      </c>
      <c r="AH52" s="144">
        <f t="shared" si="17"/>
        <v>1.7686493352607228E-3</v>
      </c>
      <c r="AI52" s="145">
        <f t="shared" si="18"/>
        <v>27968.479999999996</v>
      </c>
      <c r="AJ52" s="440">
        <f t="shared" si="19"/>
        <v>0.77187754254877539</v>
      </c>
      <c r="AK52" s="441">
        <f t="shared" si="20"/>
        <v>0.9300124533001245</v>
      </c>
      <c r="AL52" s="442">
        <f t="shared" si="21"/>
        <v>0.19085486007617156</v>
      </c>
      <c r="AM52" s="443" t="str">
        <f t="shared" si="22"/>
        <v>-0.23 pts.</v>
      </c>
      <c r="AN52" s="444" t="str">
        <f t="shared" si="23"/>
        <v>0.14 pts.</v>
      </c>
      <c r="AO52" s="11"/>
    </row>
    <row r="53" spans="1:41" x14ac:dyDescent="0.35">
      <c r="A53" s="65" t="s">
        <v>7</v>
      </c>
      <c r="B53" s="66"/>
      <c r="C53" s="11"/>
      <c r="D53" s="11"/>
      <c r="E53" s="11"/>
      <c r="F53" s="11"/>
      <c r="G53" s="11"/>
      <c r="H53" s="88" t="s">
        <v>833</v>
      </c>
      <c r="I53" s="122" t="str">
        <f>IF(_epmOfflineCondition_,"T4",_xll.EVPRO($B$1,$H53,"STYLE"))</f>
        <v>T4</v>
      </c>
      <c r="J53" s="122" t="str">
        <f>IF(_epmOfflineCondition_,"Y",_xll.EVPRO($B$1,$H53,"CALC"))</f>
        <v>Y</v>
      </c>
      <c r="K53" s="179" t="str">
        <f t="shared" si="12"/>
        <v>&gt;</v>
      </c>
      <c r="L53" s="90" t="str">
        <f>IF(_epmOfflineCondition_,"",_xll.EVPRO($B$1,H53,"JDEID"))</f>
        <v/>
      </c>
      <c r="M53" s="90" t="str">
        <f>IF(_epmOfflineCondition_,"",IF(AND(I53="N",J53="N"),_xll.EVPRO($B$1,H53,"PSFTID"),""))</f>
        <v/>
      </c>
      <c r="N53" s="90" t="str">
        <f>IF(_epmOfflineCondition_,"Travel - Other",IF(_xll.EVDES(H53,$B$1)="#NODATA","",_xll.EVDES(H53,$B$1)))</f>
        <v>Travel - Other</v>
      </c>
      <c r="O53" s="143">
        <v>29.12</v>
      </c>
      <c r="P53" s="143">
        <v>4.4800000000000004</v>
      </c>
      <c r="Q53" s="143">
        <v>20.16</v>
      </c>
      <c r="R53" s="143">
        <v>20.72</v>
      </c>
      <c r="S53" s="143"/>
      <c r="T53" s="143"/>
      <c r="U53" s="143"/>
      <c r="V53" s="143"/>
      <c r="W53" s="143">
        <v>5.01</v>
      </c>
      <c r="X53" s="143">
        <v>16.8</v>
      </c>
      <c r="Y53" s="143"/>
      <c r="Z53" s="143">
        <v>69.09</v>
      </c>
      <c r="AA53" s="210">
        <f t="shared" si="13"/>
        <v>165.38</v>
      </c>
      <c r="AB53" s="144">
        <f t="shared" si="14"/>
        <v>1.3889863587916786E-5</v>
      </c>
      <c r="AC53" s="140"/>
      <c r="AD53" s="143"/>
      <c r="AE53" s="144" t="str">
        <f t="shared" si="15"/>
        <v/>
      </c>
      <c r="AF53" s="145">
        <f t="shared" si="16"/>
        <v>165.38</v>
      </c>
      <c r="AG53" s="143">
        <v>194.88</v>
      </c>
      <c r="AH53" s="144">
        <f t="shared" si="17"/>
        <v>3.7380987145668672E-5</v>
      </c>
      <c r="AI53" s="145">
        <f t="shared" si="18"/>
        <v>-29.5</v>
      </c>
      <c r="AJ53" s="440">
        <f t="shared" si="19"/>
        <v>3.432544624325446E-3</v>
      </c>
      <c r="AK53" s="441">
        <f t="shared" si="20"/>
        <v>0</v>
      </c>
      <c r="AL53" s="442">
        <f t="shared" si="21"/>
        <v>4.0337804272230502E-3</v>
      </c>
      <c r="AM53" s="443">
        <f t="shared" si="22"/>
        <v>0</v>
      </c>
      <c r="AN53" s="444" t="str">
        <f t="shared" si="23"/>
        <v>0 pts.</v>
      </c>
      <c r="AO53" s="11"/>
    </row>
    <row r="54" spans="1:41" x14ac:dyDescent="0.35">
      <c r="A54" s="65" t="s">
        <v>47</v>
      </c>
      <c r="B54" s="66" t="str">
        <f>IF(_epmOfflineCondition_,"'POM'!$A$59:$B$80",_xll.EVRNG($A$59:$B$80))</f>
        <v>'POM'!$A$59:$B$80</v>
      </c>
      <c r="C54" s="11"/>
      <c r="D54" s="11"/>
      <c r="E54" s="11"/>
      <c r="F54" s="11"/>
      <c r="G54" s="11"/>
      <c r="H54" s="88" t="s">
        <v>834</v>
      </c>
      <c r="I54" s="122" t="str">
        <f>IF(_epmOfflineCondition_,"T4",_xll.EVPRO($B$1,$H54,"STYLE"))</f>
        <v>T4</v>
      </c>
      <c r="J54" s="122" t="str">
        <f>IF(_epmOfflineCondition_,"Y",_xll.EVPRO($B$1,$H54,"CALC"))</f>
        <v>Y</v>
      </c>
      <c r="K54" s="179" t="str">
        <f t="shared" si="12"/>
        <v>&gt;</v>
      </c>
      <c r="L54" s="90" t="str">
        <f>IF(_epmOfflineCondition_,"702900",_xll.EVPRO($B$1,H54,"JDEID"))</f>
        <v>702900</v>
      </c>
      <c r="M54" s="90" t="str">
        <f>IF(_epmOfflineCondition_,"",IF(AND(I54="N",J54="N"),_xll.EVPRO($B$1,H54,"PSFTID"),""))</f>
        <v/>
      </c>
      <c r="N54" s="90" t="str">
        <f>IF(_epmOfflineCondition_,"Travel - Meals &amp; Entertainment",IF(_xll.EVDES(H54,$B$1)="#NODATA","",_xll.EVDES(H54,$B$1)))</f>
        <v>Travel - Meals &amp; Entertainment</v>
      </c>
      <c r="O54" s="143"/>
      <c r="P54" s="143"/>
      <c r="Q54" s="143"/>
      <c r="R54" s="143"/>
      <c r="S54" s="143"/>
      <c r="T54" s="143"/>
      <c r="U54" s="143"/>
      <c r="V54" s="143"/>
      <c r="W54" s="143">
        <v>3.31</v>
      </c>
      <c r="X54" s="143"/>
      <c r="Y54" s="143"/>
      <c r="Z54" s="143">
        <v>6.37</v>
      </c>
      <c r="AA54" s="210">
        <f t="shared" si="13"/>
        <v>9.68</v>
      </c>
      <c r="AB54" s="144">
        <f t="shared" si="14"/>
        <v>8.1299963436349311E-7</v>
      </c>
      <c r="AC54" s="140"/>
      <c r="AD54" s="143"/>
      <c r="AE54" s="144" t="str">
        <f t="shared" si="15"/>
        <v/>
      </c>
      <c r="AF54" s="145">
        <f t="shared" si="16"/>
        <v>9.68</v>
      </c>
      <c r="AG54" s="143">
        <v>-254.25</v>
      </c>
      <c r="AH54" s="144">
        <f t="shared" si="17"/>
        <v>-4.8769068051037868E-5</v>
      </c>
      <c r="AI54" s="145">
        <f t="shared" si="18"/>
        <v>263.93</v>
      </c>
      <c r="AJ54" s="440">
        <f t="shared" si="19"/>
        <v>2.0091324200913243E-4</v>
      </c>
      <c r="AK54" s="441">
        <f t="shared" si="20"/>
        <v>0</v>
      </c>
      <c r="AL54" s="442">
        <f t="shared" si="21"/>
        <v>-5.2626676602086442E-3</v>
      </c>
      <c r="AM54" s="443">
        <f t="shared" si="22"/>
        <v>0</v>
      </c>
      <c r="AN54" s="444" t="str">
        <f t="shared" si="23"/>
        <v>0 pts.</v>
      </c>
      <c r="AO54" s="11"/>
    </row>
    <row r="55" spans="1:41" x14ac:dyDescent="0.35">
      <c r="A55" s="65" t="s">
        <v>8</v>
      </c>
      <c r="B55" s="66"/>
      <c r="C55" s="11"/>
      <c r="D55" s="11"/>
      <c r="E55" s="11"/>
      <c r="F55" s="11"/>
      <c r="G55" s="11"/>
      <c r="H55" s="88" t="s">
        <v>875</v>
      </c>
      <c r="I55" s="122" t="str">
        <f>IF(_epmOfflineCondition_,"N",_xll.EVPRO($B$1,$H55,"STYLE"))</f>
        <v>N</v>
      </c>
      <c r="J55" s="122" t="str">
        <f>IF(_epmOfflineCondition_,"N",_xll.EVPRO($B$1,$H55,"CALC"))</f>
        <v>N</v>
      </c>
      <c r="K55" s="179" t="str">
        <f t="shared" si="12"/>
        <v/>
      </c>
      <c r="L55" s="90" t="str">
        <f>IF(_epmOfflineCondition_,"703200",_xll.EVPRO($B$1,H55,"JDEID"))</f>
        <v>703200</v>
      </c>
      <c r="M55" s="90" t="str">
        <f>IF(_epmOfflineCondition_,"590035",IF(AND(I55="N",J55="N"),_xll.EVPRO($B$1,H55,"PSFTID"),""))</f>
        <v>590035</v>
      </c>
      <c r="N55" s="90" t="str">
        <f>IF(_epmOfflineCondition_,"Uniform Costs",IF(_xll.EVDES(H55,$B$1)="#NODATA","",_xll.EVDES(H55,$B$1)))</f>
        <v>Uniform Costs</v>
      </c>
      <c r="O55" s="143">
        <v>531.9</v>
      </c>
      <c r="P55" s="143"/>
      <c r="Q55" s="143"/>
      <c r="R55" s="143">
        <v>500</v>
      </c>
      <c r="S55" s="143">
        <v>45.03</v>
      </c>
      <c r="T55" s="143">
        <v>288.8</v>
      </c>
      <c r="U55" s="143">
        <v>700</v>
      </c>
      <c r="V55" s="143">
        <v>-500</v>
      </c>
      <c r="W55" s="143"/>
      <c r="X55" s="143">
        <v>363.63</v>
      </c>
      <c r="Y55" s="143"/>
      <c r="Z55" s="143"/>
      <c r="AA55" s="210">
        <f t="shared" si="13"/>
        <v>1929.3600000000001</v>
      </c>
      <c r="AB55" s="144">
        <f t="shared" si="14"/>
        <v>1.6204224943755673E-4</v>
      </c>
      <c r="AC55" s="140"/>
      <c r="AD55" s="143">
        <v>2000</v>
      </c>
      <c r="AE55" s="144">
        <f t="shared" si="15"/>
        <v>2.4001915781434103E-4</v>
      </c>
      <c r="AF55" s="145">
        <f t="shared" si="16"/>
        <v>-70.639999999999873</v>
      </c>
      <c r="AG55" s="143"/>
      <c r="AH55" s="144" t="str">
        <f t="shared" si="17"/>
        <v/>
      </c>
      <c r="AI55" s="145">
        <f t="shared" si="18"/>
        <v>1929.3600000000001</v>
      </c>
      <c r="AJ55" s="440">
        <f t="shared" si="19"/>
        <v>4.0044831880448321E-2</v>
      </c>
      <c r="AK55" s="441">
        <f t="shared" si="20"/>
        <v>4.1511000415110001E-2</v>
      </c>
      <c r="AL55" s="442">
        <f t="shared" si="21"/>
        <v>0</v>
      </c>
      <c r="AM55" s="443" t="str">
        <f t="shared" si="22"/>
        <v>-0.01 pts.</v>
      </c>
      <c r="AN55" s="444">
        <f t="shared" si="23"/>
        <v>0</v>
      </c>
      <c r="AO55" s="11"/>
    </row>
    <row r="56" spans="1:41" x14ac:dyDescent="0.35">
      <c r="A56" s="11"/>
      <c r="B56" s="11"/>
      <c r="C56" s="11"/>
      <c r="D56" s="11"/>
      <c r="E56" s="11"/>
      <c r="F56" s="11"/>
      <c r="G56" s="11"/>
      <c r="H56" s="88" t="s">
        <v>876</v>
      </c>
      <c r="I56" s="122" t="str">
        <f>IF(_epmOfflineCondition_,"N",_xll.EVPRO($B$1,$H56,"STYLE"))</f>
        <v>N</v>
      </c>
      <c r="J56" s="122" t="str">
        <f>IF(_epmOfflineCondition_,"N",_xll.EVPRO($B$1,$H56,"CALC"))</f>
        <v>N</v>
      </c>
      <c r="K56" s="179" t="str">
        <f t="shared" si="12"/>
        <v/>
      </c>
      <c r="L56" s="90" t="str">
        <f>IF(_epmOfflineCondition_,"703300",_xll.EVPRO($B$1,H56,"JDEID"))</f>
        <v>703300</v>
      </c>
      <c r="M56" s="90" t="str">
        <f>IF(_epmOfflineCondition_,"590115",IF(AND(I56="N",J56="N"),_xll.EVPRO($B$1,H56,"PSFTID"),""))</f>
        <v>590115</v>
      </c>
      <c r="N56" s="90" t="str">
        <f>IF(_epmOfflineCondition_,"Uniforms Laundry",IF(_xll.EVDES(H56,$B$1)="#NODATA","",_xll.EVDES(H56,$B$1)))</f>
        <v>Uniforms Laundry</v>
      </c>
      <c r="O56" s="143">
        <v>261.89999999999998</v>
      </c>
      <c r="P56" s="143">
        <v>319.39999999999998</v>
      </c>
      <c r="Q56" s="143">
        <v>320.58999999999997</v>
      </c>
      <c r="R56" s="143">
        <v>307.8</v>
      </c>
      <c r="S56" s="143">
        <v>410</v>
      </c>
      <c r="T56" s="143">
        <v>406.6</v>
      </c>
      <c r="U56" s="143">
        <v>467.4</v>
      </c>
      <c r="V56" s="143">
        <v>450.05</v>
      </c>
      <c r="W56" s="143">
        <v>394.3</v>
      </c>
      <c r="X56" s="143">
        <v>361.6</v>
      </c>
      <c r="Y56" s="143">
        <v>371.8</v>
      </c>
      <c r="Z56" s="143">
        <v>371.8</v>
      </c>
      <c r="AA56" s="210">
        <f t="shared" si="13"/>
        <v>4443.2400000000007</v>
      </c>
      <c r="AB56" s="144">
        <f t="shared" si="14"/>
        <v>3.7317691068070741E-4</v>
      </c>
      <c r="AC56" s="140"/>
      <c r="AD56" s="143">
        <v>3996</v>
      </c>
      <c r="AE56" s="144">
        <f t="shared" si="15"/>
        <v>4.7955827731305337E-4</v>
      </c>
      <c r="AF56" s="145">
        <f t="shared" si="16"/>
        <v>447.24000000000069</v>
      </c>
      <c r="AG56" s="143">
        <v>2745.15</v>
      </c>
      <c r="AH56" s="144">
        <f t="shared" si="17"/>
        <v>5.2656207339353632E-4</v>
      </c>
      <c r="AI56" s="145">
        <f t="shared" si="18"/>
        <v>1698.0900000000006</v>
      </c>
      <c r="AJ56" s="440">
        <f t="shared" si="19"/>
        <v>9.2221668742216698E-2</v>
      </c>
      <c r="AK56" s="441">
        <f t="shared" si="20"/>
        <v>8.2938978829389789E-2</v>
      </c>
      <c r="AL56" s="442">
        <f t="shared" si="21"/>
        <v>5.682128663686041E-2</v>
      </c>
      <c r="AM56" s="443" t="str">
        <f t="shared" si="22"/>
        <v>-0.01 pts.</v>
      </c>
      <c r="AN56" s="444" t="str">
        <f t="shared" si="23"/>
        <v>-0.02 pts.</v>
      </c>
      <c r="AO56" s="11"/>
    </row>
    <row r="57" spans="1:41" x14ac:dyDescent="0.35">
      <c r="A57" s="11"/>
      <c r="B57" s="11"/>
      <c r="C57" s="11"/>
      <c r="D57" s="11"/>
      <c r="E57" s="11"/>
      <c r="F57" s="11"/>
      <c r="G57" s="11"/>
      <c r="H57" s="88" t="s">
        <v>841</v>
      </c>
      <c r="I57" s="122" t="str">
        <f>IF(_epmOfflineCondition_,"N",_xll.EVPRO($B$1,$H57,"STYLE"))</f>
        <v>N</v>
      </c>
      <c r="J57" s="122" t="str">
        <f>IF(_epmOfflineCondition_,"N",_xll.EVPRO($B$1,$H57,"CALC"))</f>
        <v>N</v>
      </c>
      <c r="K57" s="179" t="str">
        <f t="shared" si="12"/>
        <v/>
      </c>
      <c r="L57" s="90" t="str">
        <f>IF(_epmOfflineCondition_,"705500",_xll.EVPRO($B$1,H57,"JDEID"))</f>
        <v>705500</v>
      </c>
      <c r="M57" s="90" t="str">
        <f>IF(_epmOfflineCondition_,"690105",IF(AND(I57="N",J57="N"),_xll.EVPRO($B$1,H57,"PSFTID"),""))</f>
        <v>690105</v>
      </c>
      <c r="N57" s="90" t="str">
        <f>IF(_epmOfflineCondition_,"Licenses &amp; Permits",IF(_xll.EVDES(H57,$B$1)="#NODATA","",_xll.EVDES(H57,$B$1)))</f>
        <v>Licenses &amp; Permits</v>
      </c>
      <c r="O57" s="143"/>
      <c r="P57" s="143">
        <v>817</v>
      </c>
      <c r="Q57" s="143"/>
      <c r="R57" s="143"/>
      <c r="S57" s="143">
        <v>4050</v>
      </c>
      <c r="T57" s="143"/>
      <c r="U57" s="143">
        <v>4462.08</v>
      </c>
      <c r="V57" s="143">
        <v>694</v>
      </c>
      <c r="W57" s="143">
        <v>-3350</v>
      </c>
      <c r="X57" s="143"/>
      <c r="Y57" s="143">
        <v>1491</v>
      </c>
      <c r="Z57" s="143"/>
      <c r="AA57" s="210">
        <f t="shared" si="13"/>
        <v>8164.08</v>
      </c>
      <c r="AB57" s="144">
        <f t="shared" si="14"/>
        <v>6.8568120402007302E-4</v>
      </c>
      <c r="AC57" s="140"/>
      <c r="AD57" s="143">
        <v>6950</v>
      </c>
      <c r="AE57" s="144">
        <f t="shared" si="15"/>
        <v>8.3406657340483507E-4</v>
      </c>
      <c r="AF57" s="145">
        <f t="shared" si="16"/>
        <v>1214.08</v>
      </c>
      <c r="AG57" s="143">
        <v>5468.04</v>
      </c>
      <c r="AH57" s="144">
        <f t="shared" si="17"/>
        <v>1.0488543357553475E-3</v>
      </c>
      <c r="AI57" s="145">
        <f t="shared" si="18"/>
        <v>2696.04</v>
      </c>
      <c r="AJ57" s="440">
        <f t="shared" si="19"/>
        <v>0.16944956413449563</v>
      </c>
      <c r="AK57" s="441">
        <f t="shared" si="20"/>
        <v>0.14425072644250728</v>
      </c>
      <c r="AL57" s="442">
        <f t="shared" si="21"/>
        <v>0.11318181818181818</v>
      </c>
      <c r="AM57" s="443" t="str">
        <f t="shared" si="22"/>
        <v>-0.01 pts.</v>
      </c>
      <c r="AN57" s="444" t="str">
        <f t="shared" si="23"/>
        <v>-0.04 pts.</v>
      </c>
      <c r="AO57" s="11"/>
    </row>
    <row r="58" spans="1:41" x14ac:dyDescent="0.35">
      <c r="A58" s="62" t="s">
        <v>23</v>
      </c>
      <c r="B58" s="63" t="s">
        <v>24</v>
      </c>
      <c r="C58" s="11"/>
      <c r="D58" s="11"/>
      <c r="E58" s="11"/>
      <c r="F58" s="11"/>
      <c r="G58" s="11"/>
      <c r="H58" s="88" t="s">
        <v>898</v>
      </c>
      <c r="I58" s="122" t="str">
        <f>IF(_epmOfflineCondition_,"N",_xll.EVPRO($B$1,$H58,"STYLE"))</f>
        <v>N</v>
      </c>
      <c r="J58" s="122" t="str">
        <f>IF(_epmOfflineCondition_,"N",_xll.EVPRO($B$1,$H58,"CALC"))</f>
        <v>N</v>
      </c>
      <c r="K58" s="179" t="str">
        <f t="shared" si="12"/>
        <v/>
      </c>
      <c r="L58" s="90" t="str">
        <f>IF(_epmOfflineCondition_,"715100",_xll.EVPRO($B$1,H58,"JDEID"))</f>
        <v>715100</v>
      </c>
      <c r="M58" s="90" t="str">
        <f>IF(_epmOfflineCondition_,"691055",IF(AND(I58="N",J58="N"),_xll.EVPRO($B$1,H58,"PSFTID"),""))</f>
        <v>691055</v>
      </c>
      <c r="N58" s="90" t="str">
        <f>IF(_epmOfflineCondition_,"Life/Safety",IF(_xll.EVDES(H58,$B$1)="#NODATA","",_xll.EVDES(H58,$B$1)))</f>
        <v>Life/Safety</v>
      </c>
      <c r="O58" s="143">
        <v>228.5</v>
      </c>
      <c r="P58" s="143">
        <v>877.26</v>
      </c>
      <c r="Q58" s="143">
        <v>-301.33</v>
      </c>
      <c r="R58" s="143">
        <v>867</v>
      </c>
      <c r="S58" s="143">
        <v>536.34</v>
      </c>
      <c r="T58" s="143">
        <v>452.22</v>
      </c>
      <c r="U58" s="143">
        <v>53.5</v>
      </c>
      <c r="V58" s="143">
        <v>884.02</v>
      </c>
      <c r="W58" s="143">
        <v>250</v>
      </c>
      <c r="X58" s="143">
        <v>1755.43</v>
      </c>
      <c r="Y58" s="143">
        <v>1134.21</v>
      </c>
      <c r="Z58" s="143">
        <v>859.9</v>
      </c>
      <c r="AA58" s="210">
        <f t="shared" si="13"/>
        <v>7597.0499999999993</v>
      </c>
      <c r="AB58" s="144">
        <f t="shared" si="14"/>
        <v>6.3805773473565852E-4</v>
      </c>
      <c r="AC58" s="140"/>
      <c r="AD58" s="143">
        <v>4375</v>
      </c>
      <c r="AE58" s="144">
        <f t="shared" si="15"/>
        <v>5.2504190771887106E-4</v>
      </c>
      <c r="AF58" s="145">
        <f t="shared" si="16"/>
        <v>3222.0499999999993</v>
      </c>
      <c r="AG58" s="143">
        <v>5599.43</v>
      </c>
      <c r="AH58" s="144">
        <f t="shared" si="17"/>
        <v>1.0740569625054986E-3</v>
      </c>
      <c r="AI58" s="145">
        <f t="shared" si="18"/>
        <v>1997.619999999999</v>
      </c>
      <c r="AJ58" s="440">
        <f t="shared" si="19"/>
        <v>0.1576805728518057</v>
      </c>
      <c r="AK58" s="441">
        <f t="shared" si="20"/>
        <v>9.0805313408053132E-2</v>
      </c>
      <c r="AL58" s="442">
        <f t="shared" si="21"/>
        <v>0.11590143235635039</v>
      </c>
      <c r="AM58" s="443" t="str">
        <f t="shared" si="22"/>
        <v>0.01 pts.</v>
      </c>
      <c r="AN58" s="444" t="str">
        <f t="shared" si="23"/>
        <v>-0.04 pts.</v>
      </c>
      <c r="AO58" s="11"/>
    </row>
    <row r="59" spans="1:41" x14ac:dyDescent="0.35">
      <c r="A59" s="65" t="s">
        <v>25</v>
      </c>
      <c r="B59" s="66"/>
      <c r="C59" s="11"/>
      <c r="D59" s="11"/>
      <c r="E59" s="11"/>
      <c r="F59" s="11"/>
      <c r="G59" s="11"/>
      <c r="H59" s="88" t="s">
        <v>899</v>
      </c>
      <c r="I59" s="122" t="str">
        <f>IF(_epmOfflineCondition_,"N",_xll.EVPRO($B$1,$H59,"STYLE"))</f>
        <v>N</v>
      </c>
      <c r="J59" s="122" t="str">
        <f>IF(_epmOfflineCondition_,"N",_xll.EVPRO($B$1,$H59,"CALC"))</f>
        <v>N</v>
      </c>
      <c r="K59" s="179" t="str">
        <f t="shared" si="12"/>
        <v/>
      </c>
      <c r="L59" s="90" t="str">
        <f>IF(_epmOfflineCondition_,"715200",_xll.EVPRO($B$1,H59,"JDEID"))</f>
        <v>715200</v>
      </c>
      <c r="M59" s="90" t="str">
        <f>IF(_epmOfflineCondition_,"691095",IF(AND(I59="N",J59="N"),_xll.EVPRO($B$1,H59,"PSFTID"),""))</f>
        <v>691095</v>
      </c>
      <c r="N59" s="90" t="str">
        <f>IF(_epmOfflineCondition_,"Electrical &amp; Mechanical Equipment",IF(_xll.EVDES(H59,$B$1)="#NODATA","",_xll.EVDES(H59,$B$1)))</f>
        <v>Electrical &amp; Mechanical Equipment</v>
      </c>
      <c r="O59" s="143">
        <v>1566.72</v>
      </c>
      <c r="P59" s="143">
        <v>2939.73</v>
      </c>
      <c r="Q59" s="143">
        <v>1822.46</v>
      </c>
      <c r="R59" s="143">
        <v>249.81</v>
      </c>
      <c r="S59" s="143">
        <v>1290</v>
      </c>
      <c r="T59" s="143">
        <v>1346.51</v>
      </c>
      <c r="U59" s="143">
        <v>2091.16</v>
      </c>
      <c r="V59" s="143">
        <v>1898.16</v>
      </c>
      <c r="W59" s="143">
        <v>2471.71</v>
      </c>
      <c r="X59" s="143">
        <v>746.52</v>
      </c>
      <c r="Y59" s="143">
        <v>797.15</v>
      </c>
      <c r="Z59" s="143">
        <v>959.3</v>
      </c>
      <c r="AA59" s="210">
        <f t="shared" si="13"/>
        <v>18179.23</v>
      </c>
      <c r="AB59" s="144">
        <f t="shared" si="14"/>
        <v>1.5268292709720913E-3</v>
      </c>
      <c r="AC59" s="140"/>
      <c r="AD59" s="143">
        <v>14200</v>
      </c>
      <c r="AE59" s="144">
        <f t="shared" si="15"/>
        <v>1.7041360204818213E-3</v>
      </c>
      <c r="AF59" s="145">
        <f t="shared" si="16"/>
        <v>3979.2299999999996</v>
      </c>
      <c r="AG59" s="143">
        <v>5491.92</v>
      </c>
      <c r="AH59" s="144">
        <f t="shared" si="17"/>
        <v>1.0534348877516456E-3</v>
      </c>
      <c r="AI59" s="145">
        <f t="shared" si="18"/>
        <v>12687.31</v>
      </c>
      <c r="AJ59" s="440">
        <f t="shared" si="19"/>
        <v>0.37731901203819013</v>
      </c>
      <c r="AK59" s="441">
        <f t="shared" si="20"/>
        <v>0.29472810294728102</v>
      </c>
      <c r="AL59" s="442">
        <f t="shared" si="21"/>
        <v>0.11367610531544958</v>
      </c>
      <c r="AM59" s="443" t="str">
        <f t="shared" si="22"/>
        <v>-0.02 pts.</v>
      </c>
      <c r="AN59" s="444" t="str">
        <f t="shared" si="23"/>
        <v>0.05 pts.</v>
      </c>
      <c r="AO59" s="11"/>
    </row>
    <row r="60" spans="1:41" x14ac:dyDescent="0.35">
      <c r="A60" s="65" t="s">
        <v>26</v>
      </c>
      <c r="B60" s="66"/>
      <c r="C60" s="11"/>
      <c r="D60" s="11"/>
      <c r="E60" s="11"/>
      <c r="F60" s="11"/>
      <c r="G60" s="11"/>
      <c r="H60" s="88" t="s">
        <v>900</v>
      </c>
      <c r="I60" s="122" t="str">
        <f>IF(_epmOfflineCondition_,"N",_xll.EVPRO($B$1,$H60,"STYLE"))</f>
        <v>N</v>
      </c>
      <c r="J60" s="122" t="str">
        <f>IF(_epmOfflineCondition_,"N",_xll.EVPRO($B$1,$H60,"CALC"))</f>
        <v>N</v>
      </c>
      <c r="K60" s="179" t="str">
        <f t="shared" si="12"/>
        <v/>
      </c>
      <c r="L60" s="90" t="str">
        <f>IF(_epmOfflineCondition_,"715300",_xll.EVPRO($B$1,H60,"JDEID"))</f>
        <v>715300</v>
      </c>
      <c r="M60" s="90" t="str">
        <f>IF(_epmOfflineCondition_,"690922",IF(AND(I60="N",J60="N"),_xll.EVPRO($B$1,H60,"PSFTID"),""))</f>
        <v>690922</v>
      </c>
      <c r="N60" s="90" t="str">
        <f>IF(_epmOfflineCondition_,"HVAC Equipment",IF(_xll.EVDES(H60,$B$1)="#NODATA","",_xll.EVDES(H60,$B$1)))</f>
        <v>HVAC Equipment</v>
      </c>
      <c r="O60" s="143">
        <v>3633.15</v>
      </c>
      <c r="P60" s="143">
        <v>2096.8200000000002</v>
      </c>
      <c r="Q60" s="143">
        <v>2926.55</v>
      </c>
      <c r="R60" s="143">
        <v>4942.3500000000004</v>
      </c>
      <c r="S60" s="143">
        <v>5332.95</v>
      </c>
      <c r="T60" s="143">
        <v>8857.67</v>
      </c>
      <c r="U60" s="143">
        <v>3009.7</v>
      </c>
      <c r="V60" s="143">
        <v>7225.03</v>
      </c>
      <c r="W60" s="143">
        <v>2905.04</v>
      </c>
      <c r="X60" s="143">
        <v>3980.59</v>
      </c>
      <c r="Y60" s="143">
        <v>1549.64</v>
      </c>
      <c r="Z60" s="143">
        <v>4249.74</v>
      </c>
      <c r="AA60" s="210">
        <f t="shared" si="13"/>
        <v>50709.23</v>
      </c>
      <c r="AB60" s="144">
        <f t="shared" si="14"/>
        <v>4.2589447777742024E-3</v>
      </c>
      <c r="AC60" s="140"/>
      <c r="AD60" s="143">
        <v>15850</v>
      </c>
      <c r="AE60" s="144">
        <f t="shared" si="15"/>
        <v>1.9021518256786528E-3</v>
      </c>
      <c r="AF60" s="145">
        <f t="shared" si="16"/>
        <v>34859.230000000003</v>
      </c>
      <c r="AG60" s="143">
        <v>14597.36</v>
      </c>
      <c r="AH60" s="144">
        <f t="shared" si="17"/>
        <v>2.799998596678459E-3</v>
      </c>
      <c r="AI60" s="145">
        <f t="shared" si="18"/>
        <v>36111.870000000003</v>
      </c>
      <c r="AJ60" s="440">
        <f t="shared" si="19"/>
        <v>1.0524954337899544</v>
      </c>
      <c r="AK60" s="441">
        <f t="shared" si="20"/>
        <v>0.3289746782897468</v>
      </c>
      <c r="AL60" s="442">
        <f t="shared" si="21"/>
        <v>0.30214770657393608</v>
      </c>
      <c r="AM60" s="443" t="str">
        <f t="shared" si="22"/>
        <v>0.24 pts.</v>
      </c>
      <c r="AN60" s="444" t="str">
        <f t="shared" si="23"/>
        <v>0.15 pts.</v>
      </c>
      <c r="AO60" s="11"/>
    </row>
    <row r="61" spans="1:41" x14ac:dyDescent="0.35">
      <c r="A61" s="65" t="s">
        <v>27</v>
      </c>
      <c r="B61" s="66"/>
      <c r="C61" s="11"/>
      <c r="D61" s="11"/>
      <c r="E61" s="11"/>
      <c r="F61" s="11"/>
      <c r="G61" s="11"/>
      <c r="H61" s="88" t="s">
        <v>901</v>
      </c>
      <c r="I61" s="122" t="str">
        <f>IF(_epmOfflineCondition_,"T4",_xll.EVPRO($B$1,$H61,"STYLE"))</f>
        <v>T4</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IF(_epmOfflineCondition_,"Furniture &amp; Equipment",IF(_xll.EVDES(H61,$B$1)="#NODATA","",_xll.EVDES(H61,$B$1)))</f>
        <v>Furniture &amp; Equipment</v>
      </c>
      <c r="O61" s="143">
        <v>867.89</v>
      </c>
      <c r="P61" s="143">
        <v>23.85</v>
      </c>
      <c r="Q61" s="143">
        <v>494.08</v>
      </c>
      <c r="R61" s="143">
        <v>434.87</v>
      </c>
      <c r="S61" s="143">
        <v>268.06</v>
      </c>
      <c r="T61" s="143"/>
      <c r="U61" s="143">
        <v>1551.41</v>
      </c>
      <c r="V61" s="143">
        <v>134.49</v>
      </c>
      <c r="W61" s="143">
        <v>1272.32</v>
      </c>
      <c r="X61" s="143">
        <v>2227.84</v>
      </c>
      <c r="Y61" s="143">
        <v>2031.25</v>
      </c>
      <c r="Z61" s="143">
        <v>22.57</v>
      </c>
      <c r="AA61" s="210">
        <f t="shared" si="13"/>
        <v>9328.6299999999992</v>
      </c>
      <c r="AB61" s="144">
        <f t="shared" si="14"/>
        <v>7.8348892346201567E-4</v>
      </c>
      <c r="AC61" s="140"/>
      <c r="AD61" s="143">
        <v>7212</v>
      </c>
      <c r="AE61" s="144">
        <f t="shared" si="15"/>
        <v>8.6550908307851378E-4</v>
      </c>
      <c r="AF61" s="145">
        <f t="shared" si="16"/>
        <v>2116.6299999999992</v>
      </c>
      <c r="AG61" s="143">
        <v>3118.69</v>
      </c>
      <c r="AH61" s="144">
        <f t="shared" si="17"/>
        <v>5.9821280173093922E-4</v>
      </c>
      <c r="AI61" s="145">
        <f t="shared" si="18"/>
        <v>6209.9399999999987</v>
      </c>
      <c r="AJ61" s="440">
        <f t="shared" si="19"/>
        <v>0.19362038190120381</v>
      </c>
      <c r="AK61" s="441">
        <f t="shared" si="20"/>
        <v>0.14968866749688667</v>
      </c>
      <c r="AL61" s="442">
        <f t="shared" si="21"/>
        <v>6.4553113098195072E-2</v>
      </c>
      <c r="AM61" s="443" t="str">
        <f t="shared" si="22"/>
        <v>-0.01 pts.</v>
      </c>
      <c r="AN61" s="444" t="str">
        <f t="shared" si="23"/>
        <v>0.02 pts.</v>
      </c>
      <c r="AO61" s="11"/>
    </row>
    <row r="62" spans="1:41" x14ac:dyDescent="0.35">
      <c r="A62" s="65" t="s">
        <v>28</v>
      </c>
      <c r="B62" s="66"/>
      <c r="C62" s="11"/>
      <c r="D62" s="11"/>
      <c r="E62" s="11"/>
      <c r="F62" s="11"/>
      <c r="G62" s="11"/>
      <c r="H62" s="88" t="s">
        <v>902</v>
      </c>
      <c r="I62" s="122" t="str">
        <f>IF(_epmOfflineCondition_,"N",_xll.EVPRO($B$1,$H62,"STYLE"))</f>
        <v>N</v>
      </c>
      <c r="J62" s="122" t="str">
        <f>IF(_epmOfflineCondition_,"N",_xll.EVPRO($B$1,$H62,"CALC"))</f>
        <v>N</v>
      </c>
      <c r="K62" s="179" t="str">
        <f t="shared" si="12"/>
        <v/>
      </c>
      <c r="L62" s="90" t="str">
        <f>IF(_epmOfflineCondition_,"715600",_xll.EVPRO($B$1,H62,"JDEID"))</f>
        <v>715600</v>
      </c>
      <c r="M62" s="90" t="str">
        <f>IF(_epmOfflineCondition_,"690905",IF(AND(I62="N",J62="N"),_xll.EVPRO($B$1,H62,"PSFTID"),""))</f>
        <v>690905</v>
      </c>
      <c r="N62" s="90" t="str">
        <f>IF(_epmOfflineCondition_,"Building",IF(_xll.EVDES(H62,$B$1)="#NODATA","",_xll.EVDES(H62,$B$1)))</f>
        <v>Building</v>
      </c>
      <c r="O62" s="143">
        <v>1400</v>
      </c>
      <c r="P62" s="143">
        <v>4720.8100000000004</v>
      </c>
      <c r="Q62" s="143">
        <v>7371.47</v>
      </c>
      <c r="R62" s="143">
        <v>2232.4499999999998</v>
      </c>
      <c r="S62" s="143">
        <v>-235.83</v>
      </c>
      <c r="T62" s="143">
        <v>1060.78</v>
      </c>
      <c r="U62" s="143">
        <v>2878.33</v>
      </c>
      <c r="V62" s="143">
        <v>1056.48</v>
      </c>
      <c r="W62" s="143"/>
      <c r="X62" s="143">
        <v>1694.26</v>
      </c>
      <c r="Y62" s="143">
        <v>2731.67</v>
      </c>
      <c r="Z62" s="143">
        <v>2589.2399999999998</v>
      </c>
      <c r="AA62" s="210">
        <f t="shared" si="13"/>
        <v>27499.659999999996</v>
      </c>
      <c r="AB62" s="144">
        <f t="shared" si="14"/>
        <v>2.3096294963967329E-3</v>
      </c>
      <c r="AC62" s="140"/>
      <c r="AD62" s="143">
        <v>13600</v>
      </c>
      <c r="AE62" s="144">
        <f t="shared" si="15"/>
        <v>1.632130273137519E-3</v>
      </c>
      <c r="AF62" s="145">
        <f t="shared" si="16"/>
        <v>13899.659999999996</v>
      </c>
      <c r="AG62" s="143">
        <v>16000.26</v>
      </c>
      <c r="AH62" s="144">
        <f t="shared" si="17"/>
        <v>3.0690964356904589E-3</v>
      </c>
      <c r="AI62" s="145">
        <f t="shared" si="18"/>
        <v>11499.399999999996</v>
      </c>
      <c r="AJ62" s="440">
        <f t="shared" si="19"/>
        <v>0.57076919883769195</v>
      </c>
      <c r="AK62" s="441">
        <f t="shared" si="20"/>
        <v>0.28227480282274803</v>
      </c>
      <c r="AL62" s="442">
        <f t="shared" si="21"/>
        <v>0.33118604073522107</v>
      </c>
      <c r="AM62" s="443" t="str">
        <f t="shared" si="22"/>
        <v>0.07 pts.</v>
      </c>
      <c r="AN62" s="444" t="str">
        <f t="shared" si="23"/>
        <v>-0.08 pts.</v>
      </c>
      <c r="AO62" s="11"/>
    </row>
    <row r="63" spans="1:41" x14ac:dyDescent="0.35">
      <c r="A63" s="65" t="s">
        <v>29</v>
      </c>
      <c r="B63" s="66"/>
      <c r="C63" s="11"/>
      <c r="D63" s="11"/>
      <c r="E63" s="11"/>
      <c r="F63" s="11"/>
      <c r="G63" s="11"/>
      <c r="H63" s="88" t="s">
        <v>903</v>
      </c>
      <c r="I63" s="122" t="str">
        <f>IF(_epmOfflineCondition_,"N",_xll.EVPRO($B$1,$H63,"STYLE"))</f>
        <v>N</v>
      </c>
      <c r="J63" s="122" t="str">
        <f>IF(_epmOfflineCondition_,"N",_xll.EVPRO($B$1,$H63,"CALC"))</f>
        <v>N</v>
      </c>
      <c r="K63" s="179" t="str">
        <f t="shared" si="12"/>
        <v/>
      </c>
      <c r="L63" s="90" t="str">
        <f>IF(_epmOfflineCondition_,"715700",_xll.EVPRO($B$1,H63,"JDEID"))</f>
        <v>715700</v>
      </c>
      <c r="M63" s="90" t="str">
        <f>IF(_epmOfflineCondition_,"690921",IF(AND(I63="N",J63="N"),_xll.EVPRO($B$1,H63,"PSFTID"),""))</f>
        <v>690921</v>
      </c>
      <c r="N63" s="90" t="str">
        <f>IF(_epmOfflineCondition_,"Plumbing",IF(_xll.EVDES(H63,$B$1)="#NODATA","",_xll.EVDES(H63,$B$1)))</f>
        <v>Plumbing</v>
      </c>
      <c r="O63" s="143">
        <v>394</v>
      </c>
      <c r="P63" s="143">
        <v>-356.98</v>
      </c>
      <c r="Q63" s="143">
        <v>1011.86</v>
      </c>
      <c r="R63" s="143">
        <v>136.24</v>
      </c>
      <c r="S63" s="143">
        <v>2513.1799999999998</v>
      </c>
      <c r="T63" s="143">
        <v>122.85</v>
      </c>
      <c r="U63" s="143">
        <v>151.16999999999999</v>
      </c>
      <c r="V63" s="143">
        <v>432.57</v>
      </c>
      <c r="W63" s="143"/>
      <c r="X63" s="143">
        <v>189.83</v>
      </c>
      <c r="Y63" s="143">
        <v>1681.87</v>
      </c>
      <c r="Z63" s="143">
        <v>1564.44</v>
      </c>
      <c r="AA63" s="210">
        <f t="shared" si="13"/>
        <v>7841.0300000000007</v>
      </c>
      <c r="AB63" s="144">
        <f t="shared" si="14"/>
        <v>6.5854902097450211E-4</v>
      </c>
      <c r="AC63" s="140"/>
      <c r="AD63" s="143">
        <v>5464</v>
      </c>
      <c r="AE63" s="144">
        <f t="shared" si="15"/>
        <v>6.5573233914877971E-4</v>
      </c>
      <c r="AF63" s="145">
        <f t="shared" si="16"/>
        <v>2377.0300000000007</v>
      </c>
      <c r="AG63" s="143">
        <v>3552.96</v>
      </c>
      <c r="AH63" s="144">
        <f t="shared" si="17"/>
        <v>6.8151247993162439E-4</v>
      </c>
      <c r="AI63" s="145">
        <f t="shared" si="18"/>
        <v>4288.0700000000006</v>
      </c>
      <c r="AJ63" s="440">
        <f t="shared" si="19"/>
        <v>0.16274449979244501</v>
      </c>
      <c r="AK63" s="441">
        <f t="shared" si="20"/>
        <v>0.11340805313408053</v>
      </c>
      <c r="AL63" s="442">
        <f t="shared" si="21"/>
        <v>7.3541977148534526E-2</v>
      </c>
      <c r="AM63" s="443" t="str">
        <f t="shared" si="22"/>
        <v>0 pts.</v>
      </c>
      <c r="AN63" s="444" t="str">
        <f t="shared" si="23"/>
        <v>0 pts.</v>
      </c>
      <c r="AO63" s="11"/>
    </row>
    <row r="64" spans="1:41" x14ac:dyDescent="0.35">
      <c r="A64" s="65" t="s">
        <v>30</v>
      </c>
      <c r="B64" s="66" t="s">
        <v>78</v>
      </c>
      <c r="C64" s="11"/>
      <c r="D64" s="11"/>
      <c r="E64" s="11"/>
      <c r="F64" s="11"/>
      <c r="G64" s="11"/>
      <c r="H64" s="88" t="s">
        <v>904</v>
      </c>
      <c r="I64" s="122" t="str">
        <f>IF(_epmOfflineCondition_,"N",_xll.EVPRO($B$1,$H64,"STYLE"))</f>
        <v>N</v>
      </c>
      <c r="J64" s="122" t="str">
        <f>IF(_epmOfflineCondition_,"N",_xll.EVPRO($B$1,$H64,"CALC"))</f>
        <v>N</v>
      </c>
      <c r="K64" s="179" t="str">
        <f t="shared" si="12"/>
        <v/>
      </c>
      <c r="L64" s="90" t="str">
        <f>IF(_epmOfflineCondition_,"715800",_xll.EVPRO($B$1,H64,"JDEID"))</f>
        <v>715800</v>
      </c>
      <c r="M64" s="90" t="str">
        <f>IF(_epmOfflineCondition_,"691060",IF(AND(I64="N",J64="N"),_xll.EVPRO($B$1,H64,"PSFTID"),""))</f>
        <v>691060</v>
      </c>
      <c r="N64" s="90" t="str">
        <f>IF(_epmOfflineCondition_,"Floor Covering",IF(_xll.EVDES(H64,$B$1)="#NODATA","",_xll.EVDES(H64,$B$1)))</f>
        <v>Floor Covering</v>
      </c>
      <c r="O64" s="143">
        <v>100</v>
      </c>
      <c r="P64" s="143">
        <v>-100</v>
      </c>
      <c r="Q64" s="143">
        <v>492.2</v>
      </c>
      <c r="R64" s="143"/>
      <c r="S64" s="143"/>
      <c r="T64" s="143"/>
      <c r="U64" s="143"/>
      <c r="V64" s="143"/>
      <c r="W64" s="143"/>
      <c r="X64" s="143"/>
      <c r="Y64" s="143"/>
      <c r="Z64" s="143"/>
      <c r="AA64" s="210">
        <f t="shared" si="13"/>
        <v>492.2</v>
      </c>
      <c r="AB64" s="144">
        <f t="shared" si="14"/>
        <v>4.1338679755548687E-5</v>
      </c>
      <c r="AC64" s="140"/>
      <c r="AD64" s="143">
        <v>200</v>
      </c>
      <c r="AE64" s="144">
        <f t="shared" si="15"/>
        <v>2.4001915781434104E-5</v>
      </c>
      <c r="AF64" s="145">
        <f t="shared" si="16"/>
        <v>292.2</v>
      </c>
      <c r="AG64" s="143"/>
      <c r="AH64" s="144" t="str">
        <f t="shared" si="17"/>
        <v/>
      </c>
      <c r="AI64" s="145">
        <f t="shared" si="18"/>
        <v>492.2</v>
      </c>
      <c r="AJ64" s="440">
        <f t="shared" si="19"/>
        <v>1.0215857202158571E-2</v>
      </c>
      <c r="AK64" s="441">
        <f t="shared" si="20"/>
        <v>4.1511000415110008E-3</v>
      </c>
      <c r="AL64" s="442">
        <f t="shared" si="21"/>
        <v>0</v>
      </c>
      <c r="AM64" s="443" t="str">
        <f t="shared" si="22"/>
        <v>0 pts.</v>
      </c>
      <c r="AN64" s="444">
        <f t="shared" si="23"/>
        <v>0</v>
      </c>
      <c r="AO64" s="11"/>
    </row>
    <row r="65" spans="1:41" x14ac:dyDescent="0.35">
      <c r="A65" s="65" t="s">
        <v>31</v>
      </c>
      <c r="B65" s="66" t="s">
        <v>78</v>
      </c>
      <c r="C65" s="11"/>
      <c r="D65" s="11"/>
      <c r="E65" s="11"/>
      <c r="F65" s="11"/>
      <c r="G65" s="11"/>
      <c r="H65" s="88" t="s">
        <v>905</v>
      </c>
      <c r="I65" s="122" t="str">
        <f>IF(_epmOfflineCondition_,"N",_xll.EVPRO($B$1,$H65,"STYLE"))</f>
        <v>N</v>
      </c>
      <c r="J65" s="122" t="str">
        <f>IF(_epmOfflineCondition_,"N",_xll.EVPRO($B$1,$H65,"CALC"))</f>
        <v>N</v>
      </c>
      <c r="K65" s="179" t="str">
        <f t="shared" si="12"/>
        <v/>
      </c>
      <c r="L65" s="90" t="str">
        <f>IF(_epmOfflineCondition_,"715900",_xll.EVPRO($B$1,H65,"JDEID"))</f>
        <v>715900</v>
      </c>
      <c r="M65" s="90" t="str">
        <f>IF(_epmOfflineCondition_,"690925",IF(AND(I65="N",J65="N"),_xll.EVPRO($B$1,H65,"PSFTID"),""))</f>
        <v>690925</v>
      </c>
      <c r="N65" s="90" t="str">
        <f>IF(_epmOfflineCondition_,"Painting &amp; Wallcovering",IF(_xll.EVDES(H65,$B$1)="#NODATA","",_xll.EVDES(H65,$B$1)))</f>
        <v>Painting &amp; Wallcovering</v>
      </c>
      <c r="O65" s="143">
        <v>1344.09</v>
      </c>
      <c r="P65" s="143">
        <v>800</v>
      </c>
      <c r="Q65" s="143">
        <v>1218.93</v>
      </c>
      <c r="R65" s="143">
        <v>81.98</v>
      </c>
      <c r="S65" s="143">
        <v>569</v>
      </c>
      <c r="T65" s="143">
        <v>799.94</v>
      </c>
      <c r="U65" s="143">
        <v>1157.1500000000001</v>
      </c>
      <c r="V65" s="143">
        <v>-1355.86</v>
      </c>
      <c r="W65" s="143">
        <v>2517.42</v>
      </c>
      <c r="X65" s="143">
        <v>1112.44</v>
      </c>
      <c r="Y65" s="143">
        <v>650.45000000000005</v>
      </c>
      <c r="Z65" s="143">
        <v>2815.64</v>
      </c>
      <c r="AA65" s="210">
        <f t="shared" si="13"/>
        <v>11711.18</v>
      </c>
      <c r="AB65" s="144">
        <f t="shared" si="14"/>
        <v>9.8359349772366247E-4</v>
      </c>
      <c r="AC65" s="140"/>
      <c r="AD65" s="143">
        <v>12300</v>
      </c>
      <c r="AE65" s="144">
        <f t="shared" si="15"/>
        <v>1.4761178205581974E-3</v>
      </c>
      <c r="AF65" s="145">
        <f t="shared" si="16"/>
        <v>-588.81999999999971</v>
      </c>
      <c r="AG65" s="143">
        <v>7335.19</v>
      </c>
      <c r="AH65" s="144">
        <f t="shared" si="17"/>
        <v>1.4070024789667353E-3</v>
      </c>
      <c r="AI65" s="145">
        <f t="shared" si="18"/>
        <v>4375.9900000000007</v>
      </c>
      <c r="AJ65" s="440">
        <f t="shared" si="19"/>
        <v>0.243071398920714</v>
      </c>
      <c r="AK65" s="441">
        <f t="shared" si="20"/>
        <v>0.25529265255292655</v>
      </c>
      <c r="AL65" s="442">
        <f t="shared" si="21"/>
        <v>0.15182956615333665</v>
      </c>
      <c r="AM65" s="443" t="str">
        <f t="shared" si="22"/>
        <v>-0.05 pts.</v>
      </c>
      <c r="AN65" s="444" t="str">
        <f t="shared" si="23"/>
        <v>-0.04 pts.</v>
      </c>
      <c r="AO65" s="11"/>
    </row>
    <row r="66" spans="1:41" x14ac:dyDescent="0.35">
      <c r="A66" s="65" t="s">
        <v>32</v>
      </c>
      <c r="B66" s="66"/>
      <c r="C66" s="11"/>
      <c r="D66" s="11"/>
      <c r="E66" s="11"/>
      <c r="F66" s="11"/>
      <c r="G66" s="11"/>
      <c r="H66" s="88" t="s">
        <v>906</v>
      </c>
      <c r="I66" s="122" t="str">
        <f>IF(_epmOfflineCondition_,"N",_xll.EVPRO($B$1,$H66,"STYLE"))</f>
        <v>N</v>
      </c>
      <c r="J66" s="122" t="str">
        <f>IF(_epmOfflineCondition_,"N",_xll.EVPRO($B$1,$H66,"CALC"))</f>
        <v>N</v>
      </c>
      <c r="K66" s="179" t="str">
        <f t="shared" si="12"/>
        <v/>
      </c>
      <c r="L66" s="90" t="str">
        <f>IF(_epmOfflineCondition_,"716000",_xll.EVPRO($B$1,H66,"JDEID"))</f>
        <v>716000</v>
      </c>
      <c r="M66" s="90" t="str">
        <f>IF(_epmOfflineCondition_,"690910",IF(AND(I66="N",J66="N"),_xll.EVPRO($B$1,H66,"PSFTID"),""))</f>
        <v>690910</v>
      </c>
      <c r="N66" s="90" t="str">
        <f>IF(_epmOfflineCondition_,"Elevators &amp; Escalators",IF(_xll.EVDES(H66,$B$1)="#NODATA","",_xll.EVDES(H66,$B$1)))</f>
        <v>Elevators &amp; Escalators</v>
      </c>
      <c r="O66" s="143">
        <v>641.99</v>
      </c>
      <c r="P66" s="143">
        <v>2304.75</v>
      </c>
      <c r="Q66" s="143">
        <v>2169.34</v>
      </c>
      <c r="R66" s="143">
        <v>2388.61</v>
      </c>
      <c r="S66" s="143">
        <v>5785.43</v>
      </c>
      <c r="T66" s="143">
        <v>1627.43</v>
      </c>
      <c r="U66" s="143">
        <v>4491.18</v>
      </c>
      <c r="V66" s="143">
        <v>1627.43</v>
      </c>
      <c r="W66" s="143">
        <v>1627.43</v>
      </c>
      <c r="X66" s="143">
        <v>1627.43</v>
      </c>
      <c r="Y66" s="143">
        <v>5377.43</v>
      </c>
      <c r="Z66" s="143">
        <v>1627.43</v>
      </c>
      <c r="AA66" s="210">
        <f t="shared" si="13"/>
        <v>31295.880000000005</v>
      </c>
      <c r="AB66" s="144">
        <f t="shared" si="14"/>
        <v>2.6284647724260082E-3</v>
      </c>
      <c r="AC66" s="140"/>
      <c r="AD66" s="143">
        <v>18960</v>
      </c>
      <c r="AE66" s="144">
        <f t="shared" si="15"/>
        <v>2.275381616079953E-3</v>
      </c>
      <c r="AF66" s="145">
        <f t="shared" si="16"/>
        <v>12335.880000000005</v>
      </c>
      <c r="AG66" s="143">
        <v>13625.08</v>
      </c>
      <c r="AH66" s="144">
        <f t="shared" si="17"/>
        <v>2.6135003096198037E-3</v>
      </c>
      <c r="AI66" s="145">
        <f t="shared" si="18"/>
        <v>17670.800000000003</v>
      </c>
      <c r="AJ66" s="440">
        <f t="shared" si="19"/>
        <v>0.64956164383561654</v>
      </c>
      <c r="AK66" s="441">
        <f t="shared" si="20"/>
        <v>0.39352428393524286</v>
      </c>
      <c r="AL66" s="442">
        <f t="shared" si="21"/>
        <v>0.2820226858751449</v>
      </c>
      <c r="AM66" s="443" t="str">
        <f t="shared" si="22"/>
        <v>0.04 pts.</v>
      </c>
      <c r="AN66" s="444" t="str">
        <f t="shared" si="23"/>
        <v>0 pts.</v>
      </c>
      <c r="AO66" s="11"/>
    </row>
    <row r="67" spans="1:41" x14ac:dyDescent="0.35">
      <c r="A67" s="65" t="s">
        <v>33</v>
      </c>
      <c r="B67" s="66"/>
      <c r="C67" s="11"/>
      <c r="D67" s="11"/>
      <c r="E67" s="11"/>
      <c r="F67" s="11"/>
      <c r="G67" s="11"/>
      <c r="H67" s="88" t="s">
        <v>907</v>
      </c>
      <c r="I67" s="122" t="str">
        <f>IF(_epmOfflineCondition_,"N",_xll.EVPRO($B$1,$H67,"STYLE"))</f>
        <v>N</v>
      </c>
      <c r="J67" s="122" t="str">
        <f>IF(_epmOfflineCondition_,"N",_xll.EVPRO($B$1,$H67,"CALC"))</f>
        <v>N</v>
      </c>
      <c r="K67" s="179" t="str">
        <f t="shared" si="12"/>
        <v/>
      </c>
      <c r="L67" s="90" t="str">
        <f>IF(_epmOfflineCondition_,"716100",_xll.EVPRO($B$1,H67,"JDEID"))</f>
        <v>716100</v>
      </c>
      <c r="M67" s="90" t="str">
        <f>IF(_epmOfflineCondition_,"690930",IF(AND(I67="N",J67="N"),_xll.EVPRO($B$1,H67,"PSFTID"),""))</f>
        <v>690930</v>
      </c>
      <c r="N67" s="90" t="str">
        <f>IF(_epmOfflineCondition_,"Swimming Pool",IF(_xll.EVDES(H67,$B$1)="#NODATA","",_xll.EVDES(H67,$B$1)))</f>
        <v>Swimming Pool</v>
      </c>
      <c r="O67" s="143">
        <v>2089.89</v>
      </c>
      <c r="P67" s="143">
        <v>3273</v>
      </c>
      <c r="Q67" s="143">
        <v>3269</v>
      </c>
      <c r="R67" s="143">
        <v>2012.89</v>
      </c>
      <c r="S67" s="143">
        <v>2012.79</v>
      </c>
      <c r="T67" s="143">
        <v>2490.83</v>
      </c>
      <c r="U67" s="143">
        <v>2679.18</v>
      </c>
      <c r="V67" s="143">
        <v>1600</v>
      </c>
      <c r="W67" s="143">
        <v>2750.06</v>
      </c>
      <c r="X67" s="143">
        <v>3574.86</v>
      </c>
      <c r="Y67" s="143">
        <v>2006.77</v>
      </c>
      <c r="Z67" s="143">
        <v>3100</v>
      </c>
      <c r="AA67" s="210">
        <f t="shared" si="13"/>
        <v>30859.27</v>
      </c>
      <c r="AB67" s="144">
        <f t="shared" si="14"/>
        <v>2.591794961438462E-3</v>
      </c>
      <c r="AC67" s="140"/>
      <c r="AD67" s="143">
        <v>28680</v>
      </c>
      <c r="AE67" s="144">
        <f t="shared" si="15"/>
        <v>3.4418747230576504E-3</v>
      </c>
      <c r="AF67" s="145">
        <f t="shared" si="16"/>
        <v>2179.2700000000004</v>
      </c>
      <c r="AG67" s="143">
        <v>13455.54</v>
      </c>
      <c r="AH67" s="144">
        <f t="shared" si="17"/>
        <v>2.5809799249693695E-3</v>
      </c>
      <c r="AI67" s="145">
        <f t="shared" si="18"/>
        <v>17403.73</v>
      </c>
      <c r="AJ67" s="440">
        <f t="shared" si="19"/>
        <v>0.64049958488999581</v>
      </c>
      <c r="AK67" s="441">
        <f t="shared" si="20"/>
        <v>0.59526774595267751</v>
      </c>
      <c r="AL67" s="442">
        <f t="shared" si="21"/>
        <v>0.27851341281669151</v>
      </c>
      <c r="AM67" s="443" t="str">
        <f t="shared" si="22"/>
        <v>-0.09 pts.</v>
      </c>
      <c r="AN67" s="444" t="str">
        <f t="shared" si="23"/>
        <v>0 pts.</v>
      </c>
      <c r="AO67" s="11"/>
    </row>
    <row r="68" spans="1:41" x14ac:dyDescent="0.35">
      <c r="A68" s="65" t="s">
        <v>34</v>
      </c>
      <c r="B68" s="66"/>
      <c r="C68" s="11"/>
      <c r="D68" s="11"/>
      <c r="E68" s="11"/>
      <c r="F68" s="11"/>
      <c r="G68" s="11"/>
      <c r="H68" s="88" t="s">
        <v>908</v>
      </c>
      <c r="I68" s="122" t="str">
        <f>IF(_epmOfflineCondition_,"N",_xll.EVPRO($B$1,$H68,"STYLE"))</f>
        <v>N</v>
      </c>
      <c r="J68" s="122" t="str">
        <f>IF(_epmOfflineCondition_,"N",_xll.EVPRO($B$1,$H68,"CALC"))</f>
        <v>N</v>
      </c>
      <c r="K68" s="179" t="str">
        <f t="shared" si="12"/>
        <v/>
      </c>
      <c r="L68" s="90" t="str">
        <f>IF(_epmOfflineCondition_,"716200",_xll.EVPRO($B$1,H68,"JDEID"))</f>
        <v>716200</v>
      </c>
      <c r="M68" s="90" t="str">
        <f>IF(_epmOfflineCondition_,"690915",IF(AND(I68="N",J68="N"),_xll.EVPRO($B$1,H68,"PSFTID"),""))</f>
        <v>690915</v>
      </c>
      <c r="N68" s="90" t="str">
        <f>IF(_epmOfflineCondition_,"Grounds Maint &amp; Landscaping",IF(_xll.EVDES(H68,$B$1)="#NODATA","",_xll.EVDES(H68,$B$1)))</f>
        <v>Grounds Maint &amp; Landscaping</v>
      </c>
      <c r="O68" s="143">
        <v>1250</v>
      </c>
      <c r="P68" s="143">
        <v>4482</v>
      </c>
      <c r="Q68" s="143">
        <v>3868</v>
      </c>
      <c r="R68" s="143">
        <v>2520</v>
      </c>
      <c r="S68" s="143">
        <v>3150</v>
      </c>
      <c r="T68" s="143">
        <v>2500</v>
      </c>
      <c r="U68" s="143">
        <v>2500</v>
      </c>
      <c r="V68" s="143">
        <v>4615</v>
      </c>
      <c r="W68" s="143">
        <v>2500</v>
      </c>
      <c r="X68" s="143">
        <v>3520</v>
      </c>
      <c r="Y68" s="143">
        <v>3460</v>
      </c>
      <c r="Z68" s="143">
        <v>2526</v>
      </c>
      <c r="AA68" s="210">
        <f t="shared" si="13"/>
        <v>36891</v>
      </c>
      <c r="AB68" s="144">
        <f t="shared" si="14"/>
        <v>3.0983852800933495E-3</v>
      </c>
      <c r="AC68" s="140"/>
      <c r="AD68" s="143">
        <v>33000</v>
      </c>
      <c r="AE68" s="144">
        <f t="shared" si="15"/>
        <v>3.9603161039366268E-3</v>
      </c>
      <c r="AF68" s="145">
        <f t="shared" si="16"/>
        <v>3891</v>
      </c>
      <c r="AG68" s="143">
        <v>18050.02</v>
      </c>
      <c r="AH68" s="144">
        <f t="shared" si="17"/>
        <v>3.4622719909639904E-3</v>
      </c>
      <c r="AI68" s="145">
        <f t="shared" si="18"/>
        <v>18840.98</v>
      </c>
      <c r="AJ68" s="440">
        <f t="shared" si="19"/>
        <v>0.76569115815691158</v>
      </c>
      <c r="AK68" s="441">
        <f t="shared" si="20"/>
        <v>0.68493150684931503</v>
      </c>
      <c r="AL68" s="442">
        <f t="shared" si="21"/>
        <v>0.37361359496605401</v>
      </c>
      <c r="AM68" s="443" t="str">
        <f t="shared" si="22"/>
        <v>-0.09 pts.</v>
      </c>
      <c r="AN68" s="444" t="str">
        <f t="shared" si="23"/>
        <v>-0.04 pts.</v>
      </c>
      <c r="AO68" s="11"/>
    </row>
    <row r="69" spans="1:41" x14ac:dyDescent="0.35">
      <c r="A69" s="65" t="s">
        <v>35</v>
      </c>
      <c r="B69" s="66"/>
      <c r="C69" s="11"/>
      <c r="D69" s="11"/>
      <c r="E69" s="11"/>
      <c r="F69" s="11"/>
      <c r="G69" s="11"/>
      <c r="H69" s="88" t="s">
        <v>909</v>
      </c>
      <c r="I69" s="122" t="str">
        <f>IF(_epmOfflineCondition_,"N",_xll.EVPRO($B$1,$H69,"STYLE"))</f>
        <v>N</v>
      </c>
      <c r="J69" s="122" t="str">
        <f>IF(_epmOfflineCondition_,"N",_xll.EVPRO($B$1,$H69,"CALC"))</f>
        <v>N</v>
      </c>
      <c r="K69" s="179" t="str">
        <f t="shared" si="12"/>
        <v/>
      </c>
      <c r="L69" s="90" t="str">
        <f>IF(_epmOfflineCondition_,"716300",_xll.EVPRO($B$1,H69,"JDEID"))</f>
        <v>716300</v>
      </c>
      <c r="M69" s="90" t="str">
        <f>IF(_epmOfflineCondition_,"691099",IF(AND(I69="N",J69="N"),_xll.EVPRO($B$1,H69,"PSFTID"),""))</f>
        <v>691099</v>
      </c>
      <c r="N69" s="90" t="str">
        <f>IF(_epmOfflineCondition_,"Light Bulbs",IF(_xll.EVDES(H69,$B$1)="#NODATA","",_xll.EVDES(H69,$B$1)))</f>
        <v>Light Bulbs</v>
      </c>
      <c r="O69" s="143">
        <v>800</v>
      </c>
      <c r="P69" s="143">
        <v>-479.95</v>
      </c>
      <c r="Q69" s="143">
        <v>178.98</v>
      </c>
      <c r="R69" s="143">
        <v>428.49</v>
      </c>
      <c r="S69" s="143">
        <v>532.04999999999995</v>
      </c>
      <c r="T69" s="143"/>
      <c r="U69" s="143">
        <v>600</v>
      </c>
      <c r="V69" s="143">
        <v>-600</v>
      </c>
      <c r="W69" s="143"/>
      <c r="X69" s="143">
        <v>902.01</v>
      </c>
      <c r="Y69" s="143">
        <v>380.67</v>
      </c>
      <c r="Z69" s="143">
        <v>846.48</v>
      </c>
      <c r="AA69" s="210">
        <f t="shared" si="13"/>
        <v>3588.73</v>
      </c>
      <c r="AB69" s="144">
        <f t="shared" si="14"/>
        <v>3.0140869605674574E-4</v>
      </c>
      <c r="AC69" s="140"/>
      <c r="AD69" s="143">
        <v>3000</v>
      </c>
      <c r="AE69" s="144">
        <f t="shared" si="15"/>
        <v>3.6002873672151157E-4</v>
      </c>
      <c r="AF69" s="145">
        <f t="shared" si="16"/>
        <v>588.73</v>
      </c>
      <c r="AG69" s="143">
        <v>2262.62</v>
      </c>
      <c r="AH69" s="144">
        <f t="shared" si="17"/>
        <v>4.3400538349513984E-4</v>
      </c>
      <c r="AI69" s="145">
        <f t="shared" si="18"/>
        <v>1326.1100000000001</v>
      </c>
      <c r="AJ69" s="440">
        <f t="shared" si="19"/>
        <v>7.4485886259858858E-2</v>
      </c>
      <c r="AK69" s="441">
        <f t="shared" si="20"/>
        <v>6.2266500622665005E-2</v>
      </c>
      <c r="AL69" s="442">
        <f t="shared" si="21"/>
        <v>4.6833498923662856E-2</v>
      </c>
      <c r="AM69" s="443" t="str">
        <f t="shared" si="22"/>
        <v>-0.01 pts.</v>
      </c>
      <c r="AN69" s="444" t="str">
        <f t="shared" si="23"/>
        <v>-0.01 pts.</v>
      </c>
      <c r="AO69" s="11"/>
    </row>
    <row r="70" spans="1:41" x14ac:dyDescent="0.35">
      <c r="A70" s="65" t="s">
        <v>36</v>
      </c>
      <c r="B70" s="66"/>
      <c r="C70" s="11"/>
      <c r="D70" s="11"/>
      <c r="E70" s="11"/>
      <c r="F70" s="11"/>
      <c r="G70" s="11"/>
      <c r="H70" s="88" t="s">
        <v>910</v>
      </c>
      <c r="I70" s="122" t="str">
        <f>IF(_epmOfflineCondition_,"N",_xll.EVPRO($B$1,$H70,"STYLE"))</f>
        <v>N</v>
      </c>
      <c r="J70" s="122" t="str">
        <f>IF(_epmOfflineCondition_,"N",_xll.EVPRO($B$1,$H70,"CALC"))</f>
        <v>N</v>
      </c>
      <c r="K70" s="179" t="str">
        <f t="shared" si="12"/>
        <v/>
      </c>
      <c r="L70" s="90" t="str">
        <f>IF(_epmOfflineCondition_,"716400",_xll.EVPRO($B$1,H70,"JDEID"))</f>
        <v>716400</v>
      </c>
      <c r="M70" s="90" t="str">
        <f>IF(_epmOfflineCondition_,"691070",IF(AND(I70="N",J70="N"),_xll.EVPRO($B$1,H70,"PSFTID"),""))</f>
        <v>691070</v>
      </c>
      <c r="N70" s="90" t="str">
        <f>IF(_epmOfflineCondition_,"Engineering Supplies",IF(_xll.EVDES(H70,$B$1)="#NODATA","",_xll.EVDES(H70,$B$1)))</f>
        <v>Engineering Supplies</v>
      </c>
      <c r="O70" s="143">
        <v>164.82</v>
      </c>
      <c r="P70" s="143">
        <v>908.43</v>
      </c>
      <c r="Q70" s="143">
        <v>1052.48</v>
      </c>
      <c r="R70" s="143">
        <v>513.20000000000005</v>
      </c>
      <c r="S70" s="143">
        <v>418.26</v>
      </c>
      <c r="T70" s="143">
        <v>426.81</v>
      </c>
      <c r="U70" s="143">
        <v>134.6</v>
      </c>
      <c r="V70" s="143">
        <v>640.32000000000005</v>
      </c>
      <c r="W70" s="143">
        <v>389</v>
      </c>
      <c r="X70" s="143">
        <v>500.57</v>
      </c>
      <c r="Y70" s="143">
        <v>597.84</v>
      </c>
      <c r="Z70" s="143">
        <v>844.55</v>
      </c>
      <c r="AA70" s="210">
        <f t="shared" si="13"/>
        <v>6590.88</v>
      </c>
      <c r="AB70" s="144">
        <f t="shared" si="14"/>
        <v>5.5355196592289874E-4</v>
      </c>
      <c r="AC70" s="140"/>
      <c r="AD70" s="143">
        <v>4878.25</v>
      </c>
      <c r="AE70" s="144">
        <f t="shared" si="15"/>
        <v>5.8543672830390454E-4</v>
      </c>
      <c r="AF70" s="145">
        <f t="shared" si="16"/>
        <v>1712.63</v>
      </c>
      <c r="AG70" s="143">
        <v>3310.91</v>
      </c>
      <c r="AH70" s="144">
        <f t="shared" si="17"/>
        <v>6.3508355988539547E-4</v>
      </c>
      <c r="AI70" s="145">
        <f t="shared" si="18"/>
        <v>3279.9700000000003</v>
      </c>
      <c r="AJ70" s="440">
        <f t="shared" si="19"/>
        <v>0.13679701120797011</v>
      </c>
      <c r="AK70" s="441">
        <f t="shared" si="20"/>
        <v>0.10125051888750519</v>
      </c>
      <c r="AL70" s="442">
        <f t="shared" si="21"/>
        <v>6.853183474085113E-2</v>
      </c>
      <c r="AM70" s="443" t="str">
        <f t="shared" si="22"/>
        <v>0 pts.</v>
      </c>
      <c r="AN70" s="444" t="str">
        <f t="shared" si="23"/>
        <v>-0.01 pts.</v>
      </c>
      <c r="AO70" s="11"/>
    </row>
    <row r="71" spans="1:41" x14ac:dyDescent="0.35">
      <c r="A71" s="65" t="s">
        <v>37</v>
      </c>
      <c r="B71" s="66"/>
      <c r="C71" s="11"/>
      <c r="D71" s="11"/>
      <c r="E71" s="11"/>
      <c r="F71" s="11"/>
      <c r="G71" s="11"/>
      <c r="H71" s="88" t="s">
        <v>911</v>
      </c>
      <c r="I71" s="122" t="str">
        <f>IF(_epmOfflineCondition_,"N",_xll.EVPRO($B$1,$H71,"STYLE"))</f>
        <v>N</v>
      </c>
      <c r="J71" s="122" t="str">
        <f>IF(_epmOfflineCondition_,"N",_xll.EVPRO($B$1,$H71,"CALC"))</f>
        <v>N</v>
      </c>
      <c r="K71" s="179" t="str">
        <f t="shared" si="12"/>
        <v/>
      </c>
      <c r="L71" s="90" t="str">
        <f>IF(_epmOfflineCondition_,"716500",_xll.EVPRO($B$1,H71,"JDEID"))</f>
        <v>716500</v>
      </c>
      <c r="M71" s="90" t="str">
        <f>IF(_epmOfflineCondition_,"691080",IF(AND(I71="N",J71="N"),_xll.EVPRO($B$1,H71,"PSFTID"),""))</f>
        <v>691080</v>
      </c>
      <c r="N71" s="90" t="str">
        <f>IF(_epmOfflineCondition_,"Waste Removal",IF(_xll.EVDES(H71,$B$1)="#NODATA","",_xll.EVDES(H71,$B$1)))</f>
        <v>Waste Removal</v>
      </c>
      <c r="O71" s="143">
        <v>2220.21</v>
      </c>
      <c r="P71" s="143">
        <v>3337.15</v>
      </c>
      <c r="Q71" s="143">
        <v>2640.57</v>
      </c>
      <c r="R71" s="143">
        <v>3189.02</v>
      </c>
      <c r="S71" s="143">
        <v>3165.57</v>
      </c>
      <c r="T71" s="143">
        <v>3193.28</v>
      </c>
      <c r="U71" s="143">
        <v>3844.75</v>
      </c>
      <c r="V71" s="143">
        <v>3907.4</v>
      </c>
      <c r="W71" s="143">
        <v>3282.15</v>
      </c>
      <c r="X71" s="143">
        <v>3318.07</v>
      </c>
      <c r="Y71" s="143">
        <v>3288.51</v>
      </c>
      <c r="Z71" s="143">
        <v>4244.7299999999996</v>
      </c>
      <c r="AA71" s="210">
        <f t="shared" si="13"/>
        <v>39631.410000000003</v>
      </c>
      <c r="AB71" s="144">
        <f t="shared" si="14"/>
        <v>3.3285456445567856E-3</v>
      </c>
      <c r="AC71" s="140"/>
      <c r="AD71" s="143">
        <v>54000</v>
      </c>
      <c r="AE71" s="144">
        <f t="shared" si="15"/>
        <v>6.4805172609872083E-3</v>
      </c>
      <c r="AF71" s="145">
        <f t="shared" si="16"/>
        <v>-14368.589999999997</v>
      </c>
      <c r="AG71" s="143">
        <v>27710.69</v>
      </c>
      <c r="AH71" s="144">
        <f t="shared" si="17"/>
        <v>5.3153373701129384E-3</v>
      </c>
      <c r="AI71" s="145">
        <f t="shared" si="18"/>
        <v>11920.720000000005</v>
      </c>
      <c r="AJ71" s="440">
        <f t="shared" si="19"/>
        <v>0.82256973848069748</v>
      </c>
      <c r="AK71" s="441">
        <f t="shared" si="20"/>
        <v>1.1207970112079702</v>
      </c>
      <c r="AL71" s="442">
        <f t="shared" si="21"/>
        <v>0.57357778605729426</v>
      </c>
      <c r="AM71" s="443" t="str">
        <f t="shared" si="22"/>
        <v>-0.32 pts.</v>
      </c>
      <c r="AN71" s="444" t="str">
        <f t="shared" si="23"/>
        <v>-0.2 pts.</v>
      </c>
      <c r="AO71" s="11"/>
    </row>
    <row r="72" spans="1:41" x14ac:dyDescent="0.35">
      <c r="A72" s="65" t="s">
        <v>38</v>
      </c>
      <c r="B72" s="66"/>
      <c r="C72" s="11"/>
      <c r="D72" s="11"/>
      <c r="E72" s="11"/>
      <c r="F72" s="11"/>
      <c r="G72" s="11"/>
      <c r="H72" s="88" t="s">
        <v>79</v>
      </c>
      <c r="I72" s="136" t="str">
        <f>IF(_epmOfflineCondition_,"T3",_xll.EVPRO($B$1,$H72,"STYLE"))</f>
        <v>T3</v>
      </c>
      <c r="J72" s="136" t="str">
        <f>IF(_epmOfflineCondition_,"Y",_xll.EVPRO($B$1,$H72,"CALC"))</f>
        <v>Y</v>
      </c>
      <c r="K72" s="104"/>
      <c r="L72" s="59"/>
      <c r="M72" s="59"/>
      <c r="N72" s="106" t="str">
        <f>IF(_epmOfflineCondition_,"Total Operations Expense",IF(_xll.EVDES(H72,$B$1)="#NODATA","",_xll.EVDES(H72,$B$1)))</f>
        <v>Total Operations Expense</v>
      </c>
      <c r="O72" s="154">
        <v>23290.89</v>
      </c>
      <c r="P72" s="154">
        <v>30891.34</v>
      </c>
      <c r="Q72" s="154">
        <v>36204.19</v>
      </c>
      <c r="R72" s="154">
        <v>17200.93</v>
      </c>
      <c r="S72" s="154">
        <v>31842.44</v>
      </c>
      <c r="T72" s="154">
        <v>28132.68</v>
      </c>
      <c r="U72" s="154">
        <v>35299.29</v>
      </c>
      <c r="V72" s="154">
        <v>26345.38</v>
      </c>
      <c r="W72" s="154">
        <v>19998.86</v>
      </c>
      <c r="X72" s="154">
        <v>28072.400000000001</v>
      </c>
      <c r="Y72" s="154">
        <v>31687.52</v>
      </c>
      <c r="Z72" s="154">
        <v>31017.18</v>
      </c>
      <c r="AA72" s="154">
        <f t="shared" si="13"/>
        <v>339983.10000000003</v>
      </c>
      <c r="AB72" s="155">
        <f t="shared" si="14"/>
        <v>2.8554352891504847E-2</v>
      </c>
      <c r="AC72" s="140"/>
      <c r="AD72" s="154">
        <v>277893.25</v>
      </c>
      <c r="AE72" s="155">
        <f t="shared" si="15"/>
        <v>3.3349851913645062E-2</v>
      </c>
      <c r="AF72" s="156">
        <f t="shared" si="16"/>
        <v>62089.850000000035</v>
      </c>
      <c r="AG72" s="154">
        <v>158345</v>
      </c>
      <c r="AH72" s="155">
        <f t="shared" si="17"/>
        <v>3.0373011132906948E-2</v>
      </c>
      <c r="AI72" s="156">
        <f t="shared" si="18"/>
        <v>181638.10000000003</v>
      </c>
      <c r="AJ72" s="477">
        <f t="shared" si="19"/>
        <v>7.056519302615194</v>
      </c>
      <c r="AK72" s="478">
        <f t="shared" si="20"/>
        <v>5.7678134080531338</v>
      </c>
      <c r="AL72" s="479">
        <f t="shared" si="21"/>
        <v>3.2775500910746813</v>
      </c>
      <c r="AM72" s="480" t="str">
        <f t="shared" si="22"/>
        <v>-0.48 pts.</v>
      </c>
      <c r="AN72" s="555" t="str">
        <f t="shared" si="23"/>
        <v>-0.18 pts.</v>
      </c>
      <c r="AO72" s="11"/>
    </row>
    <row r="73" spans="1:41" x14ac:dyDescent="0.35">
      <c r="A73" s="65" t="s">
        <v>39</v>
      </c>
      <c r="B73" s="66"/>
      <c r="C73" s="11"/>
      <c r="D73" s="11"/>
      <c r="E73" s="11"/>
      <c r="F73" s="11"/>
      <c r="G73" s="11"/>
      <c r="H73" s="11"/>
      <c r="I73" s="59"/>
      <c r="J73" s="59"/>
      <c r="K73" s="11"/>
      <c r="L73" s="59"/>
      <c r="M73" s="59"/>
      <c r="N73" s="11"/>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1"/>
    </row>
    <row r="74" spans="1:41" x14ac:dyDescent="0.35">
      <c r="A74" s="65" t="s">
        <v>40</v>
      </c>
      <c r="B74" s="66"/>
      <c r="C74" s="11"/>
      <c r="D74" s="11"/>
      <c r="E74" s="11"/>
      <c r="F74" s="11"/>
      <c r="G74" s="11"/>
      <c r="H74" s="88" t="s">
        <v>80</v>
      </c>
      <c r="I74" s="136" t="str">
        <f>IF(_epmOfflineCondition_,"T3",_xll.EVPRO($B$1,$H74,"STYLE"))</f>
        <v>T3</v>
      </c>
      <c r="J74" s="136" t="str">
        <f>IF(_epmOfflineCondition_,"Y",_xll.EVPRO($B$1,$H74,"CALC"))</f>
        <v>Y</v>
      </c>
      <c r="K74" s="106"/>
      <c r="L74" s="59"/>
      <c r="M74" s="59"/>
      <c r="N74" s="106" t="str">
        <f>IF(_epmOfflineCondition_,"Total Expenses",IF(_xll.EVDES(H74,$B$1)="#NODATA","",_xll.EVDES(H74,$B$1)))</f>
        <v>Total Expenses</v>
      </c>
      <c r="O74" s="238">
        <v>40703.46</v>
      </c>
      <c r="P74" s="238">
        <v>51963.32</v>
      </c>
      <c r="Q74" s="238">
        <v>56699.88</v>
      </c>
      <c r="R74" s="238">
        <v>37249.93</v>
      </c>
      <c r="S74" s="238">
        <v>55603.360000000001</v>
      </c>
      <c r="T74" s="238">
        <v>51726.46</v>
      </c>
      <c r="U74" s="238">
        <v>62997.4</v>
      </c>
      <c r="V74" s="238">
        <v>53035.16</v>
      </c>
      <c r="W74" s="238">
        <v>48237.14</v>
      </c>
      <c r="X74" s="238">
        <v>58297.2</v>
      </c>
      <c r="Y74" s="238">
        <v>64934.89</v>
      </c>
      <c r="Z74" s="238">
        <v>60702.559999999998</v>
      </c>
      <c r="AA74" s="238">
        <f>IF($I74="B1","",SUM(O74:Z74))</f>
        <v>642150.76</v>
      </c>
      <c r="AB74" s="239">
        <f>IF(AA74=0,"",IFERROR(AA74/AA$19,""))</f>
        <v>5.3932679037834629E-2</v>
      </c>
      <c r="AC74" s="140"/>
      <c r="AD74" s="238">
        <v>539705.76302027504</v>
      </c>
      <c r="AE74" s="239">
        <f>IF(AD74=0,"",IFERROR(AD74/AD$19,""))</f>
        <v>6.4769861353836375E-2</v>
      </c>
      <c r="AF74" s="254">
        <f>IF(AND($AA74="",AD74=""),"",$AA74-AD74)</f>
        <v>102444.99697972497</v>
      </c>
      <c r="AG74" s="255">
        <v>350157.54</v>
      </c>
      <c r="AH74" s="256">
        <f>IF(AG74=0,"",IFERROR(AG74/AG$19,""))</f>
        <v>6.716561218031078E-2</v>
      </c>
      <c r="AI74" s="254">
        <f>IF(AND($AA74="",AG74=""),"",$AA74-AG74)</f>
        <v>291993.22000000003</v>
      </c>
      <c r="AJ74" s="466">
        <f>IFERROR(AA74/AA$20,0)</f>
        <v>13.328160232461602</v>
      </c>
      <c r="AK74" s="467">
        <f>IFERROR(AD74/AD$20,0)</f>
        <v>11.201863076385949</v>
      </c>
      <c r="AL74" s="468">
        <f>IFERROR(AG74/AG$20,0)</f>
        <v>7.2478378042722298</v>
      </c>
      <c r="AM74" s="469" t="str">
        <f>+IFERROR(ROUND(($AB74-AE74)*100,2)&amp;" pts.",0)</f>
        <v>-1.08 pts.</v>
      </c>
      <c r="AN74" s="556" t="str">
        <f>+IFERROR(ROUND(($AB74-AH74)*100,2)&amp;" pts.",0)</f>
        <v>-1.32 pts.</v>
      </c>
      <c r="AO74" s="11"/>
    </row>
    <row r="75" spans="1:41" ht="15" thickBot="1" x14ac:dyDescent="0.4">
      <c r="A75" s="65" t="s">
        <v>41</v>
      </c>
      <c r="B75" s="66"/>
      <c r="C75" s="11"/>
      <c r="D75" s="11"/>
      <c r="E75" s="11"/>
      <c r="F75" s="11"/>
      <c r="G75" s="11"/>
      <c r="H75" s="88" t="s">
        <v>81</v>
      </c>
      <c r="I75" s="136" t="str">
        <f>IF(_epmOfflineCondition_,"T3",_xll.EVPRO($B$1,$H75,"STYLE"))</f>
        <v>T3</v>
      </c>
      <c r="J75" s="136" t="str">
        <f>IF(_epmOfflineCondition_,"Y",_xll.EVPRO($B$1,$H75,"CALC"))</f>
        <v>Y</v>
      </c>
      <c r="K75" s="106"/>
      <c r="L75" s="59"/>
      <c r="M75" s="59"/>
      <c r="N75" s="106" t="str">
        <f>IF(_epmOfflineCondition_,"Department Profit (Loss)",IF(_xll.EVDES(H75,$B$1)="#NODATA","",_xll.EVDES(H75,$B$1)))</f>
        <v>Department Profit (Loss)</v>
      </c>
      <c r="O75" s="169">
        <v>-40703.46</v>
      </c>
      <c r="P75" s="169">
        <v>-51963.32</v>
      </c>
      <c r="Q75" s="169">
        <v>-56699.88</v>
      </c>
      <c r="R75" s="169">
        <v>-37249.93</v>
      </c>
      <c r="S75" s="169">
        <v>-55603.360000000001</v>
      </c>
      <c r="T75" s="169">
        <v>-51726.46</v>
      </c>
      <c r="U75" s="169">
        <v>-62997.4</v>
      </c>
      <c r="V75" s="169">
        <v>-53035.16</v>
      </c>
      <c r="W75" s="169">
        <v>-48237.14</v>
      </c>
      <c r="X75" s="169">
        <v>-58297.2</v>
      </c>
      <c r="Y75" s="169">
        <v>-64934.89</v>
      </c>
      <c r="Z75" s="169">
        <v>-60702.559999999998</v>
      </c>
      <c r="AA75" s="169">
        <f>IF($I75="B1","",SUM(O75:Z75))</f>
        <v>-642150.76</v>
      </c>
      <c r="AB75" s="170">
        <f>IF(AA75=0,"",IFERROR(AA75/AA$19,""))</f>
        <v>-5.3932679037834629E-2</v>
      </c>
      <c r="AC75" s="140"/>
      <c r="AD75" s="169">
        <v>-539705.76302027598</v>
      </c>
      <c r="AE75" s="170">
        <f>IF(AD75=0,"",IFERROR(AD75/AD$19,""))</f>
        <v>-6.4769861353836486E-2</v>
      </c>
      <c r="AF75" s="171">
        <f>IF(AND($AA75="",AD75=""),"",$AA75-AD75)</f>
        <v>-102444.99697972403</v>
      </c>
      <c r="AG75" s="169">
        <v>-350157.54</v>
      </c>
      <c r="AH75" s="170">
        <f>IF(AG75=0,"",IFERROR(AG75/AG$19,""))</f>
        <v>-6.716561218031078E-2</v>
      </c>
      <c r="AI75" s="171">
        <f>IF(AND($AA75="",AG75=""),"",$AA75-AG75)</f>
        <v>-291993.22000000003</v>
      </c>
      <c r="AJ75" s="483">
        <f>IFERROR(AA75/AA$20,0)</f>
        <v>-13.328160232461602</v>
      </c>
      <c r="AK75" s="484">
        <f>IFERROR(AD75/AD$20,0)</f>
        <v>-11.201863076385969</v>
      </c>
      <c r="AL75" s="485">
        <f>IFERROR(AG75/AG$20,0)</f>
        <v>-7.2478378042722298</v>
      </c>
      <c r="AM75" s="486" t="str">
        <f>+IFERROR(ROUND(($AB75-AE75)*100,2)&amp;" pts.",0)</f>
        <v>1.08 pts.</v>
      </c>
      <c r="AN75" s="557" t="str">
        <f>+IFERROR(ROUND(($AB75-AH75)*100,2)&amp;" pts.",0)</f>
        <v>1.32 pts.</v>
      </c>
      <c r="AO75" s="11"/>
    </row>
    <row r="76" spans="1:41" ht="15" thickTop="1" x14ac:dyDescent="0.35">
      <c r="A76" s="65" t="s">
        <v>42</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43</v>
      </c>
      <c r="B77" s="66"/>
      <c r="C77" s="11"/>
      <c r="D77" s="11"/>
      <c r="E77" s="11"/>
      <c r="F77" s="11"/>
      <c r="G77" s="11"/>
      <c r="H77" s="11"/>
      <c r="I77" s="59"/>
      <c r="J77" s="59"/>
      <c r="K77" s="11"/>
      <c r="L77" s="59"/>
      <c r="M77" s="59"/>
      <c r="N77" s="104" t="str">
        <f>N74&amp;" - Check"</f>
        <v>Total Expenses - Check</v>
      </c>
      <c r="O77" s="209">
        <f t="shared" ref="O77:AA77" si="24">SUMIF($H$33:$H$75,"600000",O$33:O$75)+SUMIF($H$33:$H$75,"700000",O$33:O$75)-SUMIF($H$33:$H$75,"TOTDEPTEXP",O$33:O$75)</f>
        <v>0</v>
      </c>
      <c r="P77" s="209">
        <f t="shared" si="24"/>
        <v>0</v>
      </c>
      <c r="Q77" s="209">
        <f t="shared" si="24"/>
        <v>0</v>
      </c>
      <c r="R77" s="209">
        <f t="shared" si="24"/>
        <v>0</v>
      </c>
      <c r="S77" s="209">
        <f t="shared" si="24"/>
        <v>0</v>
      </c>
      <c r="T77" s="209">
        <f t="shared" si="24"/>
        <v>0</v>
      </c>
      <c r="U77" s="209">
        <f t="shared" si="24"/>
        <v>0</v>
      </c>
      <c r="V77" s="209">
        <f t="shared" si="24"/>
        <v>0</v>
      </c>
      <c r="W77" s="209">
        <f t="shared" si="24"/>
        <v>0</v>
      </c>
      <c r="X77" s="209">
        <f t="shared" si="24"/>
        <v>0</v>
      </c>
      <c r="Y77" s="209">
        <f t="shared" si="24"/>
        <v>0</v>
      </c>
      <c r="Z77" s="209">
        <f t="shared" si="24"/>
        <v>0</v>
      </c>
      <c r="AA77" s="209">
        <f t="shared" si="24"/>
        <v>0</v>
      </c>
      <c r="AB77" s="100"/>
      <c r="AC77" s="11"/>
      <c r="AD77" s="209">
        <f>SUMIF($H$33:$H$75,"600000",AD$33:AD$75)+SUMIF($H$33:$H$75,"700000",AD$33:AD$75)-SUMIF($H$33:$H$75,"TOTDEPTEXP",AD$33:AD$75)</f>
        <v>0</v>
      </c>
      <c r="AE77" s="100"/>
      <c r="AF77" s="91"/>
      <c r="AG77" s="209">
        <f>SUMIF($H$33:$H$75,"600000",AG$33:AG$75)+SUMIF($H$33:$H$75,"700000",AG$33:AG$75)-SUMIF($H$33:$H$75,"TOTDEPTEXP",AG$33:AG$75)</f>
        <v>0</v>
      </c>
      <c r="AH77" s="100"/>
      <c r="AI77" s="91"/>
      <c r="AJ77" s="11"/>
      <c r="AK77" s="11"/>
      <c r="AL77" s="11"/>
      <c r="AM77" s="11"/>
      <c r="AN77" s="11"/>
      <c r="AO77" s="11"/>
    </row>
    <row r="78" spans="1:41" x14ac:dyDescent="0.35">
      <c r="A78" s="65" t="s">
        <v>44</v>
      </c>
      <c r="B78" s="66"/>
      <c r="C78" s="11"/>
      <c r="D78" s="11"/>
      <c r="E78" s="11"/>
      <c r="F78" s="11"/>
      <c r="G78" s="11"/>
      <c r="H78" s="11"/>
      <c r="I78" s="59"/>
      <c r="J78" s="59"/>
      <c r="K78" s="11"/>
      <c r="L78" s="59"/>
      <c r="M78" s="59"/>
      <c r="N78" s="104" t="str">
        <f>N75&amp;" - Check"</f>
        <v>Department Profit (Loss) - Check</v>
      </c>
      <c r="O78" s="209">
        <f t="shared" ref="O78:AA78" si="25">SUMIF($H$33:$H$75,"TOTDEPTEXP",O$33:O$75)+SUMIF($H$33:$H$75,"TOTDEPTPL",O$33:O$75)</f>
        <v>0</v>
      </c>
      <c r="P78" s="209">
        <f t="shared" si="25"/>
        <v>0</v>
      </c>
      <c r="Q78" s="209">
        <f t="shared" si="25"/>
        <v>0</v>
      </c>
      <c r="R78" s="209">
        <f t="shared" si="25"/>
        <v>0</v>
      </c>
      <c r="S78" s="209">
        <f t="shared" si="25"/>
        <v>0</v>
      </c>
      <c r="T78" s="209">
        <f t="shared" si="25"/>
        <v>0</v>
      </c>
      <c r="U78" s="209">
        <f t="shared" si="25"/>
        <v>0</v>
      </c>
      <c r="V78" s="209">
        <f t="shared" si="25"/>
        <v>0</v>
      </c>
      <c r="W78" s="209">
        <f t="shared" si="25"/>
        <v>0</v>
      </c>
      <c r="X78" s="209">
        <f t="shared" si="25"/>
        <v>0</v>
      </c>
      <c r="Y78" s="209">
        <f t="shared" si="25"/>
        <v>0</v>
      </c>
      <c r="Z78" s="209">
        <f t="shared" si="25"/>
        <v>0</v>
      </c>
      <c r="AA78" s="209">
        <f t="shared" si="25"/>
        <v>0</v>
      </c>
      <c r="AB78" s="100"/>
      <c r="AC78" s="11"/>
      <c r="AD78" s="209">
        <f>SUMIF($H$33:$H$75,"TOTDEPTEXP",AD$33:AD$75)+SUMIF($H$33:$H$75,"TOTDEPTPL",AD$33:AD$75)</f>
        <v>-9.3132257461547852E-10</v>
      </c>
      <c r="AE78" s="100"/>
      <c r="AF78" s="91"/>
      <c r="AG78" s="209">
        <f>SUMIF($H$33:$H$75,"TOTDEPTEXP",AG$33:AG$75)+SUMIF($H$33:$H$75,"TOTDEPTPL",AG$33:AG$75)</f>
        <v>0</v>
      </c>
      <c r="AH78" s="100"/>
      <c r="AI78" s="91"/>
      <c r="AJ78" s="11"/>
      <c r="AK78" s="11"/>
      <c r="AL78" s="11"/>
      <c r="AM78" s="11"/>
      <c r="AN78" s="11"/>
      <c r="AO78" s="11"/>
    </row>
    <row r="79" spans="1:41" x14ac:dyDescent="0.35">
      <c r="A79" s="65" t="s">
        <v>45</v>
      </c>
      <c r="B79" s="66"/>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c r="B105" s="11"/>
      <c r="C105" s="11"/>
      <c r="D105" s="11"/>
      <c r="E105" s="11"/>
      <c r="F105" s="11"/>
      <c r="G105" s="11"/>
      <c r="H105" s="59"/>
      <c r="I105" s="59"/>
      <c r="J105" s="11"/>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59"/>
      <c r="I106" s="59"/>
      <c r="J106" s="11"/>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59"/>
      <c r="I107" s="59"/>
      <c r="J107" s="11"/>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sheetData>
  <sheetProtection algorithmName="SHA-512" hashValue="zpeRIdCgKSZoXoEYjmPRbe5s9EiJiOrTYwnHVVRT/Kymdd8sJoLuyggtQdh/r5C/1OPVeJYvQuFgwtaIYhD+fg==" saltValue="3Nwg05miYWIBR3vNep9wRA==" spinCount="100000" sheet="1" scenarios="1"/>
  <mergeCells count="2">
    <mergeCell ref="AD31:AE31"/>
    <mergeCell ref="AG31:AH31"/>
  </mergeCells>
  <dataValidations disablePrompts="1" count="2">
    <dataValidation type="list" allowBlank="1" sqref="B28" xr:uid="{00000000-0002-0000-2A00-000000000000}">
      <formula1>"ACCOUNT,BUSINESSUNIT,CATEGORY,DATASRC,DEPARTMENT,INTCO,MEASURES,RPTCURRENCY,TIME"</formula1>
    </dataValidation>
    <dataValidation type="list" allowBlank="1" sqref="B29" xr:uid="{00000000-0002-0000-2A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837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8374" r:id="rId7" name="FPMExcelClientSheetOptionstb1"/>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7">
    <pageSetUpPr fitToPage="1"/>
  </sheetPr>
  <dimension ref="A1:AO6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514</v>
      </c>
      <c r="C6" s="11" t="str">
        <f>IF(_epmOfflineCondition_,"Utilities",_xll.EVDES(B6,$B$1))</f>
        <v>Utilities</v>
      </c>
      <c r="D6" s="11"/>
      <c r="E6" s="58" t="str">
        <f>IF(_epmOfflineCondition_,"D_EC",_xll.EVPRO($B$1,$B$6,$F$6))</f>
        <v>D_EC</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IF(_epmOfflineCondition_,"'EC'!$B$2:$B$10",_xll.EVRNG($B$2:$B$10))</f>
        <v>'EC'!$B$2:$B$10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IF(_epmOfflineCondition_,"'EC'!$O$16:$AN$18",_xll.EVRNG($O$16:$AN$18))</f>
        <v>'EC'!$O$16:$AN$18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IF(_epmOfflineCondition_,"'EC'!$H$34:$H$36",_xll.EVRNG(H34:H36))</f>
        <v>'EC'!$H$34:$H$36</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IF(_epmOfflineCondition_,"'EC'!$A$37:$B$58",_xll.EVRNG($A$37:$B$58))</f>
        <v>'EC'!$A$37:$B$58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IF(_epmOfflineCondition_,"Utilities Department",IF(_xll.EVDES(B6,$B$1)="#NODATA","",_xll.EVDES(B6,$B$1)&amp;" Department"))</f>
        <v>Utilities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515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548</v>
      </c>
      <c r="I33" s="59" t="str">
        <f>IF(_epmOfflineCondition_,"B1",_xll.EVPRO($B$1,$H33,"STYLE"))</f>
        <v>B1</v>
      </c>
      <c r="J33" s="59" t="str">
        <f>IF(_epmOfflineCondition_,"Y",_xll.EVPRO($B$1,$H33,"CALC"))</f>
        <v>Y</v>
      </c>
      <c r="K33" s="11"/>
      <c r="L33" s="11"/>
      <c r="M33" s="11"/>
      <c r="N33" s="105" t="str">
        <f>IF(_epmOfflineCondition_,"Utilities",IF(_xll.EVDES(H33,$B$1)="#NODATA","",_xll.EVDES(H33,$B$1)))</f>
        <v>Utilities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868</v>
      </c>
      <c r="I34" s="122" t="str">
        <f>IF(_epmOfflineCondition_,"N",_xll.EVPRO($B$1,$H34,"STYLE"))</f>
        <v>N</v>
      </c>
      <c r="J34" s="122" t="str">
        <f>IF(_epmOfflineCondition_,"N",_xll.EVPRO($B$1,$H34,"CALC"))</f>
        <v>N</v>
      </c>
      <c r="K34" s="179" t="str">
        <f>IF(AND(I34&gt;="T3"),"&gt;","")</f>
        <v/>
      </c>
      <c r="L34" s="90" t="str">
        <f>IF(_epmOfflineCondition_,"717100",_xll.EVPRO($B$1,H34,"JDEID"))</f>
        <v>717100</v>
      </c>
      <c r="M34" s="90" t="str">
        <f>IF(_epmOfflineCondition_,"690800",IF(AND(I34="N",J34="N"),_xll.EVPRO($B$1,H34,"PSFTID"),""))</f>
        <v>690800</v>
      </c>
      <c r="N34" s="90" t="str">
        <f>IF(_epmOfflineCondition_,"Electricity",IF(_xll.EVDES(H34,$B$1)="#NODATA","",_xll.EVDES(H34,$B$1)))</f>
        <v>Electricity</v>
      </c>
      <c r="O34" s="143">
        <v>7771.23</v>
      </c>
      <c r="P34" s="143">
        <v>6211.48</v>
      </c>
      <c r="Q34" s="143">
        <v>12343.34</v>
      </c>
      <c r="R34" s="143">
        <v>9686.07</v>
      </c>
      <c r="S34" s="143">
        <v>14099.28</v>
      </c>
      <c r="T34" s="143">
        <v>11974.03</v>
      </c>
      <c r="U34" s="143">
        <v>14272.12</v>
      </c>
      <c r="V34" s="143">
        <v>13963</v>
      </c>
      <c r="W34" s="143">
        <v>12764.75</v>
      </c>
      <c r="X34" s="143">
        <v>10321.6</v>
      </c>
      <c r="Y34" s="143">
        <v>9824.0499999999993</v>
      </c>
      <c r="Z34" s="143">
        <v>8639.7800000000007</v>
      </c>
      <c r="AA34" s="210">
        <f>IF($I34="B1","",SUM(O34:Z34))</f>
        <v>131870.73000000001</v>
      </c>
      <c r="AB34" s="144">
        <f>IF(AA34=0,"",IFERROR(AA34/AA$19,""))</f>
        <v>1.1075501577814765E-2</v>
      </c>
      <c r="AC34" s="140"/>
      <c r="AD34" s="143">
        <v>166653.36369083001</v>
      </c>
      <c r="AE34" s="144">
        <f>IF(AD34=0,"",IFERROR(AD34/AD$19,""))</f>
        <v>2.0000000000000049E-2</v>
      </c>
      <c r="AF34" s="145">
        <f>IF(AND($AA34="",AD34=""),"",$AA34-AD34)</f>
        <v>-34782.63369083</v>
      </c>
      <c r="AG34" s="143">
        <v>101380.68</v>
      </c>
      <c r="AH34" s="144">
        <f>IF(AG34=0,"",IFERROR(AG34/AG$19,""))</f>
        <v>1.9446376723620429E-2</v>
      </c>
      <c r="AI34" s="145">
        <f>IF(AND($AA34="",AG34=""),"",$AA34-AG34)</f>
        <v>30490.050000000017</v>
      </c>
      <c r="AJ34" s="440">
        <f>IFERROR(AA34/AA$20,0)</f>
        <v>2.7370429638854299</v>
      </c>
      <c r="AK34" s="441">
        <f>IFERROR(AD34/AD$20,0)</f>
        <v>3.4589739246747615</v>
      </c>
      <c r="AL34" s="442">
        <f>IFERROR(AG34/AG$20,0)</f>
        <v>2.0984575260804768</v>
      </c>
      <c r="AM34" s="443" t="str">
        <f>+IFERROR(ROUND(($AB34-AE34)*100,2)&amp;" pts.",0)</f>
        <v>-0.89 pts.</v>
      </c>
      <c r="AN34" s="444" t="str">
        <f>+IFERROR(ROUND(($AB34-AH34)*100,2)&amp;" pts.",0)</f>
        <v>-0.84 pts.</v>
      </c>
      <c r="AO34" s="11"/>
    </row>
    <row r="35" spans="1:41" x14ac:dyDescent="0.35">
      <c r="A35" s="11"/>
      <c r="B35" s="11"/>
      <c r="C35" s="208"/>
      <c r="D35" s="11"/>
      <c r="E35" s="11"/>
      <c r="F35" s="11"/>
      <c r="G35" s="11"/>
      <c r="H35" s="88" t="s">
        <v>869</v>
      </c>
      <c r="I35" s="122" t="str">
        <f>IF(_epmOfflineCondition_,"N",_xll.EVPRO($B$1,$H35,"STYLE"))</f>
        <v>N</v>
      </c>
      <c r="J35" s="122" t="str">
        <f>IF(_epmOfflineCondition_,"N",_xll.EVPRO($B$1,$H35,"CALC"))</f>
        <v>N</v>
      </c>
      <c r="K35" s="179" t="str">
        <f>IF(AND(I35&gt;="T3"),"&gt;","")</f>
        <v/>
      </c>
      <c r="L35" s="90" t="str">
        <f>IF(_epmOfflineCondition_,"717200",_xll.EVPRO($B$1,H35,"JDEID"))</f>
        <v>717200</v>
      </c>
      <c r="M35" s="90" t="str">
        <f>IF(_epmOfflineCondition_,"690805",IF(AND(I35="N",J35="N"),_xll.EVPRO($B$1,H35,"PSFTID"),""))</f>
        <v>690805</v>
      </c>
      <c r="N35" s="90" t="str">
        <f>IF(_epmOfflineCondition_,"Gas",IF(_xll.EVDES(H35,$B$1)="#NODATA","",_xll.EVDES(H35,$B$1)))</f>
        <v>Gas</v>
      </c>
      <c r="O35" s="143">
        <v>3296.24</v>
      </c>
      <c r="P35" s="143">
        <v>2192.56</v>
      </c>
      <c r="Q35" s="143">
        <v>3269.29</v>
      </c>
      <c r="R35" s="143">
        <v>2492.71</v>
      </c>
      <c r="S35" s="143">
        <v>2139.04</v>
      </c>
      <c r="T35" s="143">
        <v>1642.45</v>
      </c>
      <c r="U35" s="143">
        <v>1980.09</v>
      </c>
      <c r="V35" s="143">
        <v>1745.49</v>
      </c>
      <c r="W35" s="143">
        <v>1391.34</v>
      </c>
      <c r="X35" s="143">
        <v>1914.13</v>
      </c>
      <c r="Y35" s="143">
        <v>1798.92</v>
      </c>
      <c r="Z35" s="143">
        <v>8603.4699999999993</v>
      </c>
      <c r="AA35" s="210">
        <f>IF($I35="B1","",SUM(O35:Z35))</f>
        <v>32465.730000000003</v>
      </c>
      <c r="AB35" s="144">
        <f>IF(AA35=0,"",IFERROR(AA35/AA$19,""))</f>
        <v>2.7267176259652779E-3</v>
      </c>
      <c r="AC35" s="140"/>
      <c r="AD35" s="143">
        <v>24998.0045536244</v>
      </c>
      <c r="AE35" s="144">
        <f>IF(AD35=0,"",IFERROR(AD35/AD$19,""))</f>
        <v>2.9999999999999953E-3</v>
      </c>
      <c r="AF35" s="145">
        <f>IF(AND($AA35="",AD35=""),"",$AA35-AD35)</f>
        <v>7467.7254463756035</v>
      </c>
      <c r="AG35" s="143">
        <v>15302.25</v>
      </c>
      <c r="AH35" s="144">
        <f>IF(AG35=0,"",IFERROR(AG35/AG$19,""))</f>
        <v>2.9352073611956511E-3</v>
      </c>
      <c r="AI35" s="145">
        <f>IF(AND($AA35="",AG35=""),"",$AA35-AG35)</f>
        <v>17163.480000000003</v>
      </c>
      <c r="AJ35" s="440">
        <f>IFERROR(AA35/AA$20,0)</f>
        <v>0.67384246575342477</v>
      </c>
      <c r="AK35" s="441">
        <f>IFERROR(AD35/AD$20,0)</f>
        <v>0.51884608870121207</v>
      </c>
      <c r="AL35" s="442">
        <f>IFERROR(AG35/AG$20,0)</f>
        <v>0.3167380774962742</v>
      </c>
      <c r="AM35" s="443" t="str">
        <f>+IFERROR(ROUND(($AB35-AE35)*100,2)&amp;" pts.",0)</f>
        <v>-0.03 pts.</v>
      </c>
      <c r="AN35" s="444" t="str">
        <f>+IFERROR(ROUND(($AB35-AH35)*100,2)&amp;" pts.",0)</f>
        <v>-0.02 pts.</v>
      </c>
      <c r="AO35" s="11"/>
    </row>
    <row r="36" spans="1:41" x14ac:dyDescent="0.35">
      <c r="A36" s="62" t="s">
        <v>23</v>
      </c>
      <c r="B36" s="63" t="s">
        <v>24</v>
      </c>
      <c r="C36" s="11"/>
      <c r="D36" s="11"/>
      <c r="E36" s="11"/>
      <c r="F36" s="11"/>
      <c r="G36" s="11"/>
      <c r="H36" s="88" t="s">
        <v>870</v>
      </c>
      <c r="I36" s="122" t="str">
        <f>IF(_epmOfflineCondition_,"T5",_xll.EVPRO($B$1,$H36,"STYLE"))</f>
        <v>T5</v>
      </c>
      <c r="J36" s="122" t="str">
        <f>IF(_epmOfflineCondition_,"Y",_xll.EVPRO($B$1,$H36,"CALC"))</f>
        <v>Y</v>
      </c>
      <c r="K36" s="179" t="str">
        <f>IF(AND(I36&gt;="T3"),"&gt;","")</f>
        <v>&gt;</v>
      </c>
      <c r="L36" s="90" t="str">
        <f>IF(_epmOfflineCondition_,"",_xll.EVPRO($B$1,H36,"JDEID"))</f>
        <v/>
      </c>
      <c r="M36" s="90" t="str">
        <f>IF(_epmOfflineCondition_,"",IF(AND(I36="N",J36="N"),_xll.EVPRO($B$1,H36,"PSFTID"),""))</f>
        <v/>
      </c>
      <c r="N36" s="90" t="str">
        <f>IF(_epmOfflineCondition_,"Water / Sewer",IF(_xll.EVDES(H36,$B$1)="#NODATA","",_xll.EVDES(H36,$B$1)))</f>
        <v>Water / Sewer</v>
      </c>
      <c r="O36" s="143">
        <v>1963.29</v>
      </c>
      <c r="P36" s="143">
        <v>2159.37</v>
      </c>
      <c r="Q36" s="143">
        <v>2103.87</v>
      </c>
      <c r="R36" s="143">
        <v>2588.0100000000002</v>
      </c>
      <c r="S36" s="143">
        <v>2044.55</v>
      </c>
      <c r="T36" s="143">
        <v>1992.3</v>
      </c>
      <c r="U36" s="143">
        <v>1737.06</v>
      </c>
      <c r="V36" s="143">
        <v>2107.5300000000002</v>
      </c>
      <c r="W36" s="143">
        <v>2302.87</v>
      </c>
      <c r="X36" s="143">
        <v>2492.61</v>
      </c>
      <c r="Y36" s="143">
        <v>1748.4</v>
      </c>
      <c r="Z36" s="143">
        <v>2249.0300000000002</v>
      </c>
      <c r="AA36" s="210">
        <f>IF($I36="B1","",SUM(O36:Z36))</f>
        <v>25488.89</v>
      </c>
      <c r="AB36" s="144">
        <f>IF(AA36=0,"",IFERROR(AA36/AA$19,""))</f>
        <v>2.1407498192491008E-3</v>
      </c>
      <c r="AC36" s="140"/>
      <c r="AD36" s="143">
        <v>41663.340922707503</v>
      </c>
      <c r="AE36" s="144">
        <f>IF(AD36=0,"",IFERROR(AD36/AD$19,""))</f>
        <v>5.0000000000000122E-3</v>
      </c>
      <c r="AF36" s="145">
        <f>IF(AND($AA36="",AD36=""),"",$AA36-AD36)</f>
        <v>-16174.450922707503</v>
      </c>
      <c r="AG36" s="143">
        <v>26848.46</v>
      </c>
      <c r="AH36" s="144">
        <f>IF(AG36=0,"",IFERROR(AG36/AG$19,""))</f>
        <v>5.149948368950121E-3</v>
      </c>
      <c r="AI36" s="145">
        <f>IF(AND($AA36="",AG36=""),"",$AA36-AG36)</f>
        <v>-1359.5699999999997</v>
      </c>
      <c r="AJ36" s="440">
        <f>IFERROR(AA36/AA$20,0)</f>
        <v>0.52903466168534663</v>
      </c>
      <c r="AK36" s="441">
        <f>IFERROR(AD36/AD$20,0)</f>
        <v>0.86474348116869038</v>
      </c>
      <c r="AL36" s="442">
        <f>IFERROR(AG36/AG$20,0)</f>
        <v>0.55573066732902798</v>
      </c>
      <c r="AM36" s="443" t="str">
        <f>+IFERROR(ROUND(($AB36-AE36)*100,2)&amp;" pts.",0)</f>
        <v>-0.29 pts.</v>
      </c>
      <c r="AN36" s="444" t="str">
        <f>+IFERROR(ROUND(($AB36-AH36)*100,2)&amp;" pts.",0)</f>
        <v>-0.3 pts.</v>
      </c>
      <c r="AO36" s="11"/>
    </row>
    <row r="37" spans="1:41" x14ac:dyDescent="0.35">
      <c r="A37" s="65" t="s">
        <v>25</v>
      </c>
      <c r="B37" s="66"/>
      <c r="C37" s="11"/>
      <c r="D37" s="11"/>
      <c r="E37" s="11"/>
      <c r="F37" s="11"/>
      <c r="G37" s="11"/>
      <c r="H37" s="88" t="s">
        <v>79</v>
      </c>
      <c r="I37" s="136" t="str">
        <f>IF(_epmOfflineCondition_,"T3",_xll.EVPRO($B$1,$H37,"STYLE"))</f>
        <v>T3</v>
      </c>
      <c r="J37" s="136" t="str">
        <f>IF(_epmOfflineCondition_,"Y",_xll.EVPRO($B$1,$H37,"CALC"))</f>
        <v>Y</v>
      </c>
      <c r="K37" s="104"/>
      <c r="L37" s="59"/>
      <c r="M37" s="59"/>
      <c r="N37" s="106" t="str">
        <f>IF(_epmOfflineCondition_,"Total Operations Expense",IF(_xll.EVDES(H37,$B$1)="#NODATA","",_xll.EVDES(H37,$B$1)))</f>
        <v>Total Operations Expense</v>
      </c>
      <c r="O37" s="112">
        <f t="shared" ref="O37:Z37" si="0">SUM(O34:O36)</f>
        <v>13030.759999999998</v>
      </c>
      <c r="P37" s="112">
        <f t="shared" si="0"/>
        <v>10563.41</v>
      </c>
      <c r="Q37" s="112">
        <f t="shared" si="0"/>
        <v>17716.5</v>
      </c>
      <c r="R37" s="112">
        <f t="shared" si="0"/>
        <v>14766.789999999999</v>
      </c>
      <c r="S37" s="112">
        <f t="shared" si="0"/>
        <v>18282.87</v>
      </c>
      <c r="T37" s="112">
        <f t="shared" si="0"/>
        <v>15608.78</v>
      </c>
      <c r="U37" s="112">
        <f t="shared" si="0"/>
        <v>17989.27</v>
      </c>
      <c r="V37" s="112">
        <f t="shared" si="0"/>
        <v>17816.02</v>
      </c>
      <c r="W37" s="112">
        <f t="shared" si="0"/>
        <v>16458.96</v>
      </c>
      <c r="X37" s="112">
        <f t="shared" si="0"/>
        <v>14728.34</v>
      </c>
      <c r="Y37" s="112">
        <f t="shared" si="0"/>
        <v>13371.369999999999</v>
      </c>
      <c r="Z37" s="112">
        <f t="shared" si="0"/>
        <v>19492.28</v>
      </c>
      <c r="AA37" s="112">
        <f>IF($I37="B1","",SUM(O37:Z37))</f>
        <v>189825.35</v>
      </c>
      <c r="AB37" s="113">
        <f>IF(AA37=0,"",IFERROR(AA37/AA$19,""))</f>
        <v>1.5942969023029142E-2</v>
      </c>
      <c r="AC37" s="11"/>
      <c r="AD37" s="112">
        <f>SUM(AD34:AD36)</f>
        <v>233314.7091671619</v>
      </c>
      <c r="AE37" s="113">
        <f>IF(AD37=0,"",IFERROR(AD37/AD$19,""))</f>
        <v>2.8000000000000056E-2</v>
      </c>
      <c r="AF37" s="114">
        <f>IF(AND($AA37="",AD37=""),"",$AA37-AD37)</f>
        <v>-43489.359167161892</v>
      </c>
      <c r="AG37" s="112">
        <f>SUM(AG34:AG36)</f>
        <v>143531.38999999998</v>
      </c>
      <c r="AH37" s="113">
        <f>IF(AG37=0,"",IFERROR(AG37/AG$19,""))</f>
        <v>2.7531532453766199E-2</v>
      </c>
      <c r="AI37" s="114">
        <f>IF(AND($AA37="",AG37=""),"",$AA37-AG37)</f>
        <v>46293.960000000021</v>
      </c>
      <c r="AJ37" s="415">
        <f>IFERROR(AA37/AA$20,0)</f>
        <v>3.939920091324201</v>
      </c>
      <c r="AK37" s="416">
        <f>IFERROR(AD37/AD$20,0)</f>
        <v>4.8425634945446641</v>
      </c>
      <c r="AL37" s="417">
        <f>IFERROR(AG37/AG$20,0)</f>
        <v>2.9709262709057787</v>
      </c>
      <c r="AM37" s="418" t="str">
        <f>+IFERROR(ROUND(($AB37-AE37)*100,2)&amp;" pts.",0)</f>
        <v>-1.21 pts.</v>
      </c>
      <c r="AN37" s="543" t="str">
        <f>+IFERROR(ROUND(($AB37-AH37)*100,2)&amp;" pts.",0)</f>
        <v>-1.16 pts.</v>
      </c>
      <c r="AO37" s="11"/>
    </row>
    <row r="38" spans="1:41" x14ac:dyDescent="0.35">
      <c r="A38" s="65" t="s">
        <v>26</v>
      </c>
      <c r="B38" s="66"/>
      <c r="C38" s="11"/>
      <c r="D38" s="11"/>
      <c r="E38" s="11"/>
      <c r="F38" s="11"/>
      <c r="G38" s="11"/>
      <c r="H38" s="11"/>
      <c r="I38" s="59"/>
      <c r="J38" s="59"/>
      <c r="K38" s="11"/>
      <c r="L38" s="59"/>
      <c r="M38" s="59"/>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row>
    <row r="39" spans="1:41" x14ac:dyDescent="0.35">
      <c r="A39" s="65" t="s">
        <v>27</v>
      </c>
      <c r="B39" s="66"/>
      <c r="C39" s="11"/>
      <c r="D39" s="11"/>
      <c r="E39" s="11"/>
      <c r="F39" s="11"/>
      <c r="G39" s="11"/>
      <c r="H39" s="88" t="s">
        <v>79</v>
      </c>
      <c r="I39" s="59"/>
      <c r="J39" s="59"/>
      <c r="K39" s="11"/>
      <c r="L39" s="59"/>
      <c r="M39" s="59"/>
      <c r="N39" s="104" t="str">
        <f>N37&amp;" - Check"</f>
        <v>Total Operations Expense - Check</v>
      </c>
      <c r="O39" s="209">
        <f>IF(_epmOfflineCondition_,0,_xll.EVGTS($B$1,1,$B$3,$B$5,$B$7,$B$9,O$16,O$17,O$18,$B$6,$H39)-O37)</f>
        <v>0</v>
      </c>
      <c r="P39" s="209">
        <f>IF(_epmOfflineCondition_,0,_xll.EVGTS($B$1,1,$B$3,$B$5,$B$7,$B$9,P$16,P$17,P$18,$B$6,$H39)-P37)</f>
        <v>0</v>
      </c>
      <c r="Q39" s="209">
        <f>IF(_epmOfflineCondition_,0,_xll.EVGTS($B$1,1,$B$3,$B$5,$B$7,$B$9,Q$16,Q$17,Q$18,$B$6,$H39)-Q37)</f>
        <v>0</v>
      </c>
      <c r="R39" s="209">
        <f>IF(_epmOfflineCondition_,0,_xll.EVGTS($B$1,1,$B$3,$B$5,$B$7,$B$9,R$16,R$17,R$18,$B$6,$H39)-R37)</f>
        <v>0</v>
      </c>
      <c r="S39" s="209">
        <f>IF(_epmOfflineCondition_,0,_xll.EVGTS($B$1,1,$B$3,$B$5,$B$7,$B$9,S$16,S$17,S$18,$B$6,$H39)-S37)</f>
        <v>0</v>
      </c>
      <c r="T39" s="209">
        <f>IF(_epmOfflineCondition_,0,_xll.EVGTS($B$1,1,$B$3,$B$5,$B$7,$B$9,T$16,T$17,T$18,$B$6,$H39)-T37)</f>
        <v>0</v>
      </c>
      <c r="U39" s="209">
        <f>IF(_epmOfflineCondition_,0,_xll.EVGTS($B$1,1,$B$3,$B$5,$B$7,$B$9,U$16,U$17,U$18,$B$6,$H39)-U37)</f>
        <v>0</v>
      </c>
      <c r="V39" s="209">
        <f>IF(_epmOfflineCondition_,0,_xll.EVGTS($B$1,1,$B$3,$B$5,$B$7,$B$9,V$16,V$17,V$18,$B$6,$H39)-V37)</f>
        <v>0</v>
      </c>
      <c r="W39" s="209">
        <f>IF(_epmOfflineCondition_,0,_xll.EVGTS($B$1,1,$B$3,$B$5,$B$7,$B$9,W$16,W$17,W$18,$B$6,$H39)-W37)</f>
        <v>0</v>
      </c>
      <c r="X39" s="209">
        <f>IF(_epmOfflineCondition_,0,_xll.EVGTS($B$1,1,$B$3,$B$5,$B$7,$B$9,X$16,X$17,X$18,$B$6,$H39)-X37)</f>
        <v>0</v>
      </c>
      <c r="Y39" s="209">
        <f>IF(_epmOfflineCondition_,0,_xll.EVGTS($B$1,1,$B$3,$B$5,$B$7,$B$9,Y$16,Y$17,Y$18,$B$6,$H39)-Y37)</f>
        <v>0</v>
      </c>
      <c r="Z39" s="209">
        <f>IF(_epmOfflineCondition_,0,_xll.EVGTS($B$1,1,$B$3,$B$5,$B$7,$B$9,Z$16,Z$17,Z$18,$B$6,$H39)-Z37)</f>
        <v>0</v>
      </c>
      <c r="AA39" s="209">
        <f>SUM(O39:Z39)</f>
        <v>0</v>
      </c>
      <c r="AB39" s="100"/>
      <c r="AC39" s="11"/>
      <c r="AD39" s="209">
        <f>IF(_epmOfflineCondition_,0,_xll.EVGTS($B$1,1,$B$3,$B$5,$B$7,$B$9,AD$16,AD$17,AD$18,$B$6,$H39)-AD37)</f>
        <v>0</v>
      </c>
      <c r="AE39" s="100"/>
      <c r="AF39" s="91"/>
      <c r="AG39" s="209">
        <f>IF(_epmOfflineCondition_,0,_xll.EVGTS($B$1,1,$B$3,$B$5,$B$7,$B$9,AG$16,AG$17,AG$18,$B$6,$H39)-AG37)</f>
        <v>0</v>
      </c>
      <c r="AH39" s="100"/>
      <c r="AI39" s="91"/>
      <c r="AJ39" s="11"/>
      <c r="AK39" s="11"/>
      <c r="AL39" s="11"/>
      <c r="AM39" s="11"/>
      <c r="AN39" s="11"/>
      <c r="AO39" s="11"/>
    </row>
    <row r="40" spans="1:41" x14ac:dyDescent="0.35">
      <c r="A40" s="65" t="s">
        <v>28</v>
      </c>
      <c r="B40" s="66"/>
      <c r="C40" s="11"/>
      <c r="D40" s="11"/>
      <c r="E40" s="11"/>
      <c r="F40" s="11"/>
      <c r="G40" s="11"/>
      <c r="H40" s="11"/>
      <c r="I40" s="59"/>
      <c r="J40" s="59"/>
      <c r="K40" s="11"/>
      <c r="L40" s="59"/>
      <c r="M40" s="59"/>
      <c r="N40" s="59"/>
      <c r="O40" s="59"/>
      <c r="P40" s="59"/>
      <c r="Q40" s="59"/>
      <c r="R40" s="59"/>
      <c r="S40" s="59"/>
      <c r="T40" s="59"/>
      <c r="U40" s="59"/>
      <c r="V40" s="59"/>
      <c r="W40" s="59"/>
      <c r="X40" s="59"/>
      <c r="Y40" s="59"/>
      <c r="Z40" s="59"/>
      <c r="AA40" s="59"/>
      <c r="AB40" s="59"/>
      <c r="AC40" s="11"/>
      <c r="AD40" s="59"/>
      <c r="AE40" s="59"/>
      <c r="AF40" s="59"/>
      <c r="AG40" s="59"/>
      <c r="AH40" s="59"/>
      <c r="AI40" s="59"/>
      <c r="AJ40" s="11"/>
      <c r="AK40" s="11"/>
      <c r="AL40" s="11"/>
      <c r="AM40" s="11"/>
      <c r="AN40" s="11"/>
      <c r="AO40" s="11"/>
    </row>
    <row r="41" spans="1:41" x14ac:dyDescent="0.35">
      <c r="A41" s="65" t="s">
        <v>29</v>
      </c>
      <c r="B41" s="66"/>
      <c r="C41" s="11"/>
      <c r="D41" s="11"/>
      <c r="E41" s="11"/>
      <c r="F41" s="11"/>
      <c r="G41" s="11"/>
      <c r="H41" s="11"/>
      <c r="I41" s="59"/>
      <c r="J41" s="59"/>
      <c r="K41" s="11"/>
      <c r="L41" s="59"/>
      <c r="M41" s="59"/>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row>
    <row r="42" spans="1:41" x14ac:dyDescent="0.35">
      <c r="A42" s="65" t="s">
        <v>30</v>
      </c>
      <c r="B42" s="66" t="s">
        <v>78</v>
      </c>
      <c r="C42" s="11"/>
      <c r="D42" s="11"/>
      <c r="E42" s="11"/>
      <c r="F42" s="11"/>
      <c r="G42" s="11"/>
      <c r="H42" s="11"/>
      <c r="I42" s="59"/>
      <c r="J42" s="59"/>
      <c r="K42" s="11"/>
      <c r="L42" s="59"/>
      <c r="M42" s="59"/>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row>
    <row r="43" spans="1:41" x14ac:dyDescent="0.35">
      <c r="A43" s="65" t="s">
        <v>31</v>
      </c>
      <c r="B43" s="66" t="s">
        <v>78</v>
      </c>
      <c r="C43" s="11"/>
      <c r="D43" s="11"/>
      <c r="E43" s="11"/>
      <c r="F43" s="11"/>
      <c r="G43" s="11"/>
      <c r="H43" s="11"/>
      <c r="I43" s="59"/>
      <c r="J43" s="59"/>
      <c r="K43" s="11"/>
      <c r="L43" s="59"/>
      <c r="M43" s="59"/>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row>
    <row r="44" spans="1:41" x14ac:dyDescent="0.35">
      <c r="A44" s="65" t="s">
        <v>32</v>
      </c>
      <c r="B44" s="66"/>
      <c r="C44" s="11"/>
      <c r="D44" s="11"/>
      <c r="E44" s="11"/>
      <c r="F44" s="11"/>
      <c r="G44" s="11"/>
      <c r="H44" s="11"/>
      <c r="I44" s="59"/>
      <c r="J44" s="59"/>
      <c r="K44" s="11"/>
      <c r="L44" s="59"/>
      <c r="M44" s="59"/>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row>
    <row r="45" spans="1:41" x14ac:dyDescent="0.35">
      <c r="A45" s="65" t="s">
        <v>33</v>
      </c>
      <c r="B45" s="66"/>
      <c r="C45" s="11"/>
      <c r="D45" s="11"/>
      <c r="E45" s="11"/>
      <c r="F45" s="11"/>
      <c r="G45" s="11"/>
      <c r="H45" s="11"/>
      <c r="I45" s="59"/>
      <c r="J45" s="59"/>
      <c r="K45" s="11"/>
      <c r="L45" s="59"/>
      <c r="M45" s="59"/>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row>
    <row r="46" spans="1:41" x14ac:dyDescent="0.35">
      <c r="A46" s="65" t="s">
        <v>34</v>
      </c>
      <c r="B46" s="66"/>
      <c r="C46" s="11"/>
      <c r="D46" s="11"/>
      <c r="E46" s="11"/>
      <c r="F46" s="11"/>
      <c r="G46" s="11"/>
      <c r="H46" s="11"/>
      <c r="I46" s="59"/>
      <c r="J46" s="59"/>
      <c r="K46" s="11"/>
      <c r="L46" s="59"/>
      <c r="M46" s="59"/>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row>
    <row r="47" spans="1:41" x14ac:dyDescent="0.35">
      <c r="A47" s="65" t="s">
        <v>35</v>
      </c>
      <c r="B47" s="66"/>
      <c r="C47" s="11"/>
      <c r="D47" s="11"/>
      <c r="E47" s="11"/>
      <c r="F47" s="11"/>
      <c r="G47" s="11"/>
      <c r="H47" s="59"/>
      <c r="I47" s="59"/>
      <c r="J47" s="11"/>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35">
      <c r="A48" s="65" t="s">
        <v>36</v>
      </c>
      <c r="B48" s="66"/>
      <c r="C48" s="11"/>
      <c r="D48" s="11"/>
      <c r="E48" s="11"/>
      <c r="F48" s="11"/>
      <c r="G48" s="11"/>
      <c r="H48" s="59"/>
      <c r="I48" s="59"/>
      <c r="J48" s="11"/>
      <c r="K48" s="11"/>
      <c r="L48" s="59"/>
      <c r="M48" s="59"/>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row>
    <row r="49" spans="1:41" x14ac:dyDescent="0.35">
      <c r="A49" s="65" t="s">
        <v>37</v>
      </c>
      <c r="B49" s="66"/>
      <c r="C49" s="11"/>
      <c r="D49" s="11"/>
      <c r="E49" s="11"/>
      <c r="F49" s="11"/>
      <c r="G49" s="11"/>
      <c r="H49" s="59"/>
      <c r="I49" s="59"/>
      <c r="J49" s="11"/>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35">
      <c r="A50" s="65" t="s">
        <v>38</v>
      </c>
      <c r="B50" s="66"/>
      <c r="C50" s="11"/>
      <c r="D50" s="11"/>
      <c r="E50" s="11"/>
      <c r="F50" s="11"/>
      <c r="G50" s="11"/>
      <c r="H50" s="59"/>
      <c r="I50" s="59"/>
      <c r="J50" s="11"/>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35">
      <c r="A51" s="65" t="s">
        <v>39</v>
      </c>
      <c r="B51" s="66"/>
      <c r="C51" s="11"/>
      <c r="D51" s="11"/>
      <c r="E51" s="11"/>
      <c r="F51" s="11"/>
      <c r="G51" s="11"/>
      <c r="H51" s="59"/>
      <c r="I51" s="59"/>
      <c r="J51" s="11"/>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35">
      <c r="A52" s="65" t="s">
        <v>40</v>
      </c>
      <c r="B52" s="66"/>
      <c r="C52" s="11"/>
      <c r="D52" s="11"/>
      <c r="E52" s="11"/>
      <c r="F52" s="11"/>
      <c r="G52" s="11"/>
      <c r="H52" s="59"/>
      <c r="I52" s="59"/>
      <c r="J52" s="11"/>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35">
      <c r="A53" s="65" t="s">
        <v>41</v>
      </c>
      <c r="B53" s="66"/>
      <c r="C53" s="11"/>
      <c r="D53" s="11"/>
      <c r="E53" s="11"/>
      <c r="F53" s="11"/>
      <c r="G53" s="11"/>
      <c r="H53" s="59"/>
      <c r="I53" s="59"/>
      <c r="J53" s="11"/>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42</v>
      </c>
      <c r="B54" s="66"/>
      <c r="C54" s="11"/>
      <c r="D54" s="11"/>
      <c r="E54" s="11"/>
      <c r="F54" s="11"/>
      <c r="G54" s="11"/>
      <c r="H54" s="59"/>
      <c r="I54" s="59"/>
      <c r="J54" s="11"/>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3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3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sheetData>
  <sheetProtection algorithmName="SHA-512" hashValue="JTM4P+HqalFp1fn/zISKZ3rcnnpd2mP4nw32X3YGFfSZ7aycXwSsN3v0xKVLkFrSyTEim8+0z9jbwEtofayoIg==" saltValue="xmeE3jCK7/jRn0jYuLdP2A==" spinCount="100000" sheet="1" scenarios="1"/>
  <mergeCells count="2">
    <mergeCell ref="AD31:AE31"/>
    <mergeCell ref="AG31:AH31"/>
  </mergeCells>
  <dataValidations disablePrompts="1" count="2">
    <dataValidation type="list" allowBlank="1" sqref="B28" xr:uid="{00000000-0002-0000-2B00-000000000000}">
      <formula1>"ACCOUNT,BUSINESSUNIT,CATEGORY,DATASRC,DEPARTMENT,INTCO,MEASURES,RPTCURRENCY,TIME"</formula1>
    </dataValidation>
    <dataValidation type="list" allowBlank="1" sqref="B29" xr:uid="{00000000-0002-0000-2B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0419"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0419" r:id="rId7" name="FPMExcelClientSheetOptionstb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8">
    <pageSetUpPr fitToPage="1"/>
  </sheetPr>
  <dimension ref="A1:AO6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516</v>
      </c>
      <c r="C6" s="11" t="str">
        <f>IF(_epmOfflineCondition_,"Management Fees",_xll.EVDES(B6,$B$1))</f>
        <v>Management Fees</v>
      </c>
      <c r="D6" s="11"/>
      <c r="E6" s="58" t="str">
        <f>IF(_epmOfflineCondition_,"D1179",_xll.EVPRO($B$1,$B$6,$F$6))</f>
        <v>D1179</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IF(_epmOfflineCondition_,"'Mgt_Fees'!$B$2:$B$10",_xll.EVRNG($B$2:$B$10))</f>
        <v>'Mgt_Fees'!$B$2:$B$10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IF(_epmOfflineCondition_,"'Mgt_Fees'!$O$16:$AN$18",_xll.EVRNG($O$16:$AN$18))</f>
        <v>'Mgt_Fees'!$O$16:$AN$18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IF(_epmOfflineCondition_,"'Mgt_Fees'!$H$34:$H$35",_xll.EVRNG(H34:H35))</f>
        <v>'Mgt_Fees'!$H$34:$H$35</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IF(_epmOfflineCondition_,"'Mgt_Fees'!$A$37:$B$58",_xll.EVRNG($A$37:$B$58))</f>
        <v>'Mgt_Fees'!$A$37:$B$58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IF(_epmOfflineCondition_,"Management Fees Department",IF(_xll.EVDES(B6,$B$1)="#NODATA","",_xll.EVDES(B6,$B$1)&amp;" Department"))</f>
        <v>Management Fees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517</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518</v>
      </c>
      <c r="I33" s="59" t="str">
        <f>IF(_epmOfflineCondition_,"B1",_xll.EVPRO($B$1,$H33,"STYLE"))</f>
        <v>B1</v>
      </c>
      <c r="J33" s="59" t="str">
        <f>IF(_epmOfflineCondition_,"Y",_xll.EVPRO($B$1,$H33,"CALC"))</f>
        <v>Y</v>
      </c>
      <c r="K33" s="11"/>
      <c r="L33" s="11"/>
      <c r="M33" s="11"/>
      <c r="N33" s="105" t="str">
        <f>IF(_epmOfflineCondition_,"Management Fees",IF(_xll.EVDES(H33,$B$1)="#NODATA","",_xll.EVDES(H33,$B$1)))</f>
        <v>Management Fees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895</v>
      </c>
      <c r="I34" s="122" t="str">
        <f>IF(_epmOfflineCondition_,"N",_xll.EVPRO($B$1,$H34,"STYLE"))</f>
        <v>N</v>
      </c>
      <c r="J34" s="122" t="str">
        <f>IF(_epmOfflineCondition_,"N",_xll.EVPRO($B$1,$H34,"CALC"))</f>
        <v>N</v>
      </c>
      <c r="K34" s="179" t="str">
        <f>IF(AND(I34&gt;="T3"),"&gt;","")</f>
        <v/>
      </c>
      <c r="L34" s="90" t="str">
        <f>IF(_epmOfflineCondition_,"731010",_xll.EVPRO($B$1,H34,"JDEID"))</f>
        <v>731010</v>
      </c>
      <c r="M34" s="90" t="str">
        <f>IF(_epmOfflineCondition_,"790180",IF(AND(I34="N",J34="N"),_xll.EVPRO($B$1,H34,"PSFTID"),""))</f>
        <v>790180</v>
      </c>
      <c r="N34" s="90" t="str">
        <f>IF(_epmOfflineCondition_,"Base Management Fees",IF(_xll.EVDES(H34,$B$1)="#NODATA","",_xll.EVDES(H34,$B$1)))</f>
        <v>Base Management Fees</v>
      </c>
      <c r="O34" s="143">
        <v>23392.05</v>
      </c>
      <c r="P34" s="143">
        <v>27392.42</v>
      </c>
      <c r="Q34" s="143">
        <v>35007.519999999997</v>
      </c>
      <c r="R34" s="143">
        <v>34620.400000000001</v>
      </c>
      <c r="S34" s="143">
        <v>39547.480000000003</v>
      </c>
      <c r="T34" s="143">
        <v>33491.18</v>
      </c>
      <c r="U34" s="143">
        <v>38537.96</v>
      </c>
      <c r="V34" s="143">
        <v>24552.51</v>
      </c>
      <c r="W34" s="143">
        <v>18231.64</v>
      </c>
      <c r="X34" s="143">
        <v>23723.67</v>
      </c>
      <c r="Y34" s="143">
        <v>29131.19</v>
      </c>
      <c r="Z34" s="143">
        <v>42480.82</v>
      </c>
      <c r="AA34" s="143">
        <f>IF($I34="B1","",SUM(O34:Z34))</f>
        <v>370108.83999999997</v>
      </c>
      <c r="AB34" s="144">
        <f>IF(AA34=0,"",IFERROR(AA34/AA$19,""))</f>
        <v>3.1084540453997576E-2</v>
      </c>
      <c r="AC34" s="140"/>
      <c r="AD34" s="143">
        <v>275178.260580328</v>
      </c>
      <c r="AE34" s="144">
        <f>IF(AD34=0,"",IFERROR(AD34/AD$19,""))</f>
        <v>3.3024027176652801E-2</v>
      </c>
      <c r="AF34" s="145">
        <f>IF(AND($AA34="",AD34=""),"",$AA34-AD34)</f>
        <v>94930.579419671965</v>
      </c>
      <c r="AG34" s="143">
        <v>166266.94</v>
      </c>
      <c r="AH34" s="144">
        <f>IF(AG34=0,"",IFERROR(AG34/AG$19,""))</f>
        <v>3.1892561303826276E-2</v>
      </c>
      <c r="AI34" s="145">
        <f>IF(AND($AA34="",AG34=""),"",$AA34-AG34)</f>
        <v>203841.89999999997</v>
      </c>
      <c r="AJ34" s="440">
        <f>IFERROR(AA34/AA$20,0)</f>
        <v>7.6817941054379402</v>
      </c>
      <c r="AK34" s="441">
        <f>IFERROR(AD34/AD$20,0)</f>
        <v>5.711462444589622</v>
      </c>
      <c r="AL34" s="442">
        <f>IFERROR(AG34/AG$20,0)</f>
        <v>3.4415246729590994</v>
      </c>
      <c r="AM34" s="443" t="str">
        <f>+IFERROR(ROUND(($AB34-AE34)*100,2)&amp;" pts.",0)</f>
        <v>-0.19 pts.</v>
      </c>
      <c r="AN34" s="444" t="str">
        <f>+IFERROR(ROUND(($AB34-AH34)*100,2)&amp;" pts.",0)</f>
        <v>-0.08 pts.</v>
      </c>
      <c r="AO34" s="11"/>
    </row>
    <row r="35" spans="1:41" hidden="1" x14ac:dyDescent="0.35">
      <c r="A35" s="11"/>
      <c r="B35" s="11"/>
      <c r="C35" s="208"/>
      <c r="D35" s="11"/>
      <c r="E35" s="11"/>
      <c r="F35" s="11"/>
      <c r="G35" s="11"/>
      <c r="H35" s="88"/>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143"/>
      <c r="P35" s="143"/>
      <c r="Q35" s="143"/>
      <c r="R35" s="143"/>
      <c r="S35" s="143"/>
      <c r="T35" s="143"/>
      <c r="U35" s="143"/>
      <c r="V35" s="143"/>
      <c r="W35" s="143"/>
      <c r="X35" s="143"/>
      <c r="Y35" s="143"/>
      <c r="Z35" s="143"/>
      <c r="AA35" s="143">
        <f>IF($I35="B1","",SUM(O35:Z35))</f>
        <v>0</v>
      </c>
      <c r="AB35" s="144" t="str">
        <f>IF(AA35=0,"",IFERROR(AA35/AA$19,""))</f>
        <v/>
      </c>
      <c r="AC35" s="140"/>
      <c r="AD35" s="143"/>
      <c r="AE35" s="144" t="str">
        <f>IF(AD35=0,"",IFERROR(AD35/AD$19,""))</f>
        <v/>
      </c>
      <c r="AF35" s="145">
        <f>IF(AND($AA35="",AD35=""),"",$AA35-AD35)</f>
        <v>0</v>
      </c>
      <c r="AG35" s="143"/>
      <c r="AH35" s="144" t="str">
        <f>IF(AG35=0,"",IFERROR(AG35/AG$19,""))</f>
        <v/>
      </c>
      <c r="AI35" s="145">
        <f>IF(AND($AA35="",AG35=""),"",$AA35-AG35)</f>
        <v>0</v>
      </c>
      <c r="AJ35" s="440">
        <f>IFERROR(AA35/AA$20,0)</f>
        <v>0</v>
      </c>
      <c r="AK35" s="441">
        <f>IFERROR(AD35/AD$20,0)</f>
        <v>0</v>
      </c>
      <c r="AL35" s="442">
        <f>IFERROR(AG35/AG$20,0)</f>
        <v>0</v>
      </c>
      <c r="AM35" s="443">
        <f>+IFERROR(ROUND(($AB35-AE35)*100,2)&amp;" pts.",0)</f>
        <v>0</v>
      </c>
      <c r="AN35" s="444">
        <f>+IFERROR(ROUND(($AB35-AH35)*100,2)&amp;" pts.",0)</f>
        <v>0</v>
      </c>
      <c r="AO35" s="11"/>
    </row>
    <row r="36" spans="1:41" x14ac:dyDescent="0.35">
      <c r="A36" s="62" t="s">
        <v>23</v>
      </c>
      <c r="B36" s="63" t="s">
        <v>24</v>
      </c>
      <c r="C36" s="11"/>
      <c r="D36" s="11"/>
      <c r="E36" s="11"/>
      <c r="F36" s="11"/>
      <c r="G36" s="11"/>
      <c r="H36" s="88" t="s">
        <v>79</v>
      </c>
      <c r="I36" s="136" t="str">
        <f>IF(_epmOfflineCondition_,"T3",_xll.EVPRO($B$1,$H36,"STYLE"))</f>
        <v>T3</v>
      </c>
      <c r="J36" s="136" t="str">
        <f>IF(_epmOfflineCondition_,"Y",_xll.EVPRO($B$1,$H36,"CALC"))</f>
        <v>Y</v>
      </c>
      <c r="K36" s="104"/>
      <c r="L36" s="59"/>
      <c r="M36" s="59"/>
      <c r="N36" s="106" t="str">
        <f>IF(_epmOfflineCondition_,"Total Operations Expense",IF(_xll.EVDES(H36,$B$1)="#NODATA","",_xll.EVDES(H36,$B$1)))</f>
        <v>Total Operations Expense</v>
      </c>
      <c r="O36" s="112">
        <f t="shared" ref="O36:Z36" si="0">SUM(O34:O35)</f>
        <v>23392.05</v>
      </c>
      <c r="P36" s="112">
        <f t="shared" si="0"/>
        <v>27392.42</v>
      </c>
      <c r="Q36" s="112">
        <f t="shared" si="0"/>
        <v>35007.519999999997</v>
      </c>
      <c r="R36" s="112">
        <f t="shared" si="0"/>
        <v>34620.400000000001</v>
      </c>
      <c r="S36" s="112">
        <f t="shared" si="0"/>
        <v>39547.480000000003</v>
      </c>
      <c r="T36" s="112">
        <f t="shared" si="0"/>
        <v>33491.18</v>
      </c>
      <c r="U36" s="112">
        <f t="shared" si="0"/>
        <v>38537.96</v>
      </c>
      <c r="V36" s="112">
        <f t="shared" si="0"/>
        <v>24552.51</v>
      </c>
      <c r="W36" s="112">
        <f t="shared" si="0"/>
        <v>18231.64</v>
      </c>
      <c r="X36" s="112">
        <f t="shared" si="0"/>
        <v>23723.67</v>
      </c>
      <c r="Y36" s="112">
        <f t="shared" si="0"/>
        <v>29131.19</v>
      </c>
      <c r="Z36" s="112">
        <f t="shared" si="0"/>
        <v>42480.82</v>
      </c>
      <c r="AA36" s="112">
        <f>IF($I36="B1","",SUM(O36:Z36))</f>
        <v>370108.83999999997</v>
      </c>
      <c r="AB36" s="113">
        <f>IF(AA36=0,"",IFERROR(AA36/AA$19,""))</f>
        <v>3.1084540453997576E-2</v>
      </c>
      <c r="AC36" s="11"/>
      <c r="AD36" s="112">
        <f>SUM(AD34:AD35)</f>
        <v>275178.260580328</v>
      </c>
      <c r="AE36" s="113">
        <f>IF(AD36=0,"",IFERROR(AD36/AD$19,""))</f>
        <v>3.3024027176652801E-2</v>
      </c>
      <c r="AF36" s="114">
        <f>IF(AND($AA36="",AD36=""),"",$AA36-AD36)</f>
        <v>94930.579419671965</v>
      </c>
      <c r="AG36" s="112">
        <f>SUM(AG34:AG35)</f>
        <v>166266.94</v>
      </c>
      <c r="AH36" s="113">
        <f>IF(AG36=0,"",IFERROR(AG36/AG$19,""))</f>
        <v>3.1892561303826276E-2</v>
      </c>
      <c r="AI36" s="114">
        <f>IF(AND($AA36="",AG36=""),"",$AA36-AG36)</f>
        <v>203841.89999999997</v>
      </c>
      <c r="AJ36" s="415">
        <f>IFERROR(AA36/AA$20,0)</f>
        <v>7.6817941054379402</v>
      </c>
      <c r="AK36" s="416">
        <f>IFERROR(AD36/AD$20,0)</f>
        <v>5.711462444589622</v>
      </c>
      <c r="AL36" s="417">
        <f>IFERROR(AG36/AG$20,0)</f>
        <v>3.4415246729590994</v>
      </c>
      <c r="AM36" s="418" t="str">
        <f>+IFERROR(ROUND(($AB36-AE36)*100,2)&amp;" pts.",0)</f>
        <v>-0.19 pts.</v>
      </c>
      <c r="AN36" s="543" t="str">
        <f>+IFERROR(ROUND(($AB36-AH36)*100,2)&amp;" pts.",0)</f>
        <v>-0.08 pts.</v>
      </c>
      <c r="AO36" s="11"/>
    </row>
    <row r="37" spans="1:41" x14ac:dyDescent="0.35">
      <c r="A37" s="65" t="s">
        <v>25</v>
      </c>
      <c r="B37" s="66"/>
      <c r="C37" s="11"/>
      <c r="D37" s="11"/>
      <c r="E37" s="11"/>
      <c r="F37" s="11"/>
      <c r="G37" s="11"/>
      <c r="H37" s="11"/>
      <c r="I37" s="59"/>
      <c r="J37" s="59"/>
      <c r="K37" s="11"/>
      <c r="L37" s="59"/>
      <c r="M37" s="59"/>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row>
    <row r="38" spans="1:41" x14ac:dyDescent="0.35">
      <c r="A38" s="65" t="s">
        <v>26</v>
      </c>
      <c r="B38" s="66"/>
      <c r="C38" s="11"/>
      <c r="D38" s="11"/>
      <c r="E38" s="11"/>
      <c r="F38" s="11"/>
      <c r="G38" s="11"/>
      <c r="H38" s="88" t="s">
        <v>79</v>
      </c>
      <c r="I38" s="59"/>
      <c r="J38" s="59"/>
      <c r="K38" s="11"/>
      <c r="L38" s="59"/>
      <c r="M38" s="59"/>
      <c r="N38" s="104" t="str">
        <f>N36&amp;" - Check"</f>
        <v>Total Operations Expense - Check</v>
      </c>
      <c r="O38" s="209">
        <f>IF(_epmOfflineCondition_,0,_xll.EVGTS($B$1,1,$B$3,$B$5,$B$7,$B$9,O$16,O$17,O$18,$B$6,$H38)-O36)</f>
        <v>0</v>
      </c>
      <c r="P38" s="209">
        <f>IF(_epmOfflineCondition_,0,_xll.EVGTS($B$1,1,$B$3,$B$5,$B$7,$B$9,P$16,P$17,P$18,$B$6,$H38)-P36)</f>
        <v>0</v>
      </c>
      <c r="Q38" s="209">
        <f>IF(_epmOfflineCondition_,0,_xll.EVGTS($B$1,1,$B$3,$B$5,$B$7,$B$9,Q$16,Q$17,Q$18,$B$6,$H38)-Q36)</f>
        <v>0</v>
      </c>
      <c r="R38" s="209">
        <f>IF(_epmOfflineCondition_,0,_xll.EVGTS($B$1,1,$B$3,$B$5,$B$7,$B$9,R$16,R$17,R$18,$B$6,$H38)-R36)</f>
        <v>0</v>
      </c>
      <c r="S38" s="209">
        <f>IF(_epmOfflineCondition_,0,_xll.EVGTS($B$1,1,$B$3,$B$5,$B$7,$B$9,S$16,S$17,S$18,$B$6,$H38)-S36)</f>
        <v>0</v>
      </c>
      <c r="T38" s="209">
        <f>IF(_epmOfflineCondition_,0,_xll.EVGTS($B$1,1,$B$3,$B$5,$B$7,$B$9,T$16,T$17,T$18,$B$6,$H38)-T36)</f>
        <v>0</v>
      </c>
      <c r="U38" s="209">
        <f>IF(_epmOfflineCondition_,0,_xll.EVGTS($B$1,1,$B$3,$B$5,$B$7,$B$9,U$16,U$17,U$18,$B$6,$H38)-U36)</f>
        <v>0</v>
      </c>
      <c r="V38" s="209">
        <f>IF(_epmOfflineCondition_,0,_xll.EVGTS($B$1,1,$B$3,$B$5,$B$7,$B$9,V$16,V$17,V$18,$B$6,$H38)-V36)</f>
        <v>0</v>
      </c>
      <c r="W38" s="209">
        <f>IF(_epmOfflineCondition_,0,_xll.EVGTS($B$1,1,$B$3,$B$5,$B$7,$B$9,W$16,W$17,W$18,$B$6,$H38)-W36)</f>
        <v>0</v>
      </c>
      <c r="X38" s="209">
        <f>IF(_epmOfflineCondition_,0,_xll.EVGTS($B$1,1,$B$3,$B$5,$B$7,$B$9,X$16,X$17,X$18,$B$6,$H38)-X36)</f>
        <v>0</v>
      </c>
      <c r="Y38" s="209">
        <f>IF(_epmOfflineCondition_,0,_xll.EVGTS($B$1,1,$B$3,$B$5,$B$7,$B$9,Y$16,Y$17,Y$18,$B$6,$H38)-Y36)</f>
        <v>0</v>
      </c>
      <c r="Z38" s="209">
        <f>IF(_epmOfflineCondition_,0,_xll.EVGTS($B$1,1,$B$3,$B$5,$B$7,$B$9,Z$16,Z$17,Z$18,$B$6,$H38)-Z36)</f>
        <v>0</v>
      </c>
      <c r="AA38" s="209">
        <f>IF($I38="B1","",SUM(O38:Z38))</f>
        <v>0</v>
      </c>
      <c r="AB38" s="100"/>
      <c r="AC38" s="11"/>
      <c r="AD38" s="209">
        <f>IF(_epmOfflineCondition_,0,_xll.EVGTS($B$1,1,$B$3,$B$5,$B$7,$B$9,AD$16,AD$17,AD$18,$B$6,$H38)-AD36)</f>
        <v>0</v>
      </c>
      <c r="AE38" s="100"/>
      <c r="AF38" s="91"/>
      <c r="AG38" s="209">
        <f>IF(_epmOfflineCondition_,0,_xll.EVGTS($B$1,1,$B$3,$B$5,$B$7,$B$9,AG$16,AG$17,AG$18,$B$6,$H38)-AG36)</f>
        <v>0</v>
      </c>
      <c r="AH38" s="100"/>
      <c r="AI38" s="91"/>
      <c r="AJ38" s="11"/>
      <c r="AK38" s="11"/>
      <c r="AL38" s="11"/>
      <c r="AM38" s="11"/>
      <c r="AN38" s="11"/>
      <c r="AO38" s="11"/>
    </row>
    <row r="39" spans="1:41" x14ac:dyDescent="0.35">
      <c r="A39" s="65" t="s">
        <v>27</v>
      </c>
      <c r="B39" s="66"/>
      <c r="C39" s="11"/>
      <c r="D39" s="11"/>
      <c r="E39" s="11"/>
      <c r="F39" s="11"/>
      <c r="G39" s="11"/>
      <c r="H39" s="11"/>
      <c r="I39" s="59"/>
      <c r="J39" s="59"/>
      <c r="K39" s="11"/>
      <c r="L39" s="59"/>
      <c r="M39" s="59"/>
      <c r="N39" s="59"/>
      <c r="O39" s="59"/>
      <c r="P39" s="59"/>
      <c r="Q39" s="59"/>
      <c r="R39" s="59"/>
      <c r="S39" s="59"/>
      <c r="T39" s="59"/>
      <c r="U39" s="59"/>
      <c r="V39" s="59"/>
      <c r="W39" s="59"/>
      <c r="X39" s="59"/>
      <c r="Y39" s="59"/>
      <c r="Z39" s="59"/>
      <c r="AA39" s="59"/>
      <c r="AB39" s="59"/>
      <c r="AC39" s="11"/>
      <c r="AD39" s="59"/>
      <c r="AE39" s="59"/>
      <c r="AF39" s="59"/>
      <c r="AG39" s="59"/>
      <c r="AH39" s="59"/>
      <c r="AI39" s="59"/>
      <c r="AJ39" s="11"/>
      <c r="AK39" s="11"/>
      <c r="AL39" s="11"/>
      <c r="AM39" s="11"/>
      <c r="AN39" s="11"/>
      <c r="AO39" s="11"/>
    </row>
    <row r="40" spans="1:41" x14ac:dyDescent="0.35">
      <c r="A40" s="65" t="s">
        <v>28</v>
      </c>
      <c r="B40" s="66"/>
      <c r="C40" s="11"/>
      <c r="D40" s="11"/>
      <c r="E40" s="11"/>
      <c r="F40" s="11"/>
      <c r="G40" s="11"/>
      <c r="H40" s="11"/>
      <c r="I40" s="59"/>
      <c r="J40" s="59"/>
      <c r="K40" s="11"/>
      <c r="L40" s="59"/>
      <c r="M40" s="59"/>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row>
    <row r="41" spans="1:41" x14ac:dyDescent="0.35">
      <c r="A41" s="65" t="s">
        <v>29</v>
      </c>
      <c r="B41" s="66"/>
      <c r="C41" s="11"/>
      <c r="D41" s="11"/>
      <c r="E41" s="11"/>
      <c r="F41" s="11"/>
      <c r="G41" s="11"/>
      <c r="H41" s="11"/>
      <c r="I41" s="59"/>
      <c r="J41" s="59"/>
      <c r="K41" s="11"/>
      <c r="L41" s="59"/>
      <c r="M41" s="59"/>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row>
    <row r="42" spans="1:41" x14ac:dyDescent="0.35">
      <c r="A42" s="65" t="s">
        <v>30</v>
      </c>
      <c r="B42" s="66" t="s">
        <v>78</v>
      </c>
      <c r="C42" s="11"/>
      <c r="D42" s="11"/>
      <c r="E42" s="11"/>
      <c r="F42" s="11"/>
      <c r="G42" s="11"/>
      <c r="H42" s="11"/>
      <c r="I42" s="59"/>
      <c r="J42" s="59"/>
      <c r="K42" s="11"/>
      <c r="L42" s="59"/>
      <c r="M42" s="59"/>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row>
    <row r="43" spans="1:41" x14ac:dyDescent="0.35">
      <c r="A43" s="65" t="s">
        <v>31</v>
      </c>
      <c r="B43" s="66" t="s">
        <v>78</v>
      </c>
      <c r="C43" s="11"/>
      <c r="D43" s="11"/>
      <c r="E43" s="11"/>
      <c r="F43" s="11"/>
      <c r="G43" s="11"/>
      <c r="H43" s="11"/>
      <c r="I43" s="59"/>
      <c r="J43" s="59"/>
      <c r="K43" s="11"/>
      <c r="L43" s="59"/>
      <c r="M43" s="59"/>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row>
    <row r="44" spans="1:41" x14ac:dyDescent="0.35">
      <c r="A44" s="65" t="s">
        <v>32</v>
      </c>
      <c r="B44" s="66"/>
      <c r="C44" s="11"/>
      <c r="D44" s="11"/>
      <c r="E44" s="11"/>
      <c r="F44" s="11"/>
      <c r="G44" s="11"/>
      <c r="H44" s="11"/>
      <c r="I44" s="59"/>
      <c r="J44" s="59"/>
      <c r="K44" s="11"/>
      <c r="L44" s="59"/>
      <c r="M44" s="59"/>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row>
    <row r="45" spans="1:41" x14ac:dyDescent="0.35">
      <c r="A45" s="65" t="s">
        <v>33</v>
      </c>
      <c r="B45" s="66"/>
      <c r="C45" s="11"/>
      <c r="D45" s="11"/>
      <c r="E45" s="11"/>
      <c r="F45" s="11"/>
      <c r="G45" s="11"/>
      <c r="H45" s="11"/>
      <c r="I45" s="59"/>
      <c r="J45" s="59"/>
      <c r="K45" s="11"/>
      <c r="L45" s="59"/>
      <c r="M45" s="59"/>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row>
    <row r="46" spans="1:41" x14ac:dyDescent="0.35">
      <c r="A46" s="65" t="s">
        <v>34</v>
      </c>
      <c r="B46" s="66"/>
      <c r="C46" s="11"/>
      <c r="D46" s="11"/>
      <c r="E46" s="11"/>
      <c r="F46" s="11"/>
      <c r="G46" s="11"/>
      <c r="H46" s="59"/>
      <c r="I46" s="59"/>
      <c r="J46" s="11"/>
      <c r="K46" s="11"/>
      <c r="L46" s="59"/>
      <c r="M46" s="59"/>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row>
    <row r="47" spans="1:41" x14ac:dyDescent="0.35">
      <c r="A47" s="65" t="s">
        <v>35</v>
      </c>
      <c r="B47" s="66"/>
      <c r="C47" s="11"/>
      <c r="D47" s="11"/>
      <c r="E47" s="11"/>
      <c r="F47" s="11"/>
      <c r="G47" s="11"/>
      <c r="H47" s="59"/>
      <c r="I47" s="59"/>
      <c r="J47" s="11"/>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35">
      <c r="A48" s="65" t="s">
        <v>36</v>
      </c>
      <c r="B48" s="66"/>
      <c r="C48" s="11"/>
      <c r="D48" s="11"/>
      <c r="E48" s="11"/>
      <c r="F48" s="11"/>
      <c r="G48" s="11"/>
      <c r="H48" s="59"/>
      <c r="I48" s="59"/>
      <c r="J48" s="11"/>
      <c r="K48" s="11"/>
      <c r="L48" s="59"/>
      <c r="M48" s="59"/>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row>
    <row r="49" spans="1:41" x14ac:dyDescent="0.35">
      <c r="A49" s="65" t="s">
        <v>37</v>
      </c>
      <c r="B49" s="66"/>
      <c r="C49" s="11"/>
      <c r="D49" s="11"/>
      <c r="E49" s="11"/>
      <c r="F49" s="11"/>
      <c r="G49" s="11"/>
      <c r="H49" s="59"/>
      <c r="I49" s="59"/>
      <c r="J49" s="11"/>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35">
      <c r="A50" s="65" t="s">
        <v>38</v>
      </c>
      <c r="B50" s="66"/>
      <c r="C50" s="11"/>
      <c r="D50" s="11"/>
      <c r="E50" s="11"/>
      <c r="F50" s="11"/>
      <c r="G50" s="11"/>
      <c r="H50" s="59"/>
      <c r="I50" s="59"/>
      <c r="J50" s="11"/>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35">
      <c r="A51" s="65" t="s">
        <v>39</v>
      </c>
      <c r="B51" s="66"/>
      <c r="C51" s="11"/>
      <c r="D51" s="11"/>
      <c r="E51" s="11"/>
      <c r="F51" s="11"/>
      <c r="G51" s="11"/>
      <c r="H51" s="59"/>
      <c r="I51" s="59"/>
      <c r="J51" s="11"/>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35">
      <c r="A52" s="65" t="s">
        <v>40</v>
      </c>
      <c r="B52" s="66"/>
      <c r="C52" s="11"/>
      <c r="D52" s="11"/>
      <c r="E52" s="11"/>
      <c r="F52" s="11"/>
      <c r="G52" s="11"/>
      <c r="H52" s="59"/>
      <c r="I52" s="59"/>
      <c r="J52" s="11"/>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35">
      <c r="A53" s="65" t="s">
        <v>41</v>
      </c>
      <c r="B53" s="66"/>
      <c r="C53" s="11"/>
      <c r="D53" s="11"/>
      <c r="E53" s="11"/>
      <c r="F53" s="11"/>
      <c r="G53" s="11"/>
      <c r="H53" s="59"/>
      <c r="I53" s="59"/>
      <c r="J53" s="11"/>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42</v>
      </c>
      <c r="B54" s="66"/>
      <c r="C54" s="11"/>
      <c r="D54" s="11"/>
      <c r="E54" s="11"/>
      <c r="F54" s="11"/>
      <c r="G54" s="11"/>
      <c r="H54" s="59"/>
      <c r="I54" s="59"/>
      <c r="J54" s="11"/>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3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3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sheetData>
  <sheetProtection algorithmName="SHA-512" hashValue="9YaIFpox1VZfG415AfHujp4CmsYVRk8tFJVyfYDrjRx212xYoI78ua6rj0nJ9bfO7ZXInOpoLl4KbOb1DS8smg==" saltValue="XJW++DSWoXM9BGuJ4yalQg==" spinCount="100000" sheet="1" scenarios="1"/>
  <mergeCells count="2">
    <mergeCell ref="AD31:AE31"/>
    <mergeCell ref="AG31:AH31"/>
  </mergeCells>
  <dataValidations disablePrompts="1" count="2">
    <dataValidation type="list" allowBlank="1" sqref="B29" xr:uid="{00000000-0002-0000-2C00-000000000000}">
      <formula1>"SELF,ALL,BAS,DEP,BASMEMBERS,MEMBERS,NOEXPAND,GDEP"</formula1>
    </dataValidation>
    <dataValidation type="list" allowBlank="1" sqref="B28" xr:uid="{00000000-0002-0000-2C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1443"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1443" r:id="rId7" name="FPMExcelClientSheetOptionstb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9">
    <pageSetUpPr fitToPage="1"/>
  </sheetPr>
  <dimension ref="A1:AO9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40.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519</v>
      </c>
      <c r="C6" s="11" t="str">
        <f>IF(_epmOfflineCondition_,"Non-Operating Income &amp; Expenses",_xll.EVDES(B6,$B$1))</f>
        <v>Non-Operating Income &amp; Expenses</v>
      </c>
      <c r="D6" s="11"/>
      <c r="E6" s="58" t="str">
        <f>IF(_epmOfflineCondition_,"",_xll.EVPRO($B$1,$B$6,$F$6))</f>
        <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IF(_epmOfflineCondition_,"'Non_Op'!$B$2:$B$10",_xll.EVRNG($B$2:$B$10))</f>
        <v>'Non_Op'!$B$2:$B$10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IF(_epmOfflineCondition_,"'Non_Op'!$O$16:$AN$18",_xll.EVRNG($O$16:$AN$18))</f>
        <v>'Non_Op'!$O$16:$AN$18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IF(_epmOfflineCondition_,"'Non_Op'!$H$34:$H$64",_xll.EVRNG(H34:H64))</f>
        <v>'Non_Op'!$H$34:$H$64</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583</v>
      </c>
      <c r="H20" s="67" t="s">
        <v>584</v>
      </c>
      <c r="I20" s="68" t="str">
        <f>IF(_epmOfflineCondition_,"T1",_xll.EVPRO($B$1,$H20,"STYLE"))</f>
        <v>T1</v>
      </c>
      <c r="J20" s="68" t="str">
        <f>IF(_epmOfflineCondition_,"Y",_xll.EVPRO($B$1,$H20,"CALC"))</f>
        <v>Y</v>
      </c>
      <c r="K20" s="67"/>
      <c r="L20" s="68"/>
      <c r="M20" s="68"/>
      <c r="N20" s="67" t="str">
        <f>IF(_epmOfflineCondition_,"Net Income-Development &amp; Renovation Projects",IF(_xll.EVDES(H20,$B$1)="#NODATA","",_xll.EVDES(H20,$B$1))&amp;"-"&amp;_xll.EVDES(G20))</f>
        <v>Net Income-Development &amp; Renovation Projects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67" t="s">
        <v>749</v>
      </c>
      <c r="H21" s="67">
        <v>904100</v>
      </c>
      <c r="I21" s="68"/>
      <c r="J21" s="68"/>
      <c r="K21" s="67"/>
      <c r="L21" s="68"/>
      <c r="M21" s="68"/>
      <c r="N21" s="67" t="str">
        <f>IF(_epmOfflineCondition_,"Available rooms",_xll.EVDES(H21))</f>
        <v>Available rooms</v>
      </c>
      <c r="O21" s="69">
        <f>IF(_epmOfflineCondition_,4092,_xll.EVGTS($B$1,1,$B$3,$B$5,$B$7,$B$9,O$16,O$17,O$18,$G$21,$H$21))</f>
        <v>4092</v>
      </c>
      <c r="P21" s="69">
        <f>IF(_epmOfflineCondition_,3696,_xll.EVGTS($B$1,1,$B$3,$B$5,$B$7,$B$9,P$16,P$17,P$18,$G$21,$H$21))</f>
        <v>3696</v>
      </c>
      <c r="Q21" s="69">
        <f>IF(_epmOfflineCondition_,4092,_xll.EVGTS($B$1,1,$B$3,$B$5,$B$7,$B$9,Q$16,Q$17,Q$18,$G$21,$H$21))</f>
        <v>4092</v>
      </c>
      <c r="R21" s="69">
        <f>IF(_epmOfflineCondition_,3960,_xll.EVGTS($B$1,1,$B$3,$B$5,$B$7,$B$9,R$16,R$17,R$18,$G$21,$H$21))</f>
        <v>3960</v>
      </c>
      <c r="S21" s="69">
        <f>IF(_epmOfflineCondition_,4092,_xll.EVGTS($B$1,1,$B$3,$B$5,$B$7,$B$9,S$16,S$17,S$18,$G$21,$H$21))</f>
        <v>4092</v>
      </c>
      <c r="T21" s="69">
        <f>IF(_epmOfflineCondition_,3960,_xll.EVGTS($B$1,1,$B$3,$B$5,$B$7,$B$9,T$16,T$17,T$18,$G$21,$H$21))</f>
        <v>3960</v>
      </c>
      <c r="U21" s="69">
        <f>IF(_epmOfflineCondition_,4092,_xll.EVGTS($B$1,1,$B$3,$B$5,$B$7,$B$9,U$16,U$17,U$18,$G$21,$H$21))</f>
        <v>4092</v>
      </c>
      <c r="V21" s="69">
        <f>IF(_epmOfflineCondition_,4092,_xll.EVGTS($B$1,1,$B$3,$B$5,$B$7,$B$9,V$16,V$17,V$18,$G$21,$H$21))</f>
        <v>4092</v>
      </c>
      <c r="W21" s="69">
        <f>IF(_epmOfflineCondition_,3960,_xll.EVGTS($B$1,1,$B$3,$B$5,$B$7,$B$9,W$16,W$17,W$18,$G$21,$H$21))</f>
        <v>3960</v>
      </c>
      <c r="X21" s="69">
        <f>IF(_epmOfflineCondition_,4092,_xll.EVGTS($B$1,1,$B$3,$B$5,$B$7,$B$9,X$16,X$17,X$18,$G$21,$H$21))</f>
        <v>4092</v>
      </c>
      <c r="Y21" s="69">
        <f>IF(_epmOfflineCondition_,3960,_xll.EVGTS($B$1,1,$B$3,$B$5,$B$7,$B$9,Y$16,Y$17,Y$18,$G$21,$H$21))</f>
        <v>3960</v>
      </c>
      <c r="Z21" s="69">
        <f>IF(_epmOfflineCondition_,4092,_xll.EVGTS($B$1,1,$B$3,$B$5,$B$7,$B$9,Z$16,Z$17,Z$18,$G$21,$H$21))</f>
        <v>4092</v>
      </c>
      <c r="AA21" s="69">
        <f>SUM(O21:Z21)</f>
        <v>48180</v>
      </c>
      <c r="AB21" s="67"/>
      <c r="AC21" s="67"/>
      <c r="AD21" s="69">
        <f>IF(_epmOfflineCondition_,48180,_xll.EVGTS($B$1,1,$B$3,$B$5,$B$7,$B$9,AD$16,AD$17,AD$18,$G$21,$H$21))</f>
        <v>48180</v>
      </c>
      <c r="AE21" s="67"/>
      <c r="AF21" s="67"/>
      <c r="AG21" s="69">
        <f>IF(_epmOfflineCondition_,48312,_xll.EVGTS($B$1,1,$B$3,$B$5,$B$7,$B$9,AG$16,AG$17,AG$18,$G$21,$H$21))</f>
        <v>48312</v>
      </c>
      <c r="AH21" s="67"/>
      <c r="AI21" s="67"/>
      <c r="AJ21" s="11"/>
      <c r="AK21" s="11"/>
      <c r="AL21" s="11"/>
      <c r="AM21" s="11"/>
      <c r="AN21" s="11"/>
      <c r="AO21" s="11"/>
    </row>
    <row r="22" spans="1:41" hidden="1" outlineLevel="1" x14ac:dyDescent="0.35">
      <c r="A22" s="65" t="s">
        <v>7</v>
      </c>
      <c r="B22" s="66" t="str">
        <f>IF(_epmOfflineCondition_,"'Non_Op'!$A$36:$F$41",_xll.EVRNG(A36:F41))</f>
        <v>'Non_Op'!$A$36:$F$41</v>
      </c>
      <c r="C22" s="11"/>
      <c r="D22" s="11"/>
      <c r="E22" s="11"/>
      <c r="F22" s="11"/>
      <c r="G22" s="53" t="s">
        <v>589</v>
      </c>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IF(_epmOfflineCondition_,"'Non_Op'!$A$45:$B$66",_xll.EVRNG($A$45:$B$66))</f>
        <v>'Non_Op'!$A$45:$B$66</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IF(_epmOfflineCondition_,"Non-Operating Income &amp; Expenses Department",IF(_xll.EVDES(B6,$B$1)="#NODATA","",_xll.EVDES(B6,$B$1)&amp;" Department"))</f>
        <v>Non-Operating Income &amp; Expenses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549</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544</v>
      </c>
      <c r="I33" s="59" t="str">
        <f>IF(_epmOfflineCondition_,"B1",_xll.EVPRO($B$1,$H33,"STYLE"))</f>
        <v>B1</v>
      </c>
      <c r="J33" s="59" t="str">
        <f>IF(_epmOfflineCondition_,"Y",_xll.EVPRO($B$1,$H33,"CALC"))</f>
        <v>Y</v>
      </c>
      <c r="K33" s="11"/>
      <c r="L33" s="11"/>
      <c r="M33" s="11"/>
      <c r="N33" s="105" t="str">
        <f>IF(_epmOfflineCondition_,"Income",IF(_xll.EVDES(H33,$B$1)="#NODATA","",_xll.EVDES(H33,$B$1)))</f>
        <v>Income</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522</v>
      </c>
      <c r="I34" s="122" t="str">
        <f>IF(_epmOfflineCondition_,"N",_xll.EVPRO($B$1,$H34,"STYLE"))</f>
        <v>N</v>
      </c>
      <c r="J34" s="122" t="str">
        <f>IF(_epmOfflineCondition_,"N",_xll.EVPRO($B$1,$H34,"CALC"))</f>
        <v>N</v>
      </c>
      <c r="K34" s="179" t="str">
        <f t="shared" ref="K34:K64" si="0">IF(AND(I34&gt;="T4"),"&gt;","")</f>
        <v/>
      </c>
      <c r="L34" s="90" t="str">
        <f>IF(_epmOfflineCondition_,"804100",_xll.EVPRO($B$1,H34,"JDEID"))</f>
        <v>804100</v>
      </c>
      <c r="M34" s="90" t="str">
        <f>IF(_epmOfflineCondition_,"790300",IF(AND(I34="N",J34="N"),_xll.EVPRO($B$1,H34,"PSFTID"),""))</f>
        <v>790300</v>
      </c>
      <c r="N34" s="90" t="str">
        <f>IF(_epmOfflineCondition_,"Cost Recovery Income (CAM)",IF(_xll.EVDES(H34,$B$1)="#NODATA","",_xll.EVDES(H34,$B$1)))</f>
        <v>Cost Recovery Income (CAM)</v>
      </c>
      <c r="O34" s="143"/>
      <c r="P34" s="143"/>
      <c r="Q34" s="143"/>
      <c r="R34" s="143"/>
      <c r="S34" s="143"/>
      <c r="T34" s="143"/>
      <c r="U34" s="143"/>
      <c r="V34" s="143"/>
      <c r="W34" s="143"/>
      <c r="X34" s="143"/>
      <c r="Y34" s="143"/>
      <c r="Z34" s="143"/>
      <c r="AA34" s="143">
        <f t="shared" ref="AA34:AA67" si="1">IF($I34="B1","",SUM(O34:Z34))</f>
        <v>0</v>
      </c>
      <c r="AB34" s="144" t="str">
        <f t="shared" ref="AB34:AB67" si="2">IF(AA34=0,"",IFERROR(AA34/AA$19,""))</f>
        <v/>
      </c>
      <c r="AC34" s="140"/>
      <c r="AD34" s="143"/>
      <c r="AE34" s="144" t="str">
        <f t="shared" ref="AE34:AE67" si="3">IF(AD34=0,"",IFERROR(AD34/AD$19,""))</f>
        <v/>
      </c>
      <c r="AF34" s="145">
        <f t="shared" ref="AF34:AF67" si="4">IF(AND($AA34="",AD34=""),"",$AA34-AD34)</f>
        <v>0</v>
      </c>
      <c r="AG34" s="143"/>
      <c r="AH34" s="144" t="str">
        <f t="shared" ref="AH34:AH67" si="5">IF(AG34=0,"",IFERROR(AG34/AG$19,""))</f>
        <v/>
      </c>
      <c r="AI34" s="145">
        <f t="shared" ref="AI34:AI67" si="6">IF(AND($AA34="",AG34=""),"",$AA34-AG34)</f>
        <v>0</v>
      </c>
      <c r="AJ34" s="440">
        <f t="shared" ref="AJ34:AJ67" si="7">IFERROR(AA34/AA$21,0)</f>
        <v>0</v>
      </c>
      <c r="AK34" s="441">
        <f t="shared" ref="AK34:AK67" si="8">IFERROR(AD34/AD$21,0)</f>
        <v>0</v>
      </c>
      <c r="AL34" s="442">
        <f t="shared" ref="AL34:AL67" si="9">IFERROR(AG34/AG$21,0)</f>
        <v>0</v>
      </c>
      <c r="AM34" s="443">
        <f t="shared" ref="AM34:AM67" si="10">+IFERROR(ROUND(($AB34-AE34)*100,2)&amp;" pts.",0)</f>
        <v>0</v>
      </c>
      <c r="AN34" s="444">
        <f t="shared" ref="AN34:AN67" si="11">+IFERROR(ROUND(($AB34-AH34)*100,2)&amp;" pts.",0)</f>
        <v>0</v>
      </c>
      <c r="AO34" s="11"/>
    </row>
    <row r="35" spans="1:41" x14ac:dyDescent="0.35">
      <c r="A35" s="97" t="s">
        <v>92</v>
      </c>
      <c r="B35" s="98" t="s">
        <v>93</v>
      </c>
      <c r="C35" s="98" t="s">
        <v>94</v>
      </c>
      <c r="D35" s="98" t="s">
        <v>95</v>
      </c>
      <c r="E35" s="98" t="s">
        <v>96</v>
      </c>
      <c r="F35" s="99" t="s">
        <v>97</v>
      </c>
      <c r="G35" s="11"/>
      <c r="H35" s="88" t="s">
        <v>523</v>
      </c>
      <c r="I35" s="122" t="str">
        <f>IF(_epmOfflineCondition_,"N",_xll.EVPRO($B$1,$H35,"STYLE"))</f>
        <v>N</v>
      </c>
      <c r="J35" s="122" t="str">
        <f>IF(_epmOfflineCondition_,"N",_xll.EVPRO($B$1,$H35,"CALC"))</f>
        <v>N</v>
      </c>
      <c r="K35" s="179" t="str">
        <f t="shared" si="0"/>
        <v/>
      </c>
      <c r="L35" s="90" t="str">
        <f>IF(_epmOfflineCondition_,"804110",_xll.EVPRO($B$1,H35,"JDEID"))</f>
        <v>804110</v>
      </c>
      <c r="M35" s="90" t="str">
        <f>IF(_epmOfflineCondition_,"890040",IF(AND(I35="N",J35="N"),_xll.EVPRO($B$1,H35,"PSFTID"),""))</f>
        <v>890040</v>
      </c>
      <c r="N35" s="90" t="str">
        <f>IF(_epmOfflineCondition_,"Interest Income (Restricted &amp; FF&amp;E Accts)",IF(_xll.EVDES(H35,$B$1)="#NODATA","",_xll.EVDES(H35,$B$1)))</f>
        <v>Interest Income (Restricted &amp; FF&amp;E Accts)</v>
      </c>
      <c r="O35" s="143"/>
      <c r="P35" s="143"/>
      <c r="Q35" s="143"/>
      <c r="R35" s="143"/>
      <c r="S35" s="143"/>
      <c r="T35" s="143"/>
      <c r="U35" s="143"/>
      <c r="V35" s="143"/>
      <c r="W35" s="143"/>
      <c r="X35" s="143"/>
      <c r="Y35" s="143"/>
      <c r="Z35" s="143"/>
      <c r="AA35" s="143">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524</v>
      </c>
      <c r="I36" s="122" t="str">
        <f>IF(_epmOfflineCondition_,"N",_xll.EVPRO($B$1,$H36,"STYLE"))</f>
        <v>N</v>
      </c>
      <c r="J36" s="122" t="str">
        <f>IF(_epmOfflineCondition_,"N",_xll.EVPRO($B$1,$H36,"CALC"))</f>
        <v>N</v>
      </c>
      <c r="K36" s="179" t="str">
        <f t="shared" si="0"/>
        <v/>
      </c>
      <c r="L36" s="90" t="str">
        <f>IF(_epmOfflineCondition_,"804120",_xll.EVPRO($B$1,H36,"JDEID"))</f>
        <v>804120</v>
      </c>
      <c r="M36" s="90" t="str">
        <f>IF(_epmOfflineCondition_,"890309",IF(AND(I36="N",J36="N"),_xll.EVPRO($B$1,H36,"PSFTID"),""))</f>
        <v>890309</v>
      </c>
      <c r="N36" s="90" t="str">
        <f>IF(_epmOfflineCondition_,"Other Income",IF(_xll.EVDES(H36,$B$1)="#NODATA","",_xll.EVDES(H36,$B$1)))</f>
        <v>Other Income</v>
      </c>
      <c r="O36" s="217"/>
      <c r="P36" s="217"/>
      <c r="Q36" s="217"/>
      <c r="R36" s="217"/>
      <c r="S36" s="217"/>
      <c r="T36" s="217"/>
      <c r="U36" s="217"/>
      <c r="V36" s="217"/>
      <c r="W36" s="217"/>
      <c r="X36" s="217"/>
      <c r="Y36" s="217"/>
      <c r="Z36" s="217"/>
      <c r="AA36" s="217">
        <f t="shared" si="1"/>
        <v>0</v>
      </c>
      <c r="AB36" s="219" t="str">
        <f t="shared" si="2"/>
        <v/>
      </c>
      <c r="AC36" s="140"/>
      <c r="AD36" s="217"/>
      <c r="AE36" s="219" t="str">
        <f t="shared" si="3"/>
        <v/>
      </c>
      <c r="AF36" s="220">
        <f t="shared" si="4"/>
        <v>0</v>
      </c>
      <c r="AG36" s="217"/>
      <c r="AH36" s="219" t="str">
        <f t="shared" si="5"/>
        <v/>
      </c>
      <c r="AI36" s="220">
        <f t="shared" si="6"/>
        <v>0</v>
      </c>
      <c r="AJ36" s="449">
        <f t="shared" si="7"/>
        <v>0</v>
      </c>
      <c r="AK36" s="450">
        <f t="shared" si="8"/>
        <v>0</v>
      </c>
      <c r="AL36" s="451">
        <f t="shared" si="9"/>
        <v>0</v>
      </c>
      <c r="AM36" s="452">
        <f t="shared" si="10"/>
        <v>0</v>
      </c>
      <c r="AN36" s="453">
        <f t="shared" si="11"/>
        <v>0</v>
      </c>
      <c r="AO36" s="11"/>
    </row>
    <row r="37" spans="1:41" x14ac:dyDescent="0.35">
      <c r="A37" s="11" t="s">
        <v>100</v>
      </c>
      <c r="B37" s="11"/>
      <c r="C37" s="105" t="s">
        <v>101</v>
      </c>
      <c r="D37" s="11" t="s">
        <v>551</v>
      </c>
      <c r="E37" s="11"/>
      <c r="F37" s="11" t="s">
        <v>98</v>
      </c>
      <c r="G37" s="11"/>
      <c r="H37" s="88" t="s">
        <v>525</v>
      </c>
      <c r="I37" s="188" t="str">
        <f>IF(_epmOfflineCondition_,"T3",_xll.EVPRO($B$1,$H37,"STYLE"))</f>
        <v>T3</v>
      </c>
      <c r="J37" s="188" t="str">
        <f>IF(_epmOfflineCondition_,"Y",_xll.EVPRO($B$1,$H37,"CALC"))</f>
        <v>Y</v>
      </c>
      <c r="K37" s="189" t="str">
        <f t="shared" si="0"/>
        <v/>
      </c>
      <c r="L37" s="190" t="str">
        <f>IF(_epmOfflineCondition_,"804000",_xll.EVPRO($B$1,H37,"JDEID"))</f>
        <v>804000</v>
      </c>
      <c r="M37" s="190" t="str">
        <f>IF(_epmOfflineCondition_,"",IF(AND(I37="N",J37="N"),_xll.EVPRO($B$1,H37,"PSFTID"),""))</f>
        <v/>
      </c>
      <c r="N37" s="190" t="str">
        <f>IF(_epmOfflineCondition_,"Total Income ",IF(_xll.EVDES(H37,$B$1)="#NODATA","",_xll.EVDES(H37,$B$1)))</f>
        <v xml:space="preserve">Total Income </v>
      </c>
      <c r="O37" s="154"/>
      <c r="P37" s="154"/>
      <c r="Q37" s="154"/>
      <c r="R37" s="154"/>
      <c r="S37" s="154"/>
      <c r="T37" s="154"/>
      <c r="U37" s="154"/>
      <c r="V37" s="154"/>
      <c r="W37" s="154"/>
      <c r="X37" s="154"/>
      <c r="Y37" s="154"/>
      <c r="Z37" s="154"/>
      <c r="AA37" s="154">
        <f t="shared" si="1"/>
        <v>0</v>
      </c>
      <c r="AB37" s="155" t="str">
        <f t="shared" si="2"/>
        <v/>
      </c>
      <c r="AC37" s="240"/>
      <c r="AD37" s="154"/>
      <c r="AE37" s="155" t="str">
        <f t="shared" si="3"/>
        <v/>
      </c>
      <c r="AF37" s="156">
        <f t="shared" si="4"/>
        <v>0</v>
      </c>
      <c r="AG37" s="154"/>
      <c r="AH37" s="155" t="str">
        <f t="shared" si="5"/>
        <v/>
      </c>
      <c r="AI37" s="156">
        <f t="shared" si="6"/>
        <v>0</v>
      </c>
      <c r="AJ37" s="246">
        <f t="shared" si="7"/>
        <v>0</v>
      </c>
      <c r="AK37" s="247">
        <f t="shared" si="8"/>
        <v>0</v>
      </c>
      <c r="AL37" s="249">
        <f t="shared" si="9"/>
        <v>0</v>
      </c>
      <c r="AM37" s="433">
        <f t="shared" si="10"/>
        <v>0</v>
      </c>
      <c r="AN37" s="617">
        <f t="shared" si="11"/>
        <v>0</v>
      </c>
      <c r="AO37" s="11"/>
    </row>
    <row r="38" spans="1:41" x14ac:dyDescent="0.35">
      <c r="A38" s="11" t="s">
        <v>105</v>
      </c>
      <c r="B38" s="11"/>
      <c r="C38" s="104" t="s">
        <v>101</v>
      </c>
      <c r="D38" s="11" t="s">
        <v>106</v>
      </c>
      <c r="E38" s="11"/>
      <c r="F38" s="11" t="s">
        <v>98</v>
      </c>
      <c r="G38" s="11"/>
      <c r="H38" s="88" t="s">
        <v>547</v>
      </c>
      <c r="I38" s="610" t="str">
        <f>IF(_epmOfflineCondition_,"B1",_xll.EVPRO($B$1,$H38,"STYLE"))</f>
        <v>B1</v>
      </c>
      <c r="J38" s="610" t="str">
        <f>IF(_epmOfflineCondition_,"Y",_xll.EVPRO($B$1,$H38,"CALC"))</f>
        <v>Y</v>
      </c>
      <c r="K38" s="611" t="str">
        <f t="shared" si="0"/>
        <v/>
      </c>
      <c r="L38" s="611" t="str">
        <f>IF(_epmOfflineCondition_,"",_xll.EVPRO($B$1,H38,"JDEID"))</f>
        <v/>
      </c>
      <c r="M38" s="611" t="str">
        <f>IF(_epmOfflineCondition_,"",IF(AND(I38="N",J38="N"),_xll.EVPRO($B$1,H38,"PSFTID"),""))</f>
        <v/>
      </c>
      <c r="N38" s="611" t="str">
        <f>IF(_epmOfflineCondition_,"Rent",IF(_xll.EVDES(H38,$B$1)="#NODATA","",_xll.EVDES(H38,$B$1)))</f>
        <v>Rent</v>
      </c>
      <c r="O38" s="143"/>
      <c r="P38" s="143"/>
      <c r="Q38" s="143"/>
      <c r="R38" s="143"/>
      <c r="S38" s="143"/>
      <c r="T38" s="143"/>
      <c r="U38" s="143"/>
      <c r="V38" s="143"/>
      <c r="W38" s="143"/>
      <c r="X38" s="143"/>
      <c r="Y38" s="143"/>
      <c r="Z38" s="143"/>
      <c r="AA38" s="143" t="str">
        <f t="shared" si="1"/>
        <v/>
      </c>
      <c r="AB38" s="144" t="str">
        <f t="shared" si="2"/>
        <v/>
      </c>
      <c r="AC38" s="140"/>
      <c r="AD38" s="143"/>
      <c r="AE38" s="144" t="str">
        <f t="shared" si="3"/>
        <v/>
      </c>
      <c r="AF38" s="145" t="str">
        <f t="shared" si="4"/>
        <v/>
      </c>
      <c r="AG38" s="143"/>
      <c r="AH38" s="144" t="str">
        <f t="shared" si="5"/>
        <v/>
      </c>
      <c r="AI38" s="145" t="str">
        <f t="shared" si="6"/>
        <v/>
      </c>
      <c r="AJ38" s="440">
        <f t="shared" si="7"/>
        <v>0</v>
      </c>
      <c r="AK38" s="441">
        <f t="shared" si="8"/>
        <v>0</v>
      </c>
      <c r="AL38" s="442">
        <f t="shared" si="9"/>
        <v>0</v>
      </c>
      <c r="AM38" s="443">
        <f t="shared" si="10"/>
        <v>0</v>
      </c>
      <c r="AN38" s="444">
        <f t="shared" si="11"/>
        <v>0</v>
      </c>
      <c r="AO38" s="11"/>
    </row>
    <row r="39" spans="1:41" x14ac:dyDescent="0.35">
      <c r="A39" s="11" t="s">
        <v>102</v>
      </c>
      <c r="B39" s="11"/>
      <c r="C39" s="104" t="s">
        <v>101</v>
      </c>
      <c r="D39" s="11" t="s">
        <v>106</v>
      </c>
      <c r="E39" s="11"/>
      <c r="F39" s="11" t="s">
        <v>98</v>
      </c>
      <c r="G39" s="11"/>
      <c r="H39" s="88" t="s">
        <v>526</v>
      </c>
      <c r="I39" s="122" t="str">
        <f>IF(_epmOfflineCondition_,"T4",_xll.EVPRO($B$1,$H39,"STYLE"))</f>
        <v>T4</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IF(_epmOfflineCondition_,"Land &amp; Buildings",IF(_xll.EVDES(H39,$B$1)="#NODATA","",_xll.EVDES(H39,$B$1)))</f>
        <v>Land &amp; Buildings</v>
      </c>
      <c r="O39" s="143"/>
      <c r="P39" s="143"/>
      <c r="Q39" s="143">
        <v>71.540000000000006</v>
      </c>
      <c r="R39" s="143"/>
      <c r="S39" s="143"/>
      <c r="T39" s="143"/>
      <c r="U39" s="143">
        <v>-71.540000000000006</v>
      </c>
      <c r="V39" s="143"/>
      <c r="W39" s="143"/>
      <c r="X39" s="143"/>
      <c r="Y39" s="143"/>
      <c r="Z39" s="143"/>
      <c r="AA39" s="143">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06" t="s">
        <v>101</v>
      </c>
      <c r="D40" s="11" t="s">
        <v>106</v>
      </c>
      <c r="E40" s="11"/>
      <c r="F40" s="11" t="s">
        <v>98</v>
      </c>
      <c r="G40" s="11"/>
      <c r="H40" s="88" t="s">
        <v>527</v>
      </c>
      <c r="I40" s="122" t="str">
        <f>IF(_epmOfflineCondition_,"T4",_xll.EVPRO($B$1,$H40,"STYLE"))</f>
        <v>T4</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IF(_epmOfflineCondition_,"Other Property &amp; Equipment",IF(_xll.EVDES(H40,$B$1)="#NODATA","",_xll.EVDES(H40,$B$1)))</f>
        <v>Other Property &amp; Equipment</v>
      </c>
      <c r="O40" s="217">
        <v>2028.88</v>
      </c>
      <c r="P40" s="217">
        <v>564.04</v>
      </c>
      <c r="Q40" s="217">
        <v>1234.3699999999999</v>
      </c>
      <c r="R40" s="217">
        <v>1624.1</v>
      </c>
      <c r="S40" s="217">
        <v>1890.03</v>
      </c>
      <c r="T40" s="217">
        <v>888.32</v>
      </c>
      <c r="U40" s="217">
        <v>1080.6300000000001</v>
      </c>
      <c r="V40" s="217">
        <v>557</v>
      </c>
      <c r="W40" s="217">
        <v>1301.6400000000001</v>
      </c>
      <c r="X40" s="217">
        <v>1183.77</v>
      </c>
      <c r="Y40" s="217">
        <v>1147.25</v>
      </c>
      <c r="Z40" s="217">
        <v>1304.96</v>
      </c>
      <c r="AA40" s="217">
        <f t="shared" si="1"/>
        <v>14804.989999999998</v>
      </c>
      <c r="AB40" s="219">
        <f t="shared" si="2"/>
        <v>1.2434350678466085E-3</v>
      </c>
      <c r="AC40" s="140"/>
      <c r="AD40" s="217">
        <v>7484</v>
      </c>
      <c r="AE40" s="219">
        <f t="shared" si="3"/>
        <v>8.9815168854126418E-4</v>
      </c>
      <c r="AF40" s="220">
        <f t="shared" si="4"/>
        <v>7320.989999999998</v>
      </c>
      <c r="AG40" s="217">
        <v>7421.55</v>
      </c>
      <c r="AH40" s="219">
        <f t="shared" si="5"/>
        <v>1.4235676577942188E-3</v>
      </c>
      <c r="AI40" s="220">
        <f t="shared" si="6"/>
        <v>7383.4399999999978</v>
      </c>
      <c r="AJ40" s="449">
        <f t="shared" si="7"/>
        <v>0.30728497301784968</v>
      </c>
      <c r="AK40" s="450">
        <f t="shared" si="8"/>
        <v>0.15533416355334165</v>
      </c>
      <c r="AL40" s="451">
        <f t="shared" si="9"/>
        <v>0.1536171137605564</v>
      </c>
      <c r="AM40" s="452" t="str">
        <f t="shared" si="10"/>
        <v>0.03 pts.</v>
      </c>
      <c r="AN40" s="453" t="str">
        <f t="shared" si="11"/>
        <v>-0.02 pts.</v>
      </c>
      <c r="AO40" s="11"/>
    </row>
    <row r="41" spans="1:41" x14ac:dyDescent="0.35">
      <c r="A41" s="11" t="s">
        <v>108</v>
      </c>
      <c r="B41" s="11"/>
      <c r="C41" s="109" t="s">
        <v>101</v>
      </c>
      <c r="D41" s="11" t="s">
        <v>107</v>
      </c>
      <c r="E41" s="11"/>
      <c r="F41" s="11" t="s">
        <v>99</v>
      </c>
      <c r="G41" s="11"/>
      <c r="H41" s="88" t="s">
        <v>520</v>
      </c>
      <c r="I41" s="188" t="str">
        <f>IF(_epmOfflineCondition_,"T3",_xll.EVPRO($B$1,$H41,"STYLE"))</f>
        <v>T3</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IF(_epmOfflineCondition_,"Total Rent",IF(_xll.EVDES(H41,$B$1)="#NODATA","",_xll.EVDES(H41,$B$1)))</f>
        <v>Total Rent</v>
      </c>
      <c r="O41" s="154">
        <v>2028.88</v>
      </c>
      <c r="P41" s="154">
        <v>564.04</v>
      </c>
      <c r="Q41" s="154">
        <v>1305.9100000000001</v>
      </c>
      <c r="R41" s="154">
        <v>1624.1</v>
      </c>
      <c r="S41" s="154">
        <v>1890.03</v>
      </c>
      <c r="T41" s="154">
        <v>888.32</v>
      </c>
      <c r="U41" s="154">
        <v>1009.09</v>
      </c>
      <c r="V41" s="154">
        <v>557</v>
      </c>
      <c r="W41" s="154">
        <v>1301.6400000000001</v>
      </c>
      <c r="X41" s="154">
        <v>1183.77</v>
      </c>
      <c r="Y41" s="154">
        <v>1147.25</v>
      </c>
      <c r="Z41" s="154">
        <v>1304.96</v>
      </c>
      <c r="AA41" s="154">
        <f t="shared" si="1"/>
        <v>14804.990000000002</v>
      </c>
      <c r="AB41" s="155">
        <f t="shared" si="2"/>
        <v>1.2434350678466087E-3</v>
      </c>
      <c r="AC41" s="240"/>
      <c r="AD41" s="154">
        <v>7484</v>
      </c>
      <c r="AE41" s="155">
        <f t="shared" si="3"/>
        <v>8.9815168854126418E-4</v>
      </c>
      <c r="AF41" s="156">
        <f t="shared" si="4"/>
        <v>7320.9900000000016</v>
      </c>
      <c r="AG41" s="154">
        <v>7421.55</v>
      </c>
      <c r="AH41" s="155">
        <f t="shared" si="5"/>
        <v>1.4235676577942188E-3</v>
      </c>
      <c r="AI41" s="156">
        <f t="shared" si="6"/>
        <v>7383.4400000000014</v>
      </c>
      <c r="AJ41" s="246">
        <f t="shared" si="7"/>
        <v>0.30728497301784974</v>
      </c>
      <c r="AK41" s="247">
        <f t="shared" si="8"/>
        <v>0.15533416355334165</v>
      </c>
      <c r="AL41" s="249">
        <f t="shared" si="9"/>
        <v>0.1536171137605564</v>
      </c>
      <c r="AM41" s="433" t="str">
        <f t="shared" si="10"/>
        <v>0.03 pts.</v>
      </c>
      <c r="AN41" s="617" t="str">
        <f t="shared" si="11"/>
        <v>-0.02 pts.</v>
      </c>
      <c r="AO41" s="11"/>
    </row>
    <row r="42" spans="1:41" x14ac:dyDescent="0.35">
      <c r="A42" s="11"/>
      <c r="B42" s="11"/>
      <c r="C42" s="11"/>
      <c r="D42" s="11"/>
      <c r="E42" s="11"/>
      <c r="F42" s="11"/>
      <c r="G42" s="11"/>
      <c r="H42" s="88" t="s">
        <v>546</v>
      </c>
      <c r="I42" s="610" t="str">
        <f>IF(_epmOfflineCondition_,"B1",_xll.EVPRO($B$1,$H42,"STYLE"))</f>
        <v>B1</v>
      </c>
      <c r="J42" s="610" t="str">
        <f>IF(_epmOfflineCondition_,"Y",_xll.EVPRO($B$1,$H42,"CALC"))</f>
        <v>Y</v>
      </c>
      <c r="K42" s="611" t="str">
        <f t="shared" si="0"/>
        <v/>
      </c>
      <c r="L42" s="611" t="str">
        <f>IF(_epmOfflineCondition_,"",_xll.EVPRO($B$1,H42,"JDEID"))</f>
        <v/>
      </c>
      <c r="M42" s="611" t="str">
        <f>IF(_epmOfflineCondition_,"",IF(AND(I42="N",J42="N"),_xll.EVPRO($B$1,H42,"PSFTID"),""))</f>
        <v/>
      </c>
      <c r="N42" s="611" t="str">
        <f>IF(_epmOfflineCondition_,"Property &amp; Other Taxes",IF(_xll.EVDES(H42,$B$1)="#NODATA","",_xll.EVDES(H42,$B$1)))</f>
        <v>Property &amp; Other Taxes</v>
      </c>
      <c r="O42" s="143"/>
      <c r="P42" s="143"/>
      <c r="Q42" s="143"/>
      <c r="R42" s="143"/>
      <c r="S42" s="143"/>
      <c r="T42" s="143"/>
      <c r="U42" s="143"/>
      <c r="V42" s="143"/>
      <c r="W42" s="143"/>
      <c r="X42" s="143"/>
      <c r="Y42" s="143"/>
      <c r="Z42" s="143"/>
      <c r="AA42" s="143" t="str">
        <f t="shared" si="1"/>
        <v/>
      </c>
      <c r="AB42" s="144" t="str">
        <f t="shared" si="2"/>
        <v/>
      </c>
      <c r="AC42" s="140"/>
      <c r="AD42" s="143"/>
      <c r="AE42" s="144" t="str">
        <f t="shared" si="3"/>
        <v/>
      </c>
      <c r="AF42" s="145" t="str">
        <f t="shared" si="4"/>
        <v/>
      </c>
      <c r="AG42" s="143"/>
      <c r="AH42" s="144" t="str">
        <f t="shared" si="5"/>
        <v/>
      </c>
      <c r="AI42" s="145" t="str">
        <f t="shared" si="6"/>
        <v/>
      </c>
      <c r="AJ42" s="440">
        <f t="shared" si="7"/>
        <v>0</v>
      </c>
      <c r="AK42" s="441">
        <f t="shared" si="8"/>
        <v>0</v>
      </c>
      <c r="AL42" s="442">
        <f t="shared" si="9"/>
        <v>0</v>
      </c>
      <c r="AM42" s="443">
        <f t="shared" si="10"/>
        <v>0</v>
      </c>
      <c r="AN42" s="444">
        <f t="shared" si="11"/>
        <v>0</v>
      </c>
      <c r="AO42" s="11"/>
    </row>
    <row r="43" spans="1:41" x14ac:dyDescent="0.35">
      <c r="A43" s="11"/>
      <c r="B43" s="11"/>
      <c r="C43" s="208"/>
      <c r="D43" s="11"/>
      <c r="E43" s="11"/>
      <c r="F43" s="11"/>
      <c r="G43" s="11"/>
      <c r="H43" s="185" t="s">
        <v>528</v>
      </c>
      <c r="I43" s="122" t="str">
        <f>IF(_epmOfflineCondition_,"N",_xll.EVPRO($B$1,$H43,"STYLE"))</f>
        <v>N</v>
      </c>
      <c r="J43" s="122" t="str">
        <f>IF(_epmOfflineCondition_,"N",_xll.EVPRO($B$1,$H43,"CALC"))</f>
        <v>N</v>
      </c>
      <c r="K43" s="179" t="str">
        <f t="shared" si="0"/>
        <v/>
      </c>
      <c r="L43" s="90" t="str">
        <f>IF(_epmOfflineCondition_,"752100",_xll.EVPRO($B$1,H43,"JDEID"))</f>
        <v>752100</v>
      </c>
      <c r="M43" s="90" t="str">
        <f>IF(_epmOfflineCondition_,"790145",IF(AND(I43="N",J43="N"),_xll.EVPRO($B$1,H43,"PSFTID"),""))</f>
        <v>790145</v>
      </c>
      <c r="N43" s="90" t="str">
        <f>IF(_epmOfflineCondition_,"Real Estate Taxes",IF(_xll.EVDES(H43,$B$1)="#NODATA","",_xll.EVDES(H43,$B$1)))</f>
        <v>Real Estate Taxes</v>
      </c>
      <c r="O43" s="143">
        <v>37293</v>
      </c>
      <c r="P43" s="143">
        <v>37293</v>
      </c>
      <c r="Q43" s="143">
        <v>37293</v>
      </c>
      <c r="R43" s="143">
        <v>37293</v>
      </c>
      <c r="S43" s="143">
        <v>37293</v>
      </c>
      <c r="T43" s="143">
        <v>-25397.3</v>
      </c>
      <c r="U43" s="143">
        <v>37293</v>
      </c>
      <c r="V43" s="143">
        <v>37293</v>
      </c>
      <c r="W43" s="143">
        <v>37293</v>
      </c>
      <c r="X43" s="143">
        <v>37293</v>
      </c>
      <c r="Y43" s="143">
        <v>30981.61</v>
      </c>
      <c r="Z43" s="143">
        <v>30981.61</v>
      </c>
      <c r="AA43" s="143">
        <f t="shared" si="1"/>
        <v>372202.92</v>
      </c>
      <c r="AB43" s="144">
        <f t="shared" si="2"/>
        <v>3.1260417135229798E-2</v>
      </c>
      <c r="AC43" s="140"/>
      <c r="AD43" s="143">
        <v>447515.76999999897</v>
      </c>
      <c r="AE43" s="144">
        <f t="shared" si="3"/>
        <v>5.3706179112018047E-2</v>
      </c>
      <c r="AF43" s="145">
        <f t="shared" si="4"/>
        <v>-75312.849999998987</v>
      </c>
      <c r="AG43" s="143">
        <v>433426.79</v>
      </c>
      <c r="AH43" s="144">
        <f t="shared" si="5"/>
        <v>8.3137937528624972E-2</v>
      </c>
      <c r="AI43" s="145">
        <f t="shared" si="6"/>
        <v>-61223.869999999995</v>
      </c>
      <c r="AJ43" s="440">
        <f t="shared" si="7"/>
        <v>7.7252577833125775</v>
      </c>
      <c r="AK43" s="441">
        <f t="shared" si="8"/>
        <v>9.2884136571191149</v>
      </c>
      <c r="AL43" s="442">
        <f t="shared" si="9"/>
        <v>8.9714106226196382</v>
      </c>
      <c r="AM43" s="443" t="str">
        <f t="shared" si="10"/>
        <v>-2.24 pts.</v>
      </c>
      <c r="AN43" s="444" t="str">
        <f t="shared" si="11"/>
        <v>-5.19 pts.</v>
      </c>
      <c r="AO43" s="11"/>
    </row>
    <row r="44" spans="1:41" x14ac:dyDescent="0.35">
      <c r="A44" s="62" t="s">
        <v>23</v>
      </c>
      <c r="B44" s="63" t="s">
        <v>24</v>
      </c>
      <c r="C44" s="11"/>
      <c r="D44" s="11"/>
      <c r="E44" s="11"/>
      <c r="F44" s="11"/>
      <c r="G44" s="11"/>
      <c r="H44" s="185" t="s">
        <v>529</v>
      </c>
      <c r="I44" s="122" t="str">
        <f>IF(_epmOfflineCondition_,"N",_xll.EVPRO($B$1,$H44,"STYLE"))</f>
        <v>N</v>
      </c>
      <c r="J44" s="122" t="str">
        <f>IF(_epmOfflineCondition_,"N",_xll.EVPRO($B$1,$H44,"CALC"))</f>
        <v>N</v>
      </c>
      <c r="K44" s="179" t="str">
        <f t="shared" si="0"/>
        <v/>
      </c>
      <c r="L44" s="90" t="str">
        <f>IF(_epmOfflineCondition_,"752200",_xll.EVPRO($B$1,H44,"JDEID"))</f>
        <v>752200</v>
      </c>
      <c r="M44" s="90" t="str">
        <f>IF(_epmOfflineCondition_,"790150",IF(AND(I44="N",J44="N"),_xll.EVPRO($B$1,H44,"PSFTID"),""))</f>
        <v>790150</v>
      </c>
      <c r="N44" s="90" t="str">
        <f>IF(_epmOfflineCondition_,"Personal Property Taxes",IF(_xll.EVDES(H44,$B$1)="#NODATA","",_xll.EVDES(H44,$B$1)))</f>
        <v>Personal Property Taxes</v>
      </c>
      <c r="O44" s="143">
        <v>9236</v>
      </c>
      <c r="P44" s="143">
        <v>9236</v>
      </c>
      <c r="Q44" s="143">
        <v>9236</v>
      </c>
      <c r="R44" s="143">
        <v>9236</v>
      </c>
      <c r="S44" s="143">
        <v>9236</v>
      </c>
      <c r="T44" s="143">
        <v>9236</v>
      </c>
      <c r="U44" s="143">
        <v>9236</v>
      </c>
      <c r="V44" s="143">
        <v>9236</v>
      </c>
      <c r="W44" s="143">
        <v>9236</v>
      </c>
      <c r="X44" s="143">
        <v>9236</v>
      </c>
      <c r="Y44" s="143">
        <v>7882.27</v>
      </c>
      <c r="Z44" s="143">
        <v>7882.27</v>
      </c>
      <c r="AA44" s="143">
        <f t="shared" si="1"/>
        <v>108124.54000000001</v>
      </c>
      <c r="AB44" s="144">
        <f t="shared" si="2"/>
        <v>9.081116889020753E-3</v>
      </c>
      <c r="AC44" s="140"/>
      <c r="AD44" s="143">
        <v>110832.12</v>
      </c>
      <c r="AE44" s="144">
        <f t="shared" si="3"/>
        <v>1.3300916050588991E-2</v>
      </c>
      <c r="AF44" s="145">
        <f t="shared" si="4"/>
        <v>-2707.5799999999872</v>
      </c>
      <c r="AG44" s="143">
        <v>107604</v>
      </c>
      <c r="AH44" s="144">
        <f t="shared" si="5"/>
        <v>2.0640105402414469E-2</v>
      </c>
      <c r="AI44" s="145">
        <f t="shared" si="6"/>
        <v>520.54000000000815</v>
      </c>
      <c r="AJ44" s="440">
        <f t="shared" si="7"/>
        <v>2.2441789124117895</v>
      </c>
      <c r="AK44" s="441">
        <f t="shared" si="8"/>
        <v>2.3003760896637608</v>
      </c>
      <c r="AL44" s="442">
        <f t="shared" si="9"/>
        <v>2.2272727272727271</v>
      </c>
      <c r="AM44" s="443" t="str">
        <f t="shared" si="10"/>
        <v>-0.42 pts.</v>
      </c>
      <c r="AN44" s="444" t="str">
        <f t="shared" si="11"/>
        <v>-1.16 pts.</v>
      </c>
      <c r="AO44" s="11"/>
    </row>
    <row r="45" spans="1:41" x14ac:dyDescent="0.35">
      <c r="A45" s="65" t="s">
        <v>25</v>
      </c>
      <c r="B45" s="66"/>
      <c r="C45" s="11"/>
      <c r="D45" s="11"/>
      <c r="E45" s="11"/>
      <c r="F45" s="11"/>
      <c r="G45" s="11"/>
      <c r="H45" s="185" t="s">
        <v>530</v>
      </c>
      <c r="I45" s="122" t="str">
        <f>IF(_epmOfflineCondition_,"N",_xll.EVPRO($B$1,$H45,"STYLE"))</f>
        <v>N</v>
      </c>
      <c r="J45" s="122" t="str">
        <f>IF(_epmOfflineCondition_,"N",_xll.EVPRO($B$1,$H45,"CALC"))</f>
        <v>N</v>
      </c>
      <c r="K45" s="179" t="str">
        <f t="shared" si="0"/>
        <v/>
      </c>
      <c r="L45" s="90" t="str">
        <f>IF(_epmOfflineCondition_,"752300",_xll.EVPRO($B$1,H45,"JDEID"))</f>
        <v>752300</v>
      </c>
      <c r="M45" s="90" t="str">
        <f>IF(_epmOfflineCondition_,"790160",IF(AND(I45="N",J45="N"),_xll.EVPRO($B$1,H45,"PSFTID"),""))</f>
        <v>790160</v>
      </c>
      <c r="N45" s="90" t="str">
        <f>IF(_epmOfflineCondition_,"Business &amp; Occupation Taxes",IF(_xll.EVDES(H45,$B$1)="#NODATA","",_xll.EVDES(H45,$B$1)))</f>
        <v>Business &amp; Occupation Taxes</v>
      </c>
      <c r="O45" s="143"/>
      <c r="P45" s="143"/>
      <c r="Q45" s="143"/>
      <c r="R45" s="143">
        <v>16589.2</v>
      </c>
      <c r="S45" s="143"/>
      <c r="T45" s="143"/>
      <c r="U45" s="143"/>
      <c r="V45" s="143"/>
      <c r="W45" s="143">
        <v>643.92999999999995</v>
      </c>
      <c r="X45" s="143"/>
      <c r="Y45" s="143"/>
      <c r="Z45" s="143"/>
      <c r="AA45" s="143">
        <f t="shared" si="1"/>
        <v>17233.13</v>
      </c>
      <c r="AB45" s="144">
        <f t="shared" si="2"/>
        <v>1.4473686352209239E-3</v>
      </c>
      <c r="AC45" s="140"/>
      <c r="AD45" s="143">
        <v>20019</v>
      </c>
      <c r="AE45" s="144">
        <f t="shared" si="3"/>
        <v>2.4024717601426465E-3</v>
      </c>
      <c r="AF45" s="145">
        <f t="shared" si="4"/>
        <v>-2785.869999999999</v>
      </c>
      <c r="AG45" s="143">
        <v>17117.2</v>
      </c>
      <c r="AH45" s="144">
        <f t="shared" si="5"/>
        <v>3.2833427399930207E-3</v>
      </c>
      <c r="AI45" s="145">
        <f t="shared" si="6"/>
        <v>115.93000000000029</v>
      </c>
      <c r="AJ45" s="440">
        <f t="shared" si="7"/>
        <v>0.35768223329182236</v>
      </c>
      <c r="AK45" s="441">
        <f t="shared" si="8"/>
        <v>0.41550435865504359</v>
      </c>
      <c r="AL45" s="442">
        <f t="shared" si="9"/>
        <v>0.35430534856764367</v>
      </c>
      <c r="AM45" s="443" t="str">
        <f t="shared" si="10"/>
        <v>-0.1 pts.</v>
      </c>
      <c r="AN45" s="444" t="str">
        <f t="shared" si="11"/>
        <v>-0.18 pts.</v>
      </c>
      <c r="AO45" s="11"/>
    </row>
    <row r="46" spans="1:41" x14ac:dyDescent="0.35">
      <c r="A46" s="65" t="s">
        <v>26</v>
      </c>
      <c r="B46" s="66"/>
      <c r="C46" s="11"/>
      <c r="D46" s="11"/>
      <c r="E46" s="11"/>
      <c r="F46" s="11"/>
      <c r="G46" s="11"/>
      <c r="H46" s="185" t="s">
        <v>531</v>
      </c>
      <c r="I46" s="122" t="str">
        <f>IF(_epmOfflineCondition_,"N",_xll.EVPRO($B$1,$H46,"STYLE"))</f>
        <v>N</v>
      </c>
      <c r="J46" s="122" t="str">
        <f>IF(_epmOfflineCondition_,"N",_xll.EVPRO($B$1,$H46,"CALC"))</f>
        <v>N</v>
      </c>
      <c r="K46" s="179" t="str">
        <f t="shared" si="0"/>
        <v/>
      </c>
      <c r="L46" s="90" t="str">
        <f>IF(_epmOfflineCondition_,"752400",_xll.EVPRO($B$1,H46,"JDEID"))</f>
        <v>752400</v>
      </c>
      <c r="M46" s="90" t="str">
        <f>IF(_epmOfflineCondition_,"790160",IF(AND(I46="N",J46="N"),_xll.EVPRO($B$1,H46,"PSFTID"),""))</f>
        <v>790160</v>
      </c>
      <c r="N46" s="90" t="str">
        <f>IF(_epmOfflineCondition_,"Other Taxes &amp; Assesments",IF(_xll.EVDES(H46,$B$1)="#NODATA","",_xll.EVDES(H46,$B$1)))</f>
        <v>Other Taxes &amp; Assesments</v>
      </c>
      <c r="O46" s="143"/>
      <c r="P46" s="143"/>
      <c r="Q46" s="143"/>
      <c r="R46" s="143"/>
      <c r="S46" s="143"/>
      <c r="T46" s="143"/>
      <c r="U46" s="143"/>
      <c r="V46" s="143"/>
      <c r="W46" s="143"/>
      <c r="X46" s="143"/>
      <c r="Y46" s="143"/>
      <c r="Z46" s="143"/>
      <c r="AA46" s="143">
        <f t="shared" si="1"/>
        <v>0</v>
      </c>
      <c r="AB46" s="144" t="str">
        <f t="shared" si="2"/>
        <v/>
      </c>
      <c r="AC46" s="140"/>
      <c r="AD46" s="143"/>
      <c r="AE46" s="144" t="str">
        <f t="shared" si="3"/>
        <v/>
      </c>
      <c r="AF46" s="145">
        <f t="shared" si="4"/>
        <v>0</v>
      </c>
      <c r="AG46" s="143"/>
      <c r="AH46" s="144" t="str">
        <f t="shared" si="5"/>
        <v/>
      </c>
      <c r="AI46" s="145">
        <f t="shared" si="6"/>
        <v>0</v>
      </c>
      <c r="AJ46" s="440">
        <f t="shared" si="7"/>
        <v>0</v>
      </c>
      <c r="AK46" s="441">
        <f t="shared" si="8"/>
        <v>0</v>
      </c>
      <c r="AL46" s="442">
        <f t="shared" si="9"/>
        <v>0</v>
      </c>
      <c r="AM46" s="443">
        <f t="shared" si="10"/>
        <v>0</v>
      </c>
      <c r="AN46" s="444">
        <f t="shared" si="11"/>
        <v>0</v>
      </c>
      <c r="AO46" s="11"/>
    </row>
    <row r="47" spans="1:41" x14ac:dyDescent="0.35">
      <c r="A47" s="65" t="s">
        <v>27</v>
      </c>
      <c r="B47" s="66"/>
      <c r="C47" s="11"/>
      <c r="D47" s="11"/>
      <c r="E47" s="11"/>
      <c r="F47" s="11"/>
      <c r="G47" s="11"/>
      <c r="H47" s="88" t="s">
        <v>825</v>
      </c>
      <c r="I47" s="122" t="str">
        <f>IF(_epmOfflineCondition_,"N",_xll.EVPRO($B$1,$H47,"STYLE"))</f>
        <v>N</v>
      </c>
      <c r="J47" s="122" t="str">
        <f>IF(_epmOfflineCondition_,"N",_xll.EVPRO($B$1,$H47,"CALC"))</f>
        <v>N</v>
      </c>
      <c r="K47" s="179" t="str">
        <f t="shared" si="0"/>
        <v/>
      </c>
      <c r="L47" s="90" t="str">
        <f>IF(_epmOfflineCondition_,"752500",_xll.EVPRO($B$1,H47,"JDEID"))</f>
        <v>752500</v>
      </c>
      <c r="M47" s="90" t="str">
        <f>IF(_epmOfflineCondition_,"790162",IF(AND(I47="N",J47="N"),_xll.EVPRO($B$1,H47,"PSFTID"),""))</f>
        <v>790162</v>
      </c>
      <c r="N47" s="90" t="str">
        <f>IF(_epmOfflineCondition_,"Tax Penalties",IF(_xll.EVDES(H47,$B$1)="#NODATA","",_xll.EVDES(H47,$B$1)))</f>
        <v>Tax Penalties</v>
      </c>
      <c r="O47" s="217"/>
      <c r="P47" s="217"/>
      <c r="Q47" s="217"/>
      <c r="R47" s="217"/>
      <c r="S47" s="217"/>
      <c r="T47" s="217"/>
      <c r="U47" s="217"/>
      <c r="V47" s="217"/>
      <c r="W47" s="217"/>
      <c r="X47" s="217"/>
      <c r="Y47" s="217"/>
      <c r="Z47" s="217"/>
      <c r="AA47" s="217">
        <f t="shared" si="1"/>
        <v>0</v>
      </c>
      <c r="AB47" s="219" t="str">
        <f t="shared" si="2"/>
        <v/>
      </c>
      <c r="AC47" s="140"/>
      <c r="AD47" s="217"/>
      <c r="AE47" s="219" t="str">
        <f t="shared" si="3"/>
        <v/>
      </c>
      <c r="AF47" s="220">
        <f t="shared" si="4"/>
        <v>0</v>
      </c>
      <c r="AG47" s="217"/>
      <c r="AH47" s="219" t="str">
        <f t="shared" si="5"/>
        <v/>
      </c>
      <c r="AI47" s="220">
        <f t="shared" si="6"/>
        <v>0</v>
      </c>
      <c r="AJ47" s="449">
        <f t="shared" si="7"/>
        <v>0</v>
      </c>
      <c r="AK47" s="450">
        <f t="shared" si="8"/>
        <v>0</v>
      </c>
      <c r="AL47" s="451">
        <f t="shared" si="9"/>
        <v>0</v>
      </c>
      <c r="AM47" s="452">
        <f t="shared" si="10"/>
        <v>0</v>
      </c>
      <c r="AN47" s="453">
        <f t="shared" si="11"/>
        <v>0</v>
      </c>
      <c r="AO47" s="11"/>
    </row>
    <row r="48" spans="1:41" x14ac:dyDescent="0.35">
      <c r="A48" s="65" t="s">
        <v>28</v>
      </c>
      <c r="B48" s="66"/>
      <c r="C48" s="11"/>
      <c r="D48" s="11"/>
      <c r="E48" s="11"/>
      <c r="F48" s="11"/>
      <c r="G48" s="11"/>
      <c r="H48" s="185" t="s">
        <v>521</v>
      </c>
      <c r="I48" s="188" t="str">
        <f>IF(_epmOfflineCondition_,"T3",_xll.EVPRO($B$1,$H48,"STYLE"))</f>
        <v>T3</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Property &amp; Other Taxes",IF(_xll.EVDES(H48,$B$1)="#NODATA","",_xll.EVDES(H48,$B$1)))</f>
        <v>Total Property &amp; Other Taxes</v>
      </c>
      <c r="O48" s="154">
        <v>46529</v>
      </c>
      <c r="P48" s="154">
        <v>46529</v>
      </c>
      <c r="Q48" s="154">
        <v>46529</v>
      </c>
      <c r="R48" s="154">
        <v>63118.2</v>
      </c>
      <c r="S48" s="154">
        <v>46529</v>
      </c>
      <c r="T48" s="154">
        <v>-16161.3</v>
      </c>
      <c r="U48" s="154">
        <v>46529</v>
      </c>
      <c r="V48" s="154">
        <v>46529</v>
      </c>
      <c r="W48" s="154">
        <v>47172.93</v>
      </c>
      <c r="X48" s="154">
        <v>46529</v>
      </c>
      <c r="Y48" s="154">
        <v>38863.879999999997</v>
      </c>
      <c r="Z48" s="154">
        <v>38863.879999999997</v>
      </c>
      <c r="AA48" s="154">
        <f t="shared" si="1"/>
        <v>497560.59</v>
      </c>
      <c r="AB48" s="155">
        <f t="shared" si="2"/>
        <v>4.178890265947148E-2</v>
      </c>
      <c r="AC48" s="240"/>
      <c r="AD48" s="154">
        <v>578366.89</v>
      </c>
      <c r="AE48" s="155">
        <f t="shared" si="3"/>
        <v>6.9409566922749813E-2</v>
      </c>
      <c r="AF48" s="156">
        <f t="shared" si="4"/>
        <v>-80806.299999999988</v>
      </c>
      <c r="AG48" s="154">
        <v>558147.99</v>
      </c>
      <c r="AH48" s="155">
        <f t="shared" si="5"/>
        <v>0.10706138567103246</v>
      </c>
      <c r="AI48" s="156">
        <f t="shared" si="6"/>
        <v>-60587.399999999965</v>
      </c>
      <c r="AJ48" s="246">
        <f t="shared" si="7"/>
        <v>10.327118929016191</v>
      </c>
      <c r="AK48" s="247">
        <f t="shared" si="8"/>
        <v>12.004294105437941</v>
      </c>
      <c r="AL48" s="249">
        <f t="shared" si="9"/>
        <v>11.552988698460009</v>
      </c>
      <c r="AM48" s="433" t="str">
        <f t="shared" si="10"/>
        <v>-2.76 pts.</v>
      </c>
      <c r="AN48" s="617" t="str">
        <f t="shared" si="11"/>
        <v>-6.53 pts.</v>
      </c>
      <c r="AO48" s="11"/>
    </row>
    <row r="49" spans="1:41" x14ac:dyDescent="0.35">
      <c r="A49" s="65" t="s">
        <v>29</v>
      </c>
      <c r="B49" s="66"/>
      <c r="C49" s="11"/>
      <c r="D49" s="11"/>
      <c r="E49" s="11"/>
      <c r="F49" s="11"/>
      <c r="G49" s="11"/>
      <c r="H49" s="185" t="s">
        <v>550</v>
      </c>
      <c r="I49" s="610" t="str">
        <f>IF(_epmOfflineCondition_,"B1",_xll.EVPRO($B$1,$H49,"STYLE"))</f>
        <v>B1</v>
      </c>
      <c r="J49" s="610" t="str">
        <f>IF(_epmOfflineCondition_,"Y",_xll.EVPRO($B$1,$H49,"CALC"))</f>
        <v>Y</v>
      </c>
      <c r="K49" s="611" t="str">
        <f t="shared" si="0"/>
        <v/>
      </c>
      <c r="L49" s="611" t="str">
        <f>IF(_epmOfflineCondition_,"",_xll.EVPRO($B$1,H49,"JDEID"))</f>
        <v/>
      </c>
      <c r="M49" s="611" t="str">
        <f>IF(_epmOfflineCondition_,"",IF(AND(I49="N",J49="N"),_xll.EVPRO($B$1,H49,"PSFTID"),""))</f>
        <v/>
      </c>
      <c r="N49" s="611" t="str">
        <f>IF(_epmOfflineCondition_,"Insurance",IF(_xll.EVDES(H49,$B$1)="#NODATA","",_xll.EVDES(H49,$B$1)))</f>
        <v>Insurance</v>
      </c>
      <c r="O49" s="143"/>
      <c r="P49" s="143"/>
      <c r="Q49" s="143"/>
      <c r="R49" s="143"/>
      <c r="S49" s="143"/>
      <c r="T49" s="143"/>
      <c r="U49" s="143"/>
      <c r="V49" s="143"/>
      <c r="W49" s="143"/>
      <c r="X49" s="143"/>
      <c r="Y49" s="143"/>
      <c r="Z49" s="143"/>
      <c r="AA49" s="143" t="str">
        <f t="shared" si="1"/>
        <v/>
      </c>
      <c r="AB49" s="144" t="str">
        <f t="shared" si="2"/>
        <v/>
      </c>
      <c r="AC49" s="140"/>
      <c r="AD49" s="143"/>
      <c r="AE49" s="144" t="str">
        <f t="shared" si="3"/>
        <v/>
      </c>
      <c r="AF49" s="145" t="str">
        <f t="shared" si="4"/>
        <v/>
      </c>
      <c r="AG49" s="143"/>
      <c r="AH49" s="144" t="str">
        <f t="shared" si="5"/>
        <v/>
      </c>
      <c r="AI49" s="145" t="str">
        <f t="shared" si="6"/>
        <v/>
      </c>
      <c r="AJ49" s="440">
        <f t="shared" si="7"/>
        <v>0</v>
      </c>
      <c r="AK49" s="441">
        <f t="shared" si="8"/>
        <v>0</v>
      </c>
      <c r="AL49" s="442">
        <f t="shared" si="9"/>
        <v>0</v>
      </c>
      <c r="AM49" s="443">
        <f t="shared" si="10"/>
        <v>0</v>
      </c>
      <c r="AN49" s="444">
        <f t="shared" si="11"/>
        <v>0</v>
      </c>
      <c r="AO49" s="11"/>
    </row>
    <row r="50" spans="1:41" x14ac:dyDescent="0.35">
      <c r="A50" s="65" t="s">
        <v>30</v>
      </c>
      <c r="B50" s="66" t="s">
        <v>78</v>
      </c>
      <c r="C50" s="11"/>
      <c r="D50" s="11"/>
      <c r="E50" s="11"/>
      <c r="F50" s="11"/>
      <c r="G50" s="11"/>
      <c r="H50" s="185" t="s">
        <v>532</v>
      </c>
      <c r="I50" s="122" t="str">
        <f>IF(_epmOfflineCondition_,"T4",_xll.EVPRO($B$1,$H50,"STYLE"))</f>
        <v>T4</v>
      </c>
      <c r="J50" s="122" t="str">
        <f>IF(_epmOfflineCondition_,"Y",_xll.EVPRO($B$1,$H50,"CALC"))</f>
        <v>Y</v>
      </c>
      <c r="K50" s="179" t="str">
        <f t="shared" si="0"/>
        <v>&gt;</v>
      </c>
      <c r="L50" s="90" t="str">
        <f>IF(_epmOfflineCondition_,"751100",_xll.EVPRO($B$1,H50,"JDEID"))</f>
        <v>751100</v>
      </c>
      <c r="M50" s="90" t="str">
        <f>IF(_epmOfflineCondition_,"",IF(AND(I50="N",J50="N"),_xll.EVPRO($B$1,H50,"PSFTID"),""))</f>
        <v/>
      </c>
      <c r="N50" s="90" t="str">
        <f>IF(_epmOfflineCondition_,"Earthquake - Insurance",IF(_xll.EVDES(H50,$B$1)="#NODATA","",_xll.EVDES(H50,$B$1)))</f>
        <v>Earthquake - Insurance</v>
      </c>
      <c r="O50" s="143"/>
      <c r="P50" s="143"/>
      <c r="Q50" s="143"/>
      <c r="R50" s="143"/>
      <c r="S50" s="143"/>
      <c r="T50" s="143"/>
      <c r="U50" s="143"/>
      <c r="V50" s="143"/>
      <c r="W50" s="143"/>
      <c r="X50" s="143"/>
      <c r="Y50" s="143"/>
      <c r="Z50" s="143"/>
      <c r="AA50" s="143">
        <f t="shared" si="1"/>
        <v>0</v>
      </c>
      <c r="AB50" s="144" t="str">
        <f t="shared" si="2"/>
        <v/>
      </c>
      <c r="AC50" s="140"/>
      <c r="AD50" s="143"/>
      <c r="AE50" s="144" t="str">
        <f t="shared" si="3"/>
        <v/>
      </c>
      <c r="AF50" s="145">
        <f t="shared" si="4"/>
        <v>0</v>
      </c>
      <c r="AG50" s="143"/>
      <c r="AH50" s="144" t="str">
        <f t="shared" si="5"/>
        <v/>
      </c>
      <c r="AI50" s="145">
        <f t="shared" si="6"/>
        <v>0</v>
      </c>
      <c r="AJ50" s="440">
        <f t="shared" si="7"/>
        <v>0</v>
      </c>
      <c r="AK50" s="441">
        <f t="shared" si="8"/>
        <v>0</v>
      </c>
      <c r="AL50" s="442">
        <f t="shared" si="9"/>
        <v>0</v>
      </c>
      <c r="AM50" s="443">
        <f t="shared" si="10"/>
        <v>0</v>
      </c>
      <c r="AN50" s="444">
        <f t="shared" si="11"/>
        <v>0</v>
      </c>
      <c r="AO50" s="11"/>
    </row>
    <row r="51" spans="1:41" x14ac:dyDescent="0.35">
      <c r="A51" s="65" t="s">
        <v>31</v>
      </c>
      <c r="B51" s="66" t="s">
        <v>78</v>
      </c>
      <c r="C51" s="11"/>
      <c r="D51" s="11"/>
      <c r="E51" s="11"/>
      <c r="F51" s="11"/>
      <c r="G51" s="11"/>
      <c r="H51" s="88" t="s">
        <v>533</v>
      </c>
      <c r="I51" s="122" t="str">
        <f>IF(_epmOfflineCondition_,"T4",_xll.EVPRO($B$1,$H51,"STYLE"))</f>
        <v>T4</v>
      </c>
      <c r="J51" s="122" t="str">
        <f>IF(_epmOfflineCondition_,"Y",_xll.EVPRO($B$1,$H51,"CALC"))</f>
        <v>Y</v>
      </c>
      <c r="K51" s="179" t="str">
        <f t="shared" si="0"/>
        <v>&gt;</v>
      </c>
      <c r="L51" s="90" t="str">
        <f>IF(_epmOfflineCondition_,"751200",_xll.EVPRO($B$1,H51,"JDEID"))</f>
        <v>751200</v>
      </c>
      <c r="M51" s="90" t="str">
        <f>IF(_epmOfflineCondition_,"",IF(AND(I51="N",J51="N"),_xll.EVPRO($B$1,H51,"PSFTID"),""))</f>
        <v/>
      </c>
      <c r="N51" s="90" t="str">
        <f>IF(_epmOfflineCondition_,"Property Insurance",IF(_xll.EVDES(H51,$B$1)="#NODATA","",_xll.EVDES(H51,$B$1)))</f>
        <v>Property Insurance</v>
      </c>
      <c r="O51" s="143">
        <v>59591.58</v>
      </c>
      <c r="P51" s="143">
        <v>59591.58</v>
      </c>
      <c r="Q51" s="143">
        <v>59591.58</v>
      </c>
      <c r="R51" s="143">
        <v>59591.58</v>
      </c>
      <c r="S51" s="143">
        <v>59591.58</v>
      </c>
      <c r="T51" s="143">
        <v>59591.58</v>
      </c>
      <c r="U51" s="143">
        <v>59591.58</v>
      </c>
      <c r="V51" s="143">
        <v>62880.74</v>
      </c>
      <c r="W51" s="143">
        <v>62880.73</v>
      </c>
      <c r="X51" s="143">
        <v>62880.73</v>
      </c>
      <c r="Y51" s="143">
        <v>62880.73</v>
      </c>
      <c r="Z51" s="143">
        <v>62880.73</v>
      </c>
      <c r="AA51" s="143">
        <f t="shared" si="1"/>
        <v>731544.72</v>
      </c>
      <c r="AB51" s="144">
        <f t="shared" si="2"/>
        <v>6.1440660111626438E-2</v>
      </c>
      <c r="AC51" s="140"/>
      <c r="AD51" s="143">
        <v>744891.06</v>
      </c>
      <c r="AE51" s="144">
        <f t="shared" si="3"/>
        <v>8.9394062442315889E-2</v>
      </c>
      <c r="AF51" s="145">
        <f t="shared" si="4"/>
        <v>-13346.340000000084</v>
      </c>
      <c r="AG51" s="143">
        <v>655330.26</v>
      </c>
      <c r="AH51" s="144">
        <f t="shared" si="5"/>
        <v>0.12570244265818817</v>
      </c>
      <c r="AI51" s="145">
        <f t="shared" si="6"/>
        <v>76214.459999999963</v>
      </c>
      <c r="AJ51" s="440">
        <f t="shared" si="7"/>
        <v>15.183576587795764</v>
      </c>
      <c r="AK51" s="441">
        <f t="shared" si="8"/>
        <v>15.460586550435867</v>
      </c>
      <c r="AL51" s="442">
        <f t="shared" si="9"/>
        <v>13.564544212617983</v>
      </c>
      <c r="AM51" s="443" t="str">
        <f t="shared" si="10"/>
        <v>-2.8 pts.</v>
      </c>
      <c r="AN51" s="444" t="str">
        <f t="shared" si="11"/>
        <v>-6.43 pts.</v>
      </c>
      <c r="AO51" s="11"/>
    </row>
    <row r="52" spans="1:41" x14ac:dyDescent="0.35">
      <c r="A52" s="65" t="s">
        <v>32</v>
      </c>
      <c r="B52" s="66"/>
      <c r="C52" s="11"/>
      <c r="D52" s="11"/>
      <c r="E52" s="11"/>
      <c r="F52" s="11"/>
      <c r="G52" s="11"/>
      <c r="H52" s="88" t="s">
        <v>534</v>
      </c>
      <c r="I52" s="122" t="str">
        <f>IF(_epmOfflineCondition_,"T4",_xll.EVPRO($B$1,$H52,"STYLE"))</f>
        <v>T4</v>
      </c>
      <c r="J52" s="122" t="str">
        <f>IF(_epmOfflineCondition_,"Y",_xll.EVPRO($B$1,$H52,"CALC"))</f>
        <v>Y</v>
      </c>
      <c r="K52" s="179" t="str">
        <f t="shared" si="0"/>
        <v>&gt;</v>
      </c>
      <c r="L52" s="90" t="str">
        <f>IF(_epmOfflineCondition_,"751300",_xll.EVPRO($B$1,H52,"JDEID"))</f>
        <v>751300</v>
      </c>
      <c r="M52" s="90" t="str">
        <f>IF(_epmOfflineCondition_,"",IF(AND(I52="N",J52="N"),_xll.EVPRO($B$1,H52,"PSFTID"),""))</f>
        <v/>
      </c>
      <c r="N52" s="90" t="str">
        <f>IF(_epmOfflineCondition_,"Liability Insurance",IF(_xll.EVDES(H52,$B$1)="#NODATA","",_xll.EVDES(H52,$B$1)))</f>
        <v>Liability Insurance</v>
      </c>
      <c r="O52" s="143">
        <v>4609.21</v>
      </c>
      <c r="P52" s="143">
        <v>4609.21</v>
      </c>
      <c r="Q52" s="143">
        <v>4609.21</v>
      </c>
      <c r="R52" s="143">
        <v>4609.21</v>
      </c>
      <c r="S52" s="143">
        <v>4609.21</v>
      </c>
      <c r="T52" s="143">
        <v>4609.21</v>
      </c>
      <c r="U52" s="143">
        <v>4609.21</v>
      </c>
      <c r="V52" s="143">
        <v>2402.33</v>
      </c>
      <c r="W52" s="143">
        <v>3873.58</v>
      </c>
      <c r="X52" s="143">
        <v>3873.59</v>
      </c>
      <c r="Y52" s="143">
        <v>3873.58</v>
      </c>
      <c r="Z52" s="143">
        <v>4567.8900000000003</v>
      </c>
      <c r="AA52" s="143">
        <f t="shared" si="1"/>
        <v>50855.44</v>
      </c>
      <c r="AB52" s="144">
        <f t="shared" si="2"/>
        <v>4.2712245997308437E-3</v>
      </c>
      <c r="AC52" s="140"/>
      <c r="AD52" s="143">
        <v>53762.8</v>
      </c>
      <c r="AE52" s="144">
        <f t="shared" si="3"/>
        <v>6.4520509888704274E-3</v>
      </c>
      <c r="AF52" s="145">
        <f t="shared" si="4"/>
        <v>-2907.3600000000006</v>
      </c>
      <c r="AG52" s="143">
        <v>52790.92</v>
      </c>
      <c r="AH52" s="144">
        <f t="shared" si="5"/>
        <v>1.0126111976231646E-2</v>
      </c>
      <c r="AI52" s="145">
        <f t="shared" si="6"/>
        <v>-1935.4799999999959</v>
      </c>
      <c r="AJ52" s="440">
        <f t="shared" si="7"/>
        <v>1.0555300954753011</v>
      </c>
      <c r="AK52" s="441">
        <f t="shared" si="8"/>
        <v>1.1158738065587381</v>
      </c>
      <c r="AL52" s="442">
        <f t="shared" si="9"/>
        <v>1.0927082298393773</v>
      </c>
      <c r="AM52" s="443" t="str">
        <f t="shared" si="10"/>
        <v>-0.22 pts.</v>
      </c>
      <c r="AN52" s="444" t="str">
        <f t="shared" si="11"/>
        <v>-0.59 pts.</v>
      </c>
      <c r="AO52" s="11"/>
    </row>
    <row r="53" spans="1:41" x14ac:dyDescent="0.35">
      <c r="A53" s="65" t="s">
        <v>33</v>
      </c>
      <c r="B53" s="66"/>
      <c r="C53" s="11"/>
      <c r="D53" s="11"/>
      <c r="E53" s="11"/>
      <c r="F53" s="11"/>
      <c r="G53" s="11"/>
      <c r="H53" s="88" t="s">
        <v>535</v>
      </c>
      <c r="I53" s="122" t="str">
        <f>IF(_epmOfflineCondition_,"T4",_xll.EVPRO($B$1,$H53,"STYLE"))</f>
        <v>T4</v>
      </c>
      <c r="J53" s="122" t="str">
        <f>IF(_epmOfflineCondition_,"Y",_xll.EVPRO($B$1,$H53,"CALC"))</f>
        <v>Y</v>
      </c>
      <c r="K53" s="179" t="str">
        <f t="shared" si="0"/>
        <v>&gt;</v>
      </c>
      <c r="L53" s="90" t="str">
        <f>IF(_epmOfflineCondition_,"751400",_xll.EVPRO($B$1,H53,"JDEID"))</f>
        <v>751400</v>
      </c>
      <c r="M53" s="90" t="str">
        <f>IF(_epmOfflineCondition_,"",IF(AND(I53="N",J53="N"),_xll.EVPRO($B$1,H53,"PSFTID"),""))</f>
        <v/>
      </c>
      <c r="N53" s="90" t="str">
        <f>IF(_epmOfflineCondition_,"Flood Insurance",IF(_xll.EVDES(H53,$B$1)="#NODATA","",_xll.EVDES(H53,$B$1)))</f>
        <v>Flood Insurance</v>
      </c>
      <c r="O53" s="143">
        <v>3377.56</v>
      </c>
      <c r="P53" s="143">
        <v>3377.56</v>
      </c>
      <c r="Q53" s="143">
        <v>3377.56</v>
      </c>
      <c r="R53" s="143">
        <v>3377.56</v>
      </c>
      <c r="S53" s="143">
        <v>3377.56</v>
      </c>
      <c r="T53" s="143">
        <v>3379.64</v>
      </c>
      <c r="U53" s="143">
        <v>3379.56</v>
      </c>
      <c r="V53" s="143">
        <v>3385.4</v>
      </c>
      <c r="W53" s="143">
        <v>3397.52</v>
      </c>
      <c r="X53" s="143">
        <v>3397.39</v>
      </c>
      <c r="Y53" s="143">
        <v>3397.39</v>
      </c>
      <c r="Z53" s="143">
        <v>3397.39</v>
      </c>
      <c r="AA53" s="143">
        <f t="shared" si="1"/>
        <v>40622.090000000004</v>
      </c>
      <c r="AB53" s="144">
        <f t="shared" si="2"/>
        <v>3.4117504459794329E-3</v>
      </c>
      <c r="AC53" s="140"/>
      <c r="AD53" s="143">
        <v>34518.5</v>
      </c>
      <c r="AE53" s="144">
        <f t="shared" si="3"/>
        <v>4.1425506495071651E-3</v>
      </c>
      <c r="AF53" s="145">
        <f t="shared" si="4"/>
        <v>6103.5900000000038</v>
      </c>
      <c r="AG53" s="143">
        <v>35487.14</v>
      </c>
      <c r="AH53" s="144">
        <f t="shared" si="5"/>
        <v>6.8069803169978687E-3</v>
      </c>
      <c r="AI53" s="145">
        <f t="shared" si="6"/>
        <v>5134.9500000000044</v>
      </c>
      <c r="AJ53" s="440">
        <f t="shared" si="7"/>
        <v>0.84313179742631805</v>
      </c>
      <c r="AK53" s="441">
        <f t="shared" si="8"/>
        <v>0.71644873391448738</v>
      </c>
      <c r="AL53" s="442">
        <f t="shared" si="9"/>
        <v>0.73454090081139256</v>
      </c>
      <c r="AM53" s="443" t="str">
        <f t="shared" si="10"/>
        <v>-0.07 pts.</v>
      </c>
      <c r="AN53" s="444" t="str">
        <f t="shared" si="11"/>
        <v>-0.34 pts.</v>
      </c>
      <c r="AO53" s="11"/>
    </row>
    <row r="54" spans="1:41" x14ac:dyDescent="0.35">
      <c r="A54" s="65" t="s">
        <v>34</v>
      </c>
      <c r="B54" s="66"/>
      <c r="C54" s="11"/>
      <c r="D54" s="11"/>
      <c r="E54" s="11"/>
      <c r="F54" s="11"/>
      <c r="G54" s="11"/>
      <c r="H54" s="88" t="s">
        <v>536</v>
      </c>
      <c r="I54" s="122" t="str">
        <f>IF(_epmOfflineCondition_,"T4",_xll.EVPRO($B$1,$H54,"STYLE"))</f>
        <v>T4</v>
      </c>
      <c r="J54" s="122" t="str">
        <f>IF(_epmOfflineCondition_,"Y",_xll.EVPRO($B$1,$H54,"CALC"))</f>
        <v>Y</v>
      </c>
      <c r="K54" s="179" t="str">
        <f t="shared" si="0"/>
        <v>&gt;</v>
      </c>
      <c r="L54" s="90" t="str">
        <f>IF(_epmOfflineCondition_,"751500",_xll.EVPRO($B$1,H54,"JDEID"))</f>
        <v>751500</v>
      </c>
      <c r="M54" s="90" t="str">
        <f>IF(_epmOfflineCondition_,"",IF(AND(I54="N",J54="N"),_xll.EVPRO($B$1,H54,"PSFTID"),""))</f>
        <v/>
      </c>
      <c r="N54" s="90" t="str">
        <f>IF(_epmOfflineCondition_,"Other Insurance",IF(_xll.EVDES(H54,$B$1)="#NODATA","",_xll.EVDES(H54,$B$1)))</f>
        <v>Other Insurance</v>
      </c>
      <c r="O54" s="217">
        <v>717.85</v>
      </c>
      <c r="P54" s="217">
        <v>717.85</v>
      </c>
      <c r="Q54" s="217">
        <v>717.85</v>
      </c>
      <c r="R54" s="217">
        <v>717.85</v>
      </c>
      <c r="S54" s="217">
        <v>717.77</v>
      </c>
      <c r="T54" s="217">
        <v>717.77</v>
      </c>
      <c r="U54" s="217">
        <v>717.77</v>
      </c>
      <c r="V54" s="217">
        <v>775.07</v>
      </c>
      <c r="W54" s="217">
        <v>736.87</v>
      </c>
      <c r="X54" s="217">
        <v>736.87</v>
      </c>
      <c r="Y54" s="217">
        <v>736.87</v>
      </c>
      <c r="Z54" s="217">
        <v>711.45</v>
      </c>
      <c r="AA54" s="217">
        <f t="shared" si="1"/>
        <v>8721.84</v>
      </c>
      <c r="AB54" s="219">
        <f t="shared" si="2"/>
        <v>7.325261085719926E-4</v>
      </c>
      <c r="AC54" s="140"/>
      <c r="AD54" s="217">
        <v>9423.4</v>
      </c>
      <c r="AE54" s="219">
        <f t="shared" si="3"/>
        <v>1.1308982658738305E-3</v>
      </c>
      <c r="AF54" s="220">
        <f t="shared" si="4"/>
        <v>-701.55999999999949</v>
      </c>
      <c r="AG54" s="217">
        <v>11421.01</v>
      </c>
      <c r="AH54" s="219">
        <f t="shared" si="5"/>
        <v>2.1907257183936442E-3</v>
      </c>
      <c r="AI54" s="220">
        <f t="shared" si="6"/>
        <v>-2699.17</v>
      </c>
      <c r="AJ54" s="449">
        <f t="shared" si="7"/>
        <v>0.18102615193026153</v>
      </c>
      <c r="AK54" s="450">
        <f t="shared" si="8"/>
        <v>0.1955873806558738</v>
      </c>
      <c r="AL54" s="451">
        <f t="shared" si="9"/>
        <v>0.23640110117569135</v>
      </c>
      <c r="AM54" s="452" t="str">
        <f t="shared" si="10"/>
        <v>-0.04 pts.</v>
      </c>
      <c r="AN54" s="453" t="str">
        <f t="shared" si="11"/>
        <v>-0.15 pts.</v>
      </c>
      <c r="AO54" s="11"/>
    </row>
    <row r="55" spans="1:41" x14ac:dyDescent="0.35">
      <c r="A55" s="65" t="s">
        <v>35</v>
      </c>
      <c r="B55" s="66"/>
      <c r="C55" s="11"/>
      <c r="D55" s="11"/>
      <c r="E55" s="11"/>
      <c r="F55" s="11"/>
      <c r="G55" s="11"/>
      <c r="H55" s="88" t="s">
        <v>537</v>
      </c>
      <c r="I55" s="188" t="str">
        <f>IF(_epmOfflineCondition_,"T3",_xll.EVPRO($B$1,$H55,"STYLE"))</f>
        <v>T3</v>
      </c>
      <c r="J55" s="188" t="str">
        <f>IF(_epmOfflineCondition_,"Y",_xll.EVPRO($B$1,$H55,"CALC"))</f>
        <v>Y</v>
      </c>
      <c r="K55" s="189" t="str">
        <f t="shared" si="0"/>
        <v/>
      </c>
      <c r="L55" s="190" t="str">
        <f>IF(_epmOfflineCondition_,"751000",_xll.EVPRO($B$1,H55,"JDEID"))</f>
        <v>751000</v>
      </c>
      <c r="M55" s="190" t="str">
        <f>IF(_epmOfflineCondition_,"",IF(AND(I55="N",J55="N"),_xll.EVPRO($B$1,H55,"PSFTID"),""))</f>
        <v/>
      </c>
      <c r="N55" s="190" t="str">
        <f>IF(_epmOfflineCondition_,"Total Insurance",IF(_xll.EVDES(H55,$B$1)="#NODATA","",_xll.EVDES(H55,$B$1)))</f>
        <v>Total Insurance</v>
      </c>
      <c r="O55" s="154">
        <v>68296.2</v>
      </c>
      <c r="P55" s="154">
        <v>68296.2</v>
      </c>
      <c r="Q55" s="154">
        <v>68296.2</v>
      </c>
      <c r="R55" s="154">
        <v>68296.2</v>
      </c>
      <c r="S55" s="154">
        <v>68296.12</v>
      </c>
      <c r="T55" s="154">
        <v>68298.2</v>
      </c>
      <c r="U55" s="154">
        <v>68298.12</v>
      </c>
      <c r="V55" s="154">
        <v>69443.539999999994</v>
      </c>
      <c r="W55" s="154">
        <v>70888.7</v>
      </c>
      <c r="X55" s="154">
        <v>70888.58</v>
      </c>
      <c r="Y55" s="154">
        <v>70888.570000000007</v>
      </c>
      <c r="Z55" s="154">
        <v>71557.460000000006</v>
      </c>
      <c r="AA55" s="154">
        <f t="shared" si="1"/>
        <v>831744.08999999985</v>
      </c>
      <c r="AB55" s="155">
        <f t="shared" si="2"/>
        <v>6.9856161265908698E-2</v>
      </c>
      <c r="AC55" s="240"/>
      <c r="AD55" s="154">
        <v>842595.76</v>
      </c>
      <c r="AE55" s="155">
        <f t="shared" si="3"/>
        <v>0.10111956234656731</v>
      </c>
      <c r="AF55" s="156">
        <f t="shared" si="4"/>
        <v>-10851.670000000158</v>
      </c>
      <c r="AG55" s="154">
        <v>755029.33</v>
      </c>
      <c r="AH55" s="155">
        <f t="shared" si="5"/>
        <v>0.14482626066981133</v>
      </c>
      <c r="AI55" s="156">
        <f t="shared" si="6"/>
        <v>76714.759999999893</v>
      </c>
      <c r="AJ55" s="246">
        <f t="shared" si="7"/>
        <v>17.263264632627642</v>
      </c>
      <c r="AK55" s="247">
        <f t="shared" si="8"/>
        <v>17.488496471564964</v>
      </c>
      <c r="AL55" s="249">
        <f t="shared" si="9"/>
        <v>15.628194444444443</v>
      </c>
      <c r="AM55" s="433" t="str">
        <f t="shared" si="10"/>
        <v>-3.13 pts.</v>
      </c>
      <c r="AN55" s="617" t="str">
        <f t="shared" si="11"/>
        <v>-7.5 pts.</v>
      </c>
      <c r="AO55" s="11"/>
    </row>
    <row r="56" spans="1:41" x14ac:dyDescent="0.35">
      <c r="A56" s="65" t="s">
        <v>36</v>
      </c>
      <c r="B56" s="66"/>
      <c r="C56" s="11"/>
      <c r="D56" s="11"/>
      <c r="E56" s="11"/>
      <c r="F56" s="11"/>
      <c r="G56" s="11"/>
      <c r="H56" s="88" t="s">
        <v>545</v>
      </c>
      <c r="I56" s="610" t="str">
        <f>IF(_epmOfflineCondition_,"B1",_xll.EVPRO($B$1,$H56,"STYLE"))</f>
        <v>B1</v>
      </c>
      <c r="J56" s="610" t="str">
        <f>IF(_epmOfflineCondition_,"Y",_xll.EVPRO($B$1,$H56,"CALC"))</f>
        <v>Y</v>
      </c>
      <c r="K56" s="611" t="str">
        <f t="shared" si="0"/>
        <v/>
      </c>
      <c r="L56" s="611" t="str">
        <f>IF(_epmOfflineCondition_,"",_xll.EVPRO($B$1,H56,"JDEID"))</f>
        <v/>
      </c>
      <c r="M56" s="611" t="str">
        <f>IF(_epmOfflineCondition_,"",IF(AND(I56="N",J56="N"),_xll.EVPRO($B$1,H56,"PSFTID"),""))</f>
        <v/>
      </c>
      <c r="N56" s="611" t="str">
        <f>IF(_epmOfflineCondition_,"Other",IF(_xll.EVDES(H56,$B$1)="#NODATA","",_xll.EVDES(H56,$B$1)))</f>
        <v>Other</v>
      </c>
      <c r="O56" s="143"/>
      <c r="P56" s="143"/>
      <c r="Q56" s="143"/>
      <c r="R56" s="143"/>
      <c r="S56" s="143"/>
      <c r="T56" s="143"/>
      <c r="U56" s="143"/>
      <c r="V56" s="143"/>
      <c r="W56" s="143"/>
      <c r="X56" s="143"/>
      <c r="Y56" s="143"/>
      <c r="Z56" s="143"/>
      <c r="AA56" s="143" t="str">
        <f t="shared" si="1"/>
        <v/>
      </c>
      <c r="AB56" s="144" t="str">
        <f t="shared" si="2"/>
        <v/>
      </c>
      <c r="AC56" s="140"/>
      <c r="AD56" s="143"/>
      <c r="AE56" s="144" t="str">
        <f t="shared" si="3"/>
        <v/>
      </c>
      <c r="AF56" s="145" t="str">
        <f t="shared" si="4"/>
        <v/>
      </c>
      <c r="AG56" s="143"/>
      <c r="AH56" s="144" t="str">
        <f t="shared" si="5"/>
        <v/>
      </c>
      <c r="AI56" s="145" t="str">
        <f t="shared" si="6"/>
        <v/>
      </c>
      <c r="AJ56" s="440">
        <f t="shared" si="7"/>
        <v>0</v>
      </c>
      <c r="AK56" s="441">
        <f t="shared" si="8"/>
        <v>0</v>
      </c>
      <c r="AL56" s="442">
        <f t="shared" si="9"/>
        <v>0</v>
      </c>
      <c r="AM56" s="443">
        <f t="shared" si="10"/>
        <v>0</v>
      </c>
      <c r="AN56" s="444">
        <f t="shared" si="11"/>
        <v>0</v>
      </c>
      <c r="AO56" s="11"/>
    </row>
    <row r="57" spans="1:41" x14ac:dyDescent="0.35">
      <c r="A57" s="65" t="s">
        <v>37</v>
      </c>
      <c r="B57" s="66"/>
      <c r="C57" s="11"/>
      <c r="D57" s="11"/>
      <c r="E57" s="11"/>
      <c r="F57" s="11"/>
      <c r="G57" s="11"/>
      <c r="H57" s="88" t="s">
        <v>538</v>
      </c>
      <c r="I57" s="122" t="str">
        <f>IF(_epmOfflineCondition_,"N",_xll.EVPRO($B$1,$H57,"STYLE"))</f>
        <v>N</v>
      </c>
      <c r="J57" s="122" t="str">
        <f>IF(_epmOfflineCondition_,"N",_xll.EVPRO($B$1,$H57,"CALC"))</f>
        <v>N</v>
      </c>
      <c r="K57" s="179" t="str">
        <f t="shared" si="0"/>
        <v/>
      </c>
      <c r="L57" s="90" t="str">
        <f>IF(_epmOfflineCondition_,"801290",_xll.EVPRO($B$1,H57,"JDEID"))</f>
        <v>801290</v>
      </c>
      <c r="M57" s="90" t="str">
        <f>IF(_epmOfflineCondition_,"690850",IF(AND(I57="N",J57="N"),_xll.EVPRO($B$1,H57,"PSFTID"),""))</f>
        <v>690850</v>
      </c>
      <c r="N57" s="90" t="str">
        <f>IF(_epmOfflineCondition_,"Cost Recovery Expense (CAM)",IF(_xll.EVDES(H57,$B$1)="#NODATA","",_xll.EVDES(H57,$B$1)))</f>
        <v>Cost Recovery Expense (CAM)</v>
      </c>
      <c r="O57" s="143"/>
      <c r="P57" s="143"/>
      <c r="Q57" s="143"/>
      <c r="R57" s="143"/>
      <c r="S57" s="143"/>
      <c r="T57" s="143"/>
      <c r="U57" s="143"/>
      <c r="V57" s="143"/>
      <c r="W57" s="143"/>
      <c r="X57" s="143"/>
      <c r="Y57" s="143"/>
      <c r="Z57" s="143"/>
      <c r="AA57" s="143">
        <f t="shared" si="1"/>
        <v>0</v>
      </c>
      <c r="AB57" s="144" t="str">
        <f t="shared" si="2"/>
        <v/>
      </c>
      <c r="AC57" s="140"/>
      <c r="AD57" s="143"/>
      <c r="AE57" s="144" t="str">
        <f t="shared" si="3"/>
        <v/>
      </c>
      <c r="AF57" s="145">
        <f t="shared" si="4"/>
        <v>0</v>
      </c>
      <c r="AG57" s="143"/>
      <c r="AH57" s="144" t="str">
        <f t="shared" si="5"/>
        <v/>
      </c>
      <c r="AI57" s="145">
        <f t="shared" si="6"/>
        <v>0</v>
      </c>
      <c r="AJ57" s="440">
        <f t="shared" si="7"/>
        <v>0</v>
      </c>
      <c r="AK57" s="441">
        <f t="shared" si="8"/>
        <v>0</v>
      </c>
      <c r="AL57" s="442">
        <f t="shared" si="9"/>
        <v>0</v>
      </c>
      <c r="AM57" s="443">
        <f t="shared" si="10"/>
        <v>0</v>
      </c>
      <c r="AN57" s="444">
        <f t="shared" si="11"/>
        <v>0</v>
      </c>
      <c r="AO57" s="11"/>
    </row>
    <row r="58" spans="1:41" x14ac:dyDescent="0.35">
      <c r="A58" s="65" t="s">
        <v>38</v>
      </c>
      <c r="B58" s="66"/>
      <c r="C58" s="11"/>
      <c r="D58" s="11"/>
      <c r="E58" s="11"/>
      <c r="F58" s="11"/>
      <c r="G58" s="11"/>
      <c r="H58" s="88" t="s">
        <v>539</v>
      </c>
      <c r="I58" s="122" t="str">
        <f>IF(_epmOfflineCondition_,"N",_xll.EVPRO($B$1,$H58,"STYLE"))</f>
        <v>N</v>
      </c>
      <c r="J58" s="122" t="str">
        <f>IF(_epmOfflineCondition_,"N",_xll.EVPRO($B$1,$H58,"CALC"))</f>
        <v>N</v>
      </c>
      <c r="K58" s="179" t="str">
        <f t="shared" si="0"/>
        <v/>
      </c>
      <c r="L58" s="90" t="str">
        <f>IF(_epmOfflineCondition_,"801300",_xll.EVPRO($B$1,H58,"JDEID"))</f>
        <v>801300</v>
      </c>
      <c r="M58" s="90" t="str">
        <f>IF(_epmOfflineCondition_,"790095",IF(AND(I58="N",J58="N"),_xll.EVPRO($B$1,H58,"PSFTID"),""))</f>
        <v>790095</v>
      </c>
      <c r="N58" s="90" t="str">
        <f>IF(_epmOfflineCondition_,"Gain/Loss on Fixed Assets",IF(_xll.EVDES(H58,$B$1)="#NODATA","",_xll.EVDES(H58,$B$1)))</f>
        <v>Gain/Loss on Fixed Assets</v>
      </c>
      <c r="O58" s="143"/>
      <c r="P58" s="143"/>
      <c r="Q58" s="143"/>
      <c r="R58" s="143"/>
      <c r="S58" s="143"/>
      <c r="T58" s="143"/>
      <c r="U58" s="143"/>
      <c r="V58" s="143"/>
      <c r="W58" s="143"/>
      <c r="X58" s="143"/>
      <c r="Y58" s="143"/>
      <c r="Z58" s="143"/>
      <c r="AA58" s="143">
        <f t="shared" si="1"/>
        <v>0</v>
      </c>
      <c r="AB58" s="144" t="str">
        <f t="shared" si="2"/>
        <v/>
      </c>
      <c r="AC58" s="140"/>
      <c r="AD58" s="143"/>
      <c r="AE58" s="144" t="str">
        <f t="shared" si="3"/>
        <v/>
      </c>
      <c r="AF58" s="145">
        <f t="shared" si="4"/>
        <v>0</v>
      </c>
      <c r="AG58" s="143"/>
      <c r="AH58" s="144" t="str">
        <f t="shared" si="5"/>
        <v/>
      </c>
      <c r="AI58" s="145">
        <f t="shared" si="6"/>
        <v>0</v>
      </c>
      <c r="AJ58" s="440">
        <f t="shared" si="7"/>
        <v>0</v>
      </c>
      <c r="AK58" s="441">
        <f t="shared" si="8"/>
        <v>0</v>
      </c>
      <c r="AL58" s="442">
        <f t="shared" si="9"/>
        <v>0</v>
      </c>
      <c r="AM58" s="443">
        <f t="shared" si="10"/>
        <v>0</v>
      </c>
      <c r="AN58" s="444">
        <f t="shared" si="11"/>
        <v>0</v>
      </c>
      <c r="AO58" s="11"/>
    </row>
    <row r="59" spans="1:41" x14ac:dyDescent="0.35">
      <c r="A59" s="65" t="s">
        <v>39</v>
      </c>
      <c r="B59" s="66"/>
      <c r="C59" s="11"/>
      <c r="D59" s="11"/>
      <c r="E59" s="11"/>
      <c r="F59" s="11"/>
      <c r="G59" s="11"/>
      <c r="H59" s="88" t="s">
        <v>786</v>
      </c>
      <c r="I59" s="122" t="str">
        <f>IF(_epmOfflineCondition_,"N",_xll.EVPRO($B$1,$H59,"STYLE"))</f>
        <v>N</v>
      </c>
      <c r="J59" s="122" t="str">
        <f>IF(_epmOfflineCondition_,"N",_xll.EVPRO($B$1,$H59,"CALC"))</f>
        <v>N</v>
      </c>
      <c r="K59" s="179" t="str">
        <f t="shared" si="0"/>
        <v/>
      </c>
      <c r="L59" s="90" t="str">
        <f>IF(_epmOfflineCondition_,"801310",_xll.EVPRO($B$1,H59,"JDEID"))</f>
        <v>801310</v>
      </c>
      <c r="M59" s="90" t="str">
        <f>IF(_epmOfflineCondition_,"790083",IF(AND(I59="N",J59="N"),_xll.EVPRO($B$1,H59,"PSFTID"),""))</f>
        <v>790083</v>
      </c>
      <c r="N59" s="90" t="str">
        <f>IF(_epmOfflineCondition_,"Lease Asset Impairment",IF(_xll.EVDES(H59,$B$1)="#NODATA","",_xll.EVDES(H59,$B$1)))</f>
        <v>Lease Asset Impairment</v>
      </c>
      <c r="O59" s="143"/>
      <c r="P59" s="143"/>
      <c r="Q59" s="143"/>
      <c r="R59" s="143"/>
      <c r="S59" s="143"/>
      <c r="T59" s="143"/>
      <c r="U59" s="143"/>
      <c r="V59" s="143"/>
      <c r="W59" s="143"/>
      <c r="X59" s="143"/>
      <c r="Y59" s="143"/>
      <c r="Z59" s="143"/>
      <c r="AA59" s="143">
        <f t="shared" si="1"/>
        <v>0</v>
      </c>
      <c r="AB59" s="144" t="str">
        <f t="shared" si="2"/>
        <v/>
      </c>
      <c r="AC59" s="140"/>
      <c r="AD59" s="143"/>
      <c r="AE59" s="144" t="str">
        <f t="shared" si="3"/>
        <v/>
      </c>
      <c r="AF59" s="145">
        <f t="shared" si="4"/>
        <v>0</v>
      </c>
      <c r="AG59" s="143"/>
      <c r="AH59" s="144" t="str">
        <f t="shared" si="5"/>
        <v/>
      </c>
      <c r="AI59" s="145">
        <f t="shared" si="6"/>
        <v>0</v>
      </c>
      <c r="AJ59" s="440">
        <f t="shared" si="7"/>
        <v>0</v>
      </c>
      <c r="AK59" s="441">
        <f t="shared" si="8"/>
        <v>0</v>
      </c>
      <c r="AL59" s="442">
        <f t="shared" si="9"/>
        <v>0</v>
      </c>
      <c r="AM59" s="443">
        <f t="shared" si="10"/>
        <v>0</v>
      </c>
      <c r="AN59" s="444">
        <f t="shared" si="11"/>
        <v>0</v>
      </c>
      <c r="AO59" s="11"/>
    </row>
    <row r="60" spans="1:41" x14ac:dyDescent="0.35">
      <c r="A60" s="65" t="s">
        <v>40</v>
      </c>
      <c r="B60" s="66"/>
      <c r="C60" s="11"/>
      <c r="D60" s="11"/>
      <c r="E60" s="11"/>
      <c r="F60" s="11"/>
      <c r="G60" s="11"/>
      <c r="H60" s="88" t="s">
        <v>801</v>
      </c>
      <c r="I60" s="122" t="str">
        <f>IF(_epmOfflineCondition_,"N",_xll.EVPRO($B$1,$H60,"STYLE"))</f>
        <v>N</v>
      </c>
      <c r="J60" s="122" t="str">
        <f>IF(_epmOfflineCondition_,"N",_xll.EVPRO($B$1,$H60,"CALC"))</f>
        <v>N</v>
      </c>
      <c r="K60" s="179" t="str">
        <f t="shared" si="0"/>
        <v/>
      </c>
      <c r="L60" s="90" t="str">
        <f>IF(_epmOfflineCondition_,"801315",_xll.EVPRO($B$1,H60,"JDEID"))</f>
        <v>801315</v>
      </c>
      <c r="M60" s="90" t="str">
        <f>IF(_epmOfflineCondition_,"790082",IF(AND(I60="N",J60="N"),_xll.EVPRO($B$1,H60,"PSFTID"),""))</f>
        <v>790082</v>
      </c>
      <c r="N60" s="90" t="str">
        <f>IF(_epmOfflineCondition_,"Gain/Loss Disposal - Other Lease",IF(_xll.EVDES(H60,$B$1)="#NODATA","",_xll.EVDES(H60,$B$1)))</f>
        <v>Gain/Loss Disposal - Other Lease</v>
      </c>
      <c r="O60" s="143"/>
      <c r="P60" s="143"/>
      <c r="Q60" s="143"/>
      <c r="R60" s="143"/>
      <c r="S60" s="143"/>
      <c r="T60" s="143"/>
      <c r="U60" s="143"/>
      <c r="V60" s="143"/>
      <c r="W60" s="143"/>
      <c r="X60" s="143"/>
      <c r="Y60" s="143"/>
      <c r="Z60" s="143"/>
      <c r="AA60" s="143">
        <f t="shared" si="1"/>
        <v>0</v>
      </c>
      <c r="AB60" s="144" t="str">
        <f t="shared" si="2"/>
        <v/>
      </c>
      <c r="AC60" s="140"/>
      <c r="AD60" s="143"/>
      <c r="AE60" s="144" t="str">
        <f t="shared" si="3"/>
        <v/>
      </c>
      <c r="AF60" s="145">
        <f t="shared" si="4"/>
        <v>0</v>
      </c>
      <c r="AG60" s="143"/>
      <c r="AH60" s="144" t="str">
        <f t="shared" si="5"/>
        <v/>
      </c>
      <c r="AI60" s="145">
        <f t="shared" si="6"/>
        <v>0</v>
      </c>
      <c r="AJ60" s="440">
        <f t="shared" si="7"/>
        <v>0</v>
      </c>
      <c r="AK60" s="441">
        <f t="shared" si="8"/>
        <v>0</v>
      </c>
      <c r="AL60" s="442">
        <f t="shared" si="9"/>
        <v>0</v>
      </c>
      <c r="AM60" s="443">
        <f t="shared" si="10"/>
        <v>0</v>
      </c>
      <c r="AN60" s="444">
        <f t="shared" si="11"/>
        <v>0</v>
      </c>
      <c r="AO60" s="11"/>
    </row>
    <row r="61" spans="1:41" x14ac:dyDescent="0.35">
      <c r="A61" s="65" t="s">
        <v>41</v>
      </c>
      <c r="B61" s="66"/>
      <c r="C61" s="11"/>
      <c r="D61" s="11"/>
      <c r="E61" s="11"/>
      <c r="F61" s="11"/>
      <c r="G61" s="11"/>
      <c r="H61" s="88" t="s">
        <v>769</v>
      </c>
      <c r="I61" s="122" t="str">
        <f>IF(_epmOfflineCondition_,"T4",_xll.EVPRO($B$1,$H61,"STYLE"))</f>
        <v>T4</v>
      </c>
      <c r="J61" s="122" t="str">
        <f>IF(_epmOfflineCondition_,"Y",_xll.EVPRO($B$1,$H61,"CALC"))</f>
        <v>Y</v>
      </c>
      <c r="K61" s="179" t="str">
        <f t="shared" si="0"/>
        <v>&gt;</v>
      </c>
      <c r="L61" s="90" t="str">
        <f>IF(_epmOfflineCondition_,"",_xll.EVPRO($B$1,H61,"JDEID"))</f>
        <v/>
      </c>
      <c r="M61" s="90" t="str">
        <f>IF(_epmOfflineCondition_,"",IF(AND(I61="N",J61="N"),_xll.EVPRO($B$1,H61,"PSFTID"),""))</f>
        <v/>
      </c>
      <c r="N61" s="90" t="str">
        <f>IF(_epmOfflineCondition_,"Owner's Expense",IF(_xll.EVDES(H61,$B$1)="#NODATA","",_xll.EVDES(H61,$B$1)))</f>
        <v>Owner's Expense</v>
      </c>
      <c r="O61" s="143"/>
      <c r="P61" s="143"/>
      <c r="Q61" s="143"/>
      <c r="R61" s="143"/>
      <c r="S61" s="143"/>
      <c r="T61" s="143"/>
      <c r="U61" s="143"/>
      <c r="V61" s="143"/>
      <c r="W61" s="143"/>
      <c r="X61" s="143"/>
      <c r="Y61" s="143"/>
      <c r="Z61" s="143"/>
      <c r="AA61" s="143">
        <f t="shared" si="1"/>
        <v>0</v>
      </c>
      <c r="AB61" s="144" t="str">
        <f t="shared" si="2"/>
        <v/>
      </c>
      <c r="AC61" s="140"/>
      <c r="AD61" s="143"/>
      <c r="AE61" s="144" t="str">
        <f t="shared" si="3"/>
        <v/>
      </c>
      <c r="AF61" s="145">
        <f t="shared" si="4"/>
        <v>0</v>
      </c>
      <c r="AG61" s="143">
        <v>34726.980000000003</v>
      </c>
      <c r="AH61" s="144">
        <f t="shared" si="5"/>
        <v>6.6611699147572515E-3</v>
      </c>
      <c r="AI61" s="145">
        <f t="shared" si="6"/>
        <v>-34726.980000000003</v>
      </c>
      <c r="AJ61" s="440">
        <f t="shared" si="7"/>
        <v>0</v>
      </c>
      <c r="AK61" s="441">
        <f t="shared" si="8"/>
        <v>0</v>
      </c>
      <c r="AL61" s="442">
        <f t="shared" si="9"/>
        <v>0.71880650769995036</v>
      </c>
      <c r="AM61" s="443">
        <f t="shared" si="10"/>
        <v>0</v>
      </c>
      <c r="AN61" s="444">
        <f t="shared" si="11"/>
        <v>0</v>
      </c>
      <c r="AO61" s="11"/>
    </row>
    <row r="62" spans="1:41" x14ac:dyDescent="0.35">
      <c r="A62" s="65" t="s">
        <v>42</v>
      </c>
      <c r="B62" s="66"/>
      <c r="C62" s="11"/>
      <c r="D62" s="11"/>
      <c r="E62" s="11"/>
      <c r="F62" s="11"/>
      <c r="G62" s="11"/>
      <c r="H62" s="88" t="s">
        <v>540</v>
      </c>
      <c r="I62" s="122" t="str">
        <f>IF(_epmOfflineCondition_,"N",_xll.EVPRO($B$1,$H62,"STYLE"))</f>
        <v>N</v>
      </c>
      <c r="J62" s="122" t="str">
        <f>IF(_epmOfflineCondition_,"N",_xll.EVPRO($B$1,$H62,"CALC"))</f>
        <v>N</v>
      </c>
      <c r="K62" s="179" t="str">
        <f t="shared" si="0"/>
        <v/>
      </c>
      <c r="L62" s="90" t="str">
        <f>IF(_epmOfflineCondition_,"801360",_xll.EVPRO($B$1,H62,"JDEID"))</f>
        <v>801360</v>
      </c>
      <c r="M62" s="90" t="str">
        <f>IF(_epmOfflineCondition_,"890125",IF(AND(I62="N",J62="N"),_xll.EVPRO($B$1,H62,"PSFTID"),""))</f>
        <v>890125</v>
      </c>
      <c r="N62" s="90" t="str">
        <f>IF(_epmOfflineCondition_,"Unrealized Foreign Exchange Gain/Loss",IF(_xll.EVDES(H62,$B$1)="#NODATA","",_xll.EVDES(H62,$B$1)))</f>
        <v>Unrealized Foreign Exchange Gain/Loss</v>
      </c>
      <c r="O62" s="143"/>
      <c r="P62" s="143"/>
      <c r="Q62" s="143"/>
      <c r="R62" s="143"/>
      <c r="S62" s="143"/>
      <c r="T62" s="143"/>
      <c r="U62" s="143"/>
      <c r="V62" s="143"/>
      <c r="W62" s="143"/>
      <c r="X62" s="143"/>
      <c r="Y62" s="143"/>
      <c r="Z62" s="143"/>
      <c r="AA62" s="143">
        <f t="shared" si="1"/>
        <v>0</v>
      </c>
      <c r="AB62" s="144" t="str">
        <f t="shared" si="2"/>
        <v/>
      </c>
      <c r="AC62" s="140"/>
      <c r="AD62" s="143"/>
      <c r="AE62" s="144" t="str">
        <f t="shared" si="3"/>
        <v/>
      </c>
      <c r="AF62" s="145">
        <f t="shared" si="4"/>
        <v>0</v>
      </c>
      <c r="AG62" s="143"/>
      <c r="AH62" s="144" t="str">
        <f t="shared" si="5"/>
        <v/>
      </c>
      <c r="AI62" s="145">
        <f t="shared" si="6"/>
        <v>0</v>
      </c>
      <c r="AJ62" s="440">
        <f t="shared" si="7"/>
        <v>0</v>
      </c>
      <c r="AK62" s="441">
        <f t="shared" si="8"/>
        <v>0</v>
      </c>
      <c r="AL62" s="442">
        <f t="shared" si="9"/>
        <v>0</v>
      </c>
      <c r="AM62" s="443">
        <f t="shared" si="10"/>
        <v>0</v>
      </c>
      <c r="AN62" s="444">
        <f t="shared" si="11"/>
        <v>0</v>
      </c>
      <c r="AO62" s="11"/>
    </row>
    <row r="63" spans="1:41" x14ac:dyDescent="0.35">
      <c r="A63" s="65" t="s">
        <v>43</v>
      </c>
      <c r="B63" s="66"/>
      <c r="C63" s="11"/>
      <c r="D63" s="11"/>
      <c r="E63" s="11"/>
      <c r="F63" s="11"/>
      <c r="G63" s="11"/>
      <c r="H63" s="88" t="s">
        <v>541</v>
      </c>
      <c r="I63" s="122" t="str">
        <f>IF(_epmOfflineCondition_,"T4",_xll.EVPRO($B$1,$H63,"STYLE"))</f>
        <v>T4</v>
      </c>
      <c r="J63" s="122" t="str">
        <f>IF(_epmOfflineCondition_,"Y",_xll.EVPRO($B$1,$H63,"CALC"))</f>
        <v>Y</v>
      </c>
      <c r="K63" s="179" t="str">
        <f t="shared" si="0"/>
        <v>&gt;</v>
      </c>
      <c r="L63" s="90" t="str">
        <f>IF(_epmOfflineCondition_,"",_xll.EVPRO($B$1,H63,"JDEID"))</f>
        <v/>
      </c>
      <c r="M63" s="90" t="str">
        <f>IF(_epmOfflineCondition_,"",IF(AND(I63="N",J63="N"),_xll.EVPRO($B$1,H63,"PSFTID"),""))</f>
        <v/>
      </c>
      <c r="N63" s="90" t="str">
        <f>IF(_epmOfflineCondition_,"Miscellaneous Other",IF(_xll.EVDES(H63,$B$1)="#NODATA","",_xll.EVDES(H63,$B$1)))</f>
        <v>Miscellaneous Other</v>
      </c>
      <c r="O63" s="217"/>
      <c r="P63" s="217"/>
      <c r="Q63" s="217"/>
      <c r="R63" s="217"/>
      <c r="S63" s="217"/>
      <c r="T63" s="217"/>
      <c r="U63" s="217"/>
      <c r="V63" s="217"/>
      <c r="W63" s="217"/>
      <c r="X63" s="217"/>
      <c r="Y63" s="217"/>
      <c r="Z63" s="217"/>
      <c r="AA63" s="217">
        <f t="shared" si="1"/>
        <v>0</v>
      </c>
      <c r="AB63" s="219" t="str">
        <f t="shared" si="2"/>
        <v/>
      </c>
      <c r="AC63" s="140"/>
      <c r="AD63" s="217"/>
      <c r="AE63" s="219" t="str">
        <f t="shared" si="3"/>
        <v/>
      </c>
      <c r="AF63" s="220">
        <f t="shared" si="4"/>
        <v>0</v>
      </c>
      <c r="AG63" s="217"/>
      <c r="AH63" s="219" t="str">
        <f t="shared" si="5"/>
        <v/>
      </c>
      <c r="AI63" s="220">
        <f t="shared" si="6"/>
        <v>0</v>
      </c>
      <c r="AJ63" s="449">
        <f t="shared" si="7"/>
        <v>0</v>
      </c>
      <c r="AK63" s="450">
        <f t="shared" si="8"/>
        <v>0</v>
      </c>
      <c r="AL63" s="451">
        <f t="shared" si="9"/>
        <v>0</v>
      </c>
      <c r="AM63" s="452">
        <f t="shared" si="10"/>
        <v>0</v>
      </c>
      <c r="AN63" s="453">
        <f t="shared" si="11"/>
        <v>0</v>
      </c>
      <c r="AO63" s="11"/>
    </row>
    <row r="64" spans="1:41" x14ac:dyDescent="0.35">
      <c r="A64" s="65" t="s">
        <v>44</v>
      </c>
      <c r="B64" s="66"/>
      <c r="C64" s="11"/>
      <c r="D64" s="11"/>
      <c r="E64" s="11"/>
      <c r="F64" s="11"/>
      <c r="G64" s="11"/>
      <c r="H64" s="88" t="s">
        <v>542</v>
      </c>
      <c r="I64" s="188" t="str">
        <f>IF(_epmOfflineCondition_,"T3",_xll.EVPRO($B$1,$H64,"STYLE"))</f>
        <v>T3</v>
      </c>
      <c r="J64" s="188" t="str">
        <f>IF(_epmOfflineCondition_,"Y",_xll.EVPRO($B$1,$H64,"CALC"))</f>
        <v>Y</v>
      </c>
      <c r="K64" s="189" t="str">
        <f t="shared" si="0"/>
        <v/>
      </c>
      <c r="L64" s="190" t="str">
        <f>IF(_epmOfflineCondition_,"801000",_xll.EVPRO($B$1,H64,"JDEID"))</f>
        <v>801000</v>
      </c>
      <c r="M64" s="190" t="str">
        <f>IF(_epmOfflineCondition_,"",IF(AND(I64="N",J64="N"),_xll.EVPRO($B$1,H64,"PSFTID"),""))</f>
        <v/>
      </c>
      <c r="N64" s="190" t="str">
        <f>IF(_epmOfflineCondition_,"Total Other",IF(_xll.EVDES(H64,$B$1)="#NODATA","",_xll.EVDES(H64,$B$1)))</f>
        <v>Total Other</v>
      </c>
      <c r="O64" s="154"/>
      <c r="P64" s="154"/>
      <c r="Q64" s="154"/>
      <c r="R64" s="154"/>
      <c r="S64" s="154"/>
      <c r="T64" s="154"/>
      <c r="U64" s="154"/>
      <c r="V64" s="154"/>
      <c r="W64" s="154"/>
      <c r="X64" s="154"/>
      <c r="Y64" s="154"/>
      <c r="Z64" s="154"/>
      <c r="AA64" s="154">
        <f t="shared" si="1"/>
        <v>0</v>
      </c>
      <c r="AB64" s="155" t="str">
        <f t="shared" si="2"/>
        <v/>
      </c>
      <c r="AC64" s="240"/>
      <c r="AD64" s="154"/>
      <c r="AE64" s="155" t="str">
        <f t="shared" si="3"/>
        <v/>
      </c>
      <c r="AF64" s="156">
        <f t="shared" si="4"/>
        <v>0</v>
      </c>
      <c r="AG64" s="154">
        <v>34726.980000000003</v>
      </c>
      <c r="AH64" s="155">
        <f t="shared" si="5"/>
        <v>6.6611699147572515E-3</v>
      </c>
      <c r="AI64" s="156">
        <f t="shared" si="6"/>
        <v>-34726.980000000003</v>
      </c>
      <c r="AJ64" s="246">
        <f t="shared" si="7"/>
        <v>0</v>
      </c>
      <c r="AK64" s="247">
        <f t="shared" si="8"/>
        <v>0</v>
      </c>
      <c r="AL64" s="249">
        <f t="shared" si="9"/>
        <v>0.71880650769995036</v>
      </c>
      <c r="AM64" s="433">
        <f t="shared" si="10"/>
        <v>0</v>
      </c>
      <c r="AN64" s="617">
        <f t="shared" si="11"/>
        <v>0</v>
      </c>
      <c r="AO64" s="11"/>
    </row>
    <row r="65" spans="1:41" x14ac:dyDescent="0.35">
      <c r="A65" s="65" t="s">
        <v>45</v>
      </c>
      <c r="B65" s="66"/>
      <c r="C65" s="11"/>
      <c r="D65" s="11"/>
      <c r="E65" s="11"/>
      <c r="F65" s="11"/>
      <c r="G65" s="11"/>
      <c r="H65" s="88"/>
      <c r="I65" s="89"/>
      <c r="J65" s="89"/>
      <c r="K65" s="265"/>
      <c r="L65" s="106"/>
      <c r="M65" s="106"/>
      <c r="N65" s="90" t="str">
        <f>N20</f>
        <v>Net Income-Development &amp; Renovation Projects</v>
      </c>
      <c r="O65" s="91">
        <f t="shared" ref="O65:Z65" si="12">O$20</f>
        <v>0</v>
      </c>
      <c r="P65" s="91">
        <f t="shared" si="12"/>
        <v>0</v>
      </c>
      <c r="Q65" s="91">
        <f t="shared" si="12"/>
        <v>0</v>
      </c>
      <c r="R65" s="91">
        <f t="shared" si="12"/>
        <v>0</v>
      </c>
      <c r="S65" s="91">
        <f t="shared" si="12"/>
        <v>0</v>
      </c>
      <c r="T65" s="91">
        <f t="shared" si="12"/>
        <v>0</v>
      </c>
      <c r="U65" s="91">
        <f t="shared" si="12"/>
        <v>0</v>
      </c>
      <c r="V65" s="91">
        <f t="shared" si="12"/>
        <v>0</v>
      </c>
      <c r="W65" s="91">
        <f t="shared" si="12"/>
        <v>0</v>
      </c>
      <c r="X65" s="91">
        <f t="shared" si="12"/>
        <v>0</v>
      </c>
      <c r="Y65" s="91">
        <f t="shared" si="12"/>
        <v>0</v>
      </c>
      <c r="Z65" s="91">
        <f t="shared" si="12"/>
        <v>0</v>
      </c>
      <c r="AA65" s="91">
        <f t="shared" si="1"/>
        <v>0</v>
      </c>
      <c r="AB65" s="100" t="str">
        <f t="shared" si="2"/>
        <v/>
      </c>
      <c r="AC65" s="11"/>
      <c r="AD65" s="91">
        <f>AD$20</f>
        <v>0</v>
      </c>
      <c r="AE65" s="100" t="str">
        <f t="shared" si="3"/>
        <v/>
      </c>
      <c r="AF65" s="92">
        <f t="shared" si="4"/>
        <v>0</v>
      </c>
      <c r="AG65" s="91">
        <f>AG$20</f>
        <v>0</v>
      </c>
      <c r="AH65" s="100" t="str">
        <f t="shared" si="5"/>
        <v/>
      </c>
      <c r="AI65" s="92">
        <f t="shared" si="6"/>
        <v>0</v>
      </c>
      <c r="AJ65" s="402">
        <f t="shared" si="7"/>
        <v>0</v>
      </c>
      <c r="AK65" s="403">
        <f t="shared" si="8"/>
        <v>0</v>
      </c>
      <c r="AL65" s="404">
        <f t="shared" si="9"/>
        <v>0</v>
      </c>
      <c r="AM65" s="405">
        <f t="shared" si="10"/>
        <v>0</v>
      </c>
      <c r="AN65" s="406">
        <f t="shared" si="11"/>
        <v>0</v>
      </c>
      <c r="AO65" s="11"/>
    </row>
    <row r="66" spans="1:41" x14ac:dyDescent="0.35">
      <c r="A66" s="65" t="s">
        <v>46</v>
      </c>
      <c r="B66" s="66"/>
      <c r="C66" s="11"/>
      <c r="D66" s="11"/>
      <c r="E66" s="11"/>
      <c r="F66" s="11"/>
      <c r="G66" s="11"/>
      <c r="H66" s="88"/>
      <c r="I66" s="89"/>
      <c r="J66" s="89"/>
      <c r="K66" s="265"/>
      <c r="L66" s="106"/>
      <c r="M66" s="106"/>
      <c r="N66" s="106" t="s">
        <v>588</v>
      </c>
      <c r="O66" s="112">
        <f t="shared" ref="O66:Z66" si="13">O64-O65</f>
        <v>0</v>
      </c>
      <c r="P66" s="112">
        <f t="shared" si="13"/>
        <v>0</v>
      </c>
      <c r="Q66" s="112">
        <f t="shared" si="13"/>
        <v>0</v>
      </c>
      <c r="R66" s="112">
        <f t="shared" si="13"/>
        <v>0</v>
      </c>
      <c r="S66" s="112">
        <f t="shared" si="13"/>
        <v>0</v>
      </c>
      <c r="T66" s="112">
        <f t="shared" si="13"/>
        <v>0</v>
      </c>
      <c r="U66" s="112">
        <f t="shared" si="13"/>
        <v>0</v>
      </c>
      <c r="V66" s="112">
        <f t="shared" si="13"/>
        <v>0</v>
      </c>
      <c r="W66" s="112">
        <f t="shared" si="13"/>
        <v>0</v>
      </c>
      <c r="X66" s="112">
        <f t="shared" si="13"/>
        <v>0</v>
      </c>
      <c r="Y66" s="112">
        <f t="shared" si="13"/>
        <v>0</v>
      </c>
      <c r="Z66" s="112">
        <f t="shared" si="13"/>
        <v>0</v>
      </c>
      <c r="AA66" s="112">
        <f t="shared" si="1"/>
        <v>0</v>
      </c>
      <c r="AB66" s="113" t="str">
        <f t="shared" si="2"/>
        <v/>
      </c>
      <c r="AC66" s="11"/>
      <c r="AD66" s="112">
        <f>AD64-AD65</f>
        <v>0</v>
      </c>
      <c r="AE66" s="113" t="str">
        <f t="shared" si="3"/>
        <v/>
      </c>
      <c r="AF66" s="114">
        <f t="shared" si="4"/>
        <v>0</v>
      </c>
      <c r="AG66" s="112">
        <f>AG64-AG65</f>
        <v>34726.980000000003</v>
      </c>
      <c r="AH66" s="113">
        <f t="shared" si="5"/>
        <v>6.6611699147572515E-3</v>
      </c>
      <c r="AI66" s="114">
        <f t="shared" si="6"/>
        <v>-34726.980000000003</v>
      </c>
      <c r="AJ66" s="388">
        <f t="shared" si="7"/>
        <v>0</v>
      </c>
      <c r="AK66" s="389">
        <f t="shared" si="8"/>
        <v>0</v>
      </c>
      <c r="AL66" s="390">
        <f t="shared" si="9"/>
        <v>0.71880650769995036</v>
      </c>
      <c r="AM66" s="391">
        <f t="shared" si="10"/>
        <v>0</v>
      </c>
      <c r="AN66" s="544">
        <f t="shared" si="11"/>
        <v>0</v>
      </c>
      <c r="AO66" s="11"/>
    </row>
    <row r="67" spans="1:41" x14ac:dyDescent="0.35">
      <c r="A67" s="11"/>
      <c r="B67" s="11"/>
      <c r="C67" s="11"/>
      <c r="D67" s="11"/>
      <c r="E67" s="11"/>
      <c r="F67" s="11"/>
      <c r="G67" s="11"/>
      <c r="H67" s="88" t="s">
        <v>543</v>
      </c>
      <c r="I67" s="136" t="str">
        <f>IF(_epmOfflineCondition_,"T2",_xll.EVPRO($B$1,$H67,"STYLE"))</f>
        <v>T2</v>
      </c>
      <c r="J67" s="136" t="str">
        <f>IF(_epmOfflineCondition_,"Y",_xll.EVPRO($B$1,$H67,"CALC"))</f>
        <v>Y</v>
      </c>
      <c r="K67" s="104"/>
      <c r="L67" s="59"/>
      <c r="M67" s="59"/>
      <c r="N67" s="106" t="str">
        <f>IF(_epmOfflineCondition_,"Total Non-Operating Income &amp; Expense",IF(_xll.EVDES(H67,$B$1)="#NODATA","",_xll.EVDES(H67,$B$1)))</f>
        <v>Total Non-Operating Income &amp; Expense</v>
      </c>
      <c r="O67" s="112">
        <f t="shared" ref="O67:Z67" si="14">O38+O42+O48+O55+O64-O65</f>
        <v>114825.2</v>
      </c>
      <c r="P67" s="112">
        <f t="shared" si="14"/>
        <v>114825.2</v>
      </c>
      <c r="Q67" s="112">
        <f t="shared" si="14"/>
        <v>114825.2</v>
      </c>
      <c r="R67" s="112">
        <f t="shared" si="14"/>
        <v>131414.39999999999</v>
      </c>
      <c r="S67" s="112">
        <f t="shared" si="14"/>
        <v>114825.12</v>
      </c>
      <c r="T67" s="112">
        <f t="shared" si="14"/>
        <v>52136.899999999994</v>
      </c>
      <c r="U67" s="112">
        <f t="shared" si="14"/>
        <v>114827.12</v>
      </c>
      <c r="V67" s="112">
        <f t="shared" si="14"/>
        <v>115972.54</v>
      </c>
      <c r="W67" s="112">
        <f t="shared" si="14"/>
        <v>118061.63</v>
      </c>
      <c r="X67" s="112">
        <f t="shared" si="14"/>
        <v>117417.58</v>
      </c>
      <c r="Y67" s="112">
        <f t="shared" si="14"/>
        <v>109752.45000000001</v>
      </c>
      <c r="Z67" s="112">
        <f t="shared" si="14"/>
        <v>110421.34</v>
      </c>
      <c r="AA67" s="112">
        <f t="shared" si="1"/>
        <v>1329304.6800000002</v>
      </c>
      <c r="AB67" s="113">
        <f t="shared" si="2"/>
        <v>0.11164506392538019</v>
      </c>
      <c r="AC67" s="11"/>
      <c r="AD67" s="112">
        <f>AD38+AD42+AD48+AD55+AD64-AD65</f>
        <v>1420962.65</v>
      </c>
      <c r="AE67" s="113">
        <f t="shared" si="3"/>
        <v>0.1705291292693171</v>
      </c>
      <c r="AF67" s="114">
        <f t="shared" si="4"/>
        <v>-91657.969999999739</v>
      </c>
      <c r="AG67" s="112">
        <f>AG38+AG42+AG48+AG55+AG64-AG65</f>
        <v>1347904.2999999998</v>
      </c>
      <c r="AH67" s="113">
        <f t="shared" si="5"/>
        <v>0.258548816255601</v>
      </c>
      <c r="AI67" s="114">
        <f t="shared" si="6"/>
        <v>-18599.619999999646</v>
      </c>
      <c r="AJ67" s="612">
        <f t="shared" si="7"/>
        <v>27.59038356164384</v>
      </c>
      <c r="AK67" s="613">
        <f t="shared" si="8"/>
        <v>29.492790577002904</v>
      </c>
      <c r="AL67" s="614">
        <f t="shared" si="9"/>
        <v>27.8999896506044</v>
      </c>
      <c r="AM67" s="615" t="str">
        <f t="shared" si="10"/>
        <v>-5.89 pts.</v>
      </c>
      <c r="AN67" s="616" t="str">
        <f t="shared" si="11"/>
        <v>-14.69 pts.</v>
      </c>
      <c r="AO67" s="11"/>
    </row>
    <row r="68" spans="1:41" x14ac:dyDescent="0.35">
      <c r="A68" s="11"/>
      <c r="B68" s="11"/>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c r="B80" s="11"/>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sheetData>
  <sheetProtection algorithmName="SHA-512" hashValue="NAVq5N9aMgQ0mxWpADah7qPhz6gSYhPXnhnwUsPTWylwZHeK3hk9EcB0ZIcXT5dgKO86HMTb0CVVfdtd2C+uYA==" saltValue="pxhYreKvkr+oDhUo7g16zA==" spinCount="100000" sheet="1" scenarios="1"/>
  <mergeCells count="2">
    <mergeCell ref="AD31:AE31"/>
    <mergeCell ref="AG31:AH31"/>
  </mergeCells>
  <dataValidations disablePrompts="1" count="2">
    <dataValidation type="list" allowBlank="1" sqref="B28" xr:uid="{00000000-0002-0000-2D00-000000000000}">
      <formula1>"ACCOUNT,BUSINESSUNIT,CATEGORY,DATASRC,DEPARTMENT,INTCO,MEASURES,RPTCURRENCY,TIME"</formula1>
    </dataValidation>
    <dataValidation type="list" allowBlank="1" sqref="B29" xr:uid="{00000000-0002-0000-2D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2467"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2467" r:id="rId7" name="FPMExcelClientSheetOptionstb1"/>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0">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554</v>
      </c>
      <c r="C2" s="11" t="str">
        <f>IF(_epmOfflineCondition_,"POD Allocation Out Account",_xll.EVDES(B2,$B$1))</f>
        <v>POD Allocation Out Account</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552</v>
      </c>
      <c r="C6" s="11" t="str">
        <f>IF(_epmOfflineCondition_,"House Laundry",_xll.EVDES(B6,$B$1))</f>
        <v>House Laundry</v>
      </c>
      <c r="D6" s="11"/>
      <c r="E6" s="58" t="str">
        <f>IF(_epmOfflineCondition_,"D1228",_xll.EVPRO($B$1,$B$6,$F$6))</f>
        <v>D1228</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IF(_epmOfflineCondition_,"'Laundry'!$B$2:$B$10",_xll.EVRNG($B$2:$B$10))</f>
        <v>'Laundry'!$B$2:$B$10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IF(_epmOfflineCondition_,"'Laundry'!$O$16:$AN$18",_xll.EVRNG($O$16:$AN$18))</f>
        <v>'Laundry'!$O$16:$AN$18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IF(_epmOfflineCondition_,"'Laundry'!$H$35:$H$36,'Laundry'!$H$38:$H$39,'Laundry'!$H$42:$H$43",_xll.EVRNG(H35:H36,H38:H39,H42:H43))</f>
        <v>'Laundry'!$H$35:$H$36,'Laundry'!$H$38:$H$39,'Laundry'!$H$42:$H$43</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IF(_epmOfflineCondition_,"'Laundry'!$A$36:$F$42",_xll.EVRNG(A36:F42))</f>
        <v>'Laundry'!$A$36:$F$42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IF(_epmOfflineCondition_,"'Laundry'!$A$81:$B$102",_xll.EVRNG($A$81:$B$102))</f>
        <v>'Laundry'!$A$81:$B$102</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IF(_epmOfflineCondition_,"House Laundry Department",IF(_xll.EVDES(B6,$B$1)="#NODATA","",_xll.EVDES(B6,$B$1)&amp;" Department"))</f>
        <v>House Laundry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746</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hidden="1" x14ac:dyDescent="0.35">
      <c r="A35" s="97" t="s">
        <v>92</v>
      </c>
      <c r="B35" s="98" t="s">
        <v>93</v>
      </c>
      <c r="C35" s="98" t="s">
        <v>94</v>
      </c>
      <c r="D35" s="98" t="s">
        <v>95</v>
      </c>
      <c r="E35" s="98" t="s">
        <v>96</v>
      </c>
      <c r="F35" s="99" t="s">
        <v>97</v>
      </c>
      <c r="G35" s="11"/>
      <c r="H35" s="88" t="s">
        <v>667</v>
      </c>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216"/>
      <c r="P35" s="216"/>
      <c r="Q35" s="216"/>
      <c r="R35" s="216"/>
      <c r="S35" s="216"/>
      <c r="T35" s="216"/>
      <c r="U35" s="216"/>
      <c r="V35" s="216"/>
      <c r="W35" s="216"/>
      <c r="X35" s="216"/>
      <c r="Y35" s="216"/>
      <c r="Z35" s="216"/>
      <c r="AA35" s="217">
        <f>IF($I35="B1","",SUM(O35:Z35))</f>
        <v>0</v>
      </c>
      <c r="AB35" s="218" t="str">
        <f>IF(AA35=0,"",IFERROR(AA35/AA$19,""))</f>
        <v/>
      </c>
      <c r="AC35" s="140"/>
      <c r="AD35" s="217"/>
      <c r="AE35" s="219" t="str">
        <f>IF(AD35=0,"",IFERROR(AD35/AD$19,""))</f>
        <v/>
      </c>
      <c r="AF35" s="220">
        <f>IF(AND($AA35="",AD35=""),"",$AA35-AD35)</f>
        <v>0</v>
      </c>
      <c r="AG35" s="217"/>
      <c r="AH35" s="219" t="str">
        <f>IF(AG35=0,"",IFERROR(AG35/AG$19,""))</f>
        <v/>
      </c>
      <c r="AI35" s="220">
        <f>IF(AND($AA35="",AG35=""),"",$AA35-AG35)</f>
        <v>0</v>
      </c>
      <c r="AJ35" s="440">
        <f>IFERROR(AA35/AA$20,0)</f>
        <v>0</v>
      </c>
      <c r="AK35" s="441">
        <f>IFERROR(AD35/AD$20,0)</f>
        <v>0</v>
      </c>
      <c r="AL35" s="442">
        <f>IFERROR(AG35/AG$20,0)</f>
        <v>0</v>
      </c>
      <c r="AM35" s="443">
        <f>+IFERROR(ROUND(($AB35-AE35)*100,2)&amp;" pts.",0)</f>
        <v>0</v>
      </c>
      <c r="AN35" s="444">
        <f>+IFERROR(ROUND(($AB35-AH35)*100,2)&amp;" pts.",0)</f>
        <v>0</v>
      </c>
      <c r="AO35" s="11"/>
    </row>
    <row r="36" spans="1:41" hidden="1" x14ac:dyDescent="0.35">
      <c r="A36" s="11"/>
      <c r="B36" s="11"/>
      <c r="C36" s="11"/>
      <c r="D36" s="11"/>
      <c r="E36" s="11"/>
      <c r="F36" s="11"/>
      <c r="G36" s="11"/>
      <c r="H36" s="88"/>
      <c r="I36" s="122" t="str">
        <f>IF(_epmOfflineCondition_,"",_xll.EVPRO($B$1,$H36,"STYLE"))</f>
        <v/>
      </c>
      <c r="J36" s="122" t="str">
        <f>IF(_epmOfflineCondition_,"",_xll.EVPRO($B$1,$H36,"CALC"))</f>
        <v/>
      </c>
      <c r="K36" s="179" t="str">
        <f>IF(AND(I36&gt;="T3"),"&gt;","")</f>
        <v/>
      </c>
      <c r="L36" s="90" t="str">
        <f>IF(_epmOfflineCondition_,"",_xll.EVPRO($B$1,H36,"JDEID"))</f>
        <v/>
      </c>
      <c r="M36" s="90" t="str">
        <f>IF(_epmOfflineCondition_,"",IF(AND(I36="N",J36="N"),_xll.EVPRO($B$1,H36,"PSFTID"),""))</f>
        <v/>
      </c>
      <c r="N36" s="90" t="str">
        <f>IF(_epmOfflineCondition_,"",IF(_xll.EVDES(H36,$B$1)="#NODATA","",_xll.EVDES(H36,$B$1)))</f>
        <v/>
      </c>
      <c r="O36" s="216"/>
      <c r="P36" s="216"/>
      <c r="Q36" s="216"/>
      <c r="R36" s="216"/>
      <c r="S36" s="216"/>
      <c r="T36" s="216"/>
      <c r="U36" s="216"/>
      <c r="V36" s="216"/>
      <c r="W36" s="216"/>
      <c r="X36" s="216"/>
      <c r="Y36" s="216"/>
      <c r="Z36" s="216"/>
      <c r="AA36" s="217">
        <f>IF($I36="B1","",SUM(O36:Z36))</f>
        <v>0</v>
      </c>
      <c r="AB36" s="218" t="str">
        <f>IF(AA36=0,"",IFERROR(AA36/AA$19,""))</f>
        <v/>
      </c>
      <c r="AC36" s="140"/>
      <c r="AD36" s="217"/>
      <c r="AE36" s="219" t="str">
        <f>IF(AD36=0,"",IFERROR(AD36/AD$19,""))</f>
        <v/>
      </c>
      <c r="AF36" s="220">
        <f>IF(AND($AA36="",AD36=""),"",$AA36-AD36)</f>
        <v>0</v>
      </c>
      <c r="AG36" s="217"/>
      <c r="AH36" s="219" t="str">
        <f>IF(AG36=0,"",IFERROR(AG36/AG$19,""))</f>
        <v/>
      </c>
      <c r="AI36" s="220">
        <f>IF(AND($AA36="",AG36=""),"",$AA36-AG36)</f>
        <v>0</v>
      </c>
      <c r="AJ36" s="440">
        <f>IFERROR(AA36/AA$20,0)</f>
        <v>0</v>
      </c>
      <c r="AK36" s="441">
        <f>IFERROR(AD36/AD$20,0)</f>
        <v>0</v>
      </c>
      <c r="AL36" s="442">
        <f>IFERROR(AG36/AG$20,0)</f>
        <v>0</v>
      </c>
      <c r="AM36" s="443">
        <f>+IFERROR(ROUND(($AB36-AE36)*100,2)&amp;" pts.",0)</f>
        <v>0</v>
      </c>
      <c r="AN36" s="444">
        <f>+IFERROR(ROUND(($AB36-AH36)*100,2)&amp;" pts.",0)</f>
        <v>0</v>
      </c>
      <c r="AO36" s="11"/>
    </row>
    <row r="37" spans="1:41" x14ac:dyDescent="0.3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IF(AND(I37&gt;="T3"),"&gt;","")</f>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91" t="str">
        <f>IF($I37="B1","",SUM(O37:Z37))</f>
        <v/>
      </c>
      <c r="AB37" s="198" t="str">
        <f>IF(AA37=0,"",IFERROR(AA37/AA$19,""))</f>
        <v/>
      </c>
      <c r="AC37" s="11"/>
      <c r="AD37" s="91"/>
      <c r="AE37" s="100" t="str">
        <f>IF(AD37=0,"",IFERROR(AD37/AD$19,""))</f>
        <v/>
      </c>
      <c r="AF37" s="92" t="str">
        <f>IF(AND($AA37="",AD37=""),"",$AA37-AD37)</f>
        <v/>
      </c>
      <c r="AG37" s="91"/>
      <c r="AH37" s="100" t="str">
        <f>IF(AG37=0,"",IFERROR(AG37/AG$19,""))</f>
        <v/>
      </c>
      <c r="AI37" s="92" t="str">
        <f>IF(AND($AA37="",AG37=""),"",$AA37-AG37)</f>
        <v/>
      </c>
      <c r="AJ37" s="397">
        <f>IFERROR(AA37/AA$20,0)</f>
        <v>0</v>
      </c>
      <c r="AK37" s="398">
        <f>IFERROR(AD37/AD$20,0)</f>
        <v>0</v>
      </c>
      <c r="AL37" s="399">
        <f>IFERROR(AG37/AG$20,0)</f>
        <v>0</v>
      </c>
      <c r="AM37" s="400">
        <f>+IFERROR(ROUND(($AB37-AE37)*100,2)&amp;" pts.",0)</f>
        <v>0</v>
      </c>
      <c r="AN37" s="401">
        <f>+IFERROR(ROUND(($AB37-AH37)*100,2)&amp;" pts.",0)</f>
        <v>0</v>
      </c>
      <c r="AO37" s="11"/>
    </row>
    <row r="38" spans="1:41" hidden="1" x14ac:dyDescent="0.35">
      <c r="A38" s="11" t="s">
        <v>100</v>
      </c>
      <c r="B38" s="11"/>
      <c r="C38" s="53" t="s">
        <v>101</v>
      </c>
      <c r="D38" s="11" t="s">
        <v>106</v>
      </c>
      <c r="E38" s="11"/>
      <c r="F38" s="11" t="s">
        <v>98</v>
      </c>
      <c r="G38" s="11"/>
      <c r="H38" s="88" t="s">
        <v>667</v>
      </c>
      <c r="I38" s="122" t="str">
        <f>IF(_epmOfflineCondition_,"",_xll.EVPRO($B$1,$H38,"STYLE"))</f>
        <v/>
      </c>
      <c r="J38" s="122" t="str">
        <f>IF(_epmOfflineCondition_,"",_xll.EVPRO($B$1,$H38,"CALC"))</f>
        <v/>
      </c>
      <c r="K38" s="179" t="str">
        <f>IF(AND(I38&gt;="T3"),"&gt;","")</f>
        <v/>
      </c>
      <c r="L38" s="90" t="str">
        <f>IF(_epmOfflineCondition_,"",_xll.EVPRO($B$1,H38,"JDEID"))</f>
        <v/>
      </c>
      <c r="M38" s="90" t="str">
        <f>IF(_epmOfflineCondition_,"",IF(AND(I38="N",J38="N"),_xll.EVPRO($B$1,H38,"PSFTID"),""))</f>
        <v/>
      </c>
      <c r="N38" s="90" t="str">
        <f>IF(_epmOfflineCondition_,"",IF(_xll.EVDES(H38,$B$1)="#NODATA","",_xll.EVDES(H38,$B$1)))</f>
        <v/>
      </c>
      <c r="O38" s="216"/>
      <c r="P38" s="216"/>
      <c r="Q38" s="216"/>
      <c r="R38" s="216"/>
      <c r="S38" s="216"/>
      <c r="T38" s="216"/>
      <c r="U38" s="216"/>
      <c r="V38" s="216"/>
      <c r="W38" s="216"/>
      <c r="X38" s="216"/>
      <c r="Y38" s="216"/>
      <c r="Z38" s="216"/>
      <c r="AA38" s="217">
        <f>IF($I38="B1","",SUM(O38:Z38))</f>
        <v>0</v>
      </c>
      <c r="AB38" s="218" t="str">
        <f>IF(AA38=0,"",IFERROR(AA38/AA$19,""))</f>
        <v/>
      </c>
      <c r="AC38" s="140"/>
      <c r="AD38" s="217"/>
      <c r="AE38" s="219" t="str">
        <f>IF(AD38=0,"",IFERROR(AD38/AD$19,""))</f>
        <v/>
      </c>
      <c r="AF38" s="220">
        <f>IF(AND($AA38="",AD38=""),"",$AA38-AD38)</f>
        <v>0</v>
      </c>
      <c r="AG38" s="217"/>
      <c r="AH38" s="219" t="str">
        <f>IF(AG38=0,"",IFERROR(AG38/AG$19,""))</f>
        <v/>
      </c>
      <c r="AI38" s="220">
        <f>IF(AND($AA38="",AG38=""),"",$AA38-AG38)</f>
        <v>0</v>
      </c>
      <c r="AJ38" s="449">
        <f>IFERROR(AA38/AA$20,0)</f>
        <v>0</v>
      </c>
      <c r="AK38" s="450">
        <f>IFERROR(AD38/AD$20,0)</f>
        <v>0</v>
      </c>
      <c r="AL38" s="451">
        <f>IFERROR(AG38/AG$20,0)</f>
        <v>0</v>
      </c>
      <c r="AM38" s="452">
        <f>+IFERROR(ROUND(($AB38-AE38)*100,2)&amp;" pts.",0)</f>
        <v>0</v>
      </c>
      <c r="AN38" s="453">
        <f>+IFERROR(ROUND(($AB38-AH38)*100,2)&amp;" pts.",0)</f>
        <v>0</v>
      </c>
      <c r="AO38" s="11"/>
    </row>
    <row r="39" spans="1:41" hidden="1" x14ac:dyDescent="0.35">
      <c r="A39" s="11" t="s">
        <v>109</v>
      </c>
      <c r="B39" s="11"/>
      <c r="C39" s="106" t="s">
        <v>101</v>
      </c>
      <c r="D39" s="11" t="s">
        <v>106</v>
      </c>
      <c r="E39" s="11"/>
      <c r="F39" s="11" t="s">
        <v>98</v>
      </c>
      <c r="G39" s="11"/>
      <c r="H39" s="88"/>
      <c r="I39" s="122" t="str">
        <f>IF(_epmOfflineCondition_,"",_xll.EVPRO($B$1,$H39,"STYLE"))</f>
        <v/>
      </c>
      <c r="J39" s="122" t="str">
        <f>IF(_epmOfflineCondition_,"",_xll.EVPRO($B$1,$H39,"CALC"))</f>
        <v/>
      </c>
      <c r="K39" s="179" t="str">
        <f>IF(AND(I39&gt;="T3"),"&gt;","")</f>
        <v/>
      </c>
      <c r="L39" s="90" t="str">
        <f>IF(_epmOfflineCondition_,"",_xll.EVPRO($B$1,H39,"JDEID"))</f>
        <v/>
      </c>
      <c r="M39" s="90" t="str">
        <f>IF(_epmOfflineCondition_,"",IF(AND(I39="N",J39="N"),_xll.EVPRO($B$1,H39,"PSFTID"),""))</f>
        <v/>
      </c>
      <c r="N39" s="90" t="str">
        <f>IF(_epmOfflineCondition_,"",IF(_xll.EVDES(H39,$B$1)="#NODATA","",_xll.EVDES(H39,$B$1)))</f>
        <v/>
      </c>
      <c r="O39" s="216"/>
      <c r="P39" s="216"/>
      <c r="Q39" s="216"/>
      <c r="R39" s="216"/>
      <c r="S39" s="216"/>
      <c r="T39" s="216"/>
      <c r="U39" s="216"/>
      <c r="V39" s="216"/>
      <c r="W39" s="216"/>
      <c r="X39" s="216"/>
      <c r="Y39" s="216"/>
      <c r="Z39" s="216"/>
      <c r="AA39" s="217">
        <f>IF($I39="B1","",SUM(O39:Z39))</f>
        <v>0</v>
      </c>
      <c r="AB39" s="218" t="str">
        <f>IF(AA39=0,"",IFERROR(AA39/AA$19,""))</f>
        <v/>
      </c>
      <c r="AC39" s="140"/>
      <c r="AD39" s="217"/>
      <c r="AE39" s="219" t="str">
        <f>IF(AD39=0,"",IFERROR(AD39/AD$19,""))</f>
        <v/>
      </c>
      <c r="AF39" s="220">
        <f>IF(AND($AA39="",AD39=""),"",$AA39-AD39)</f>
        <v>0</v>
      </c>
      <c r="AG39" s="217"/>
      <c r="AH39" s="219" t="str">
        <f>IF(AG39=0,"",IFERROR(AG39/AG$19,""))</f>
        <v/>
      </c>
      <c r="AI39" s="220">
        <f>IF(AND($AA39="",AG39=""),"",$AA39-AG39)</f>
        <v>0</v>
      </c>
      <c r="AJ39" s="449">
        <f>IFERROR(AA39/AA$20,0)</f>
        <v>0</v>
      </c>
      <c r="AK39" s="450">
        <f>IFERROR(AD39/AD$20,0)</f>
        <v>0</v>
      </c>
      <c r="AL39" s="451">
        <f>IFERROR(AG39/AG$20,0)</f>
        <v>0</v>
      </c>
      <c r="AM39" s="452">
        <f>+IFERROR(ROUND(($AB39-AE39)*100,2)&amp;" pts.",0)</f>
        <v>0</v>
      </c>
      <c r="AN39" s="453">
        <f>+IFERROR(ROUND(($AB39-AH39)*100,2)&amp;" pts.",0)</f>
        <v>0</v>
      </c>
      <c r="AO39" s="11"/>
    </row>
    <row r="40" spans="1:41" x14ac:dyDescent="0.35">
      <c r="A40" s="11" t="s">
        <v>109</v>
      </c>
      <c r="B40" s="11"/>
      <c r="C40" s="196" t="s">
        <v>101</v>
      </c>
      <c r="D40" s="11" t="s">
        <v>107</v>
      </c>
      <c r="E40" s="11"/>
      <c r="F40" s="11" t="s">
        <v>99</v>
      </c>
      <c r="G40" s="11"/>
      <c r="H40" s="106"/>
      <c r="I40" s="106"/>
      <c r="J40" s="106"/>
      <c r="K40" s="106"/>
      <c r="L40" s="106"/>
      <c r="M40" s="106"/>
      <c r="N40" s="106"/>
      <c r="O40" s="129"/>
      <c r="P40" s="130"/>
      <c r="Q40" s="130"/>
      <c r="R40" s="130"/>
      <c r="S40" s="130"/>
      <c r="T40" s="130"/>
      <c r="U40" s="130"/>
      <c r="V40" s="130"/>
      <c r="W40" s="130"/>
      <c r="X40" s="130"/>
      <c r="Y40" s="130"/>
      <c r="Z40" s="130"/>
      <c r="AA40" s="130"/>
      <c r="AB40" s="131"/>
      <c r="AC40" s="11"/>
      <c r="AD40" s="129"/>
      <c r="AE40" s="130"/>
      <c r="AF40" s="131"/>
      <c r="AG40" s="129"/>
      <c r="AH40" s="130"/>
      <c r="AI40" s="131"/>
      <c r="AJ40" s="11"/>
      <c r="AK40" s="11"/>
      <c r="AL40" s="11"/>
      <c r="AM40" s="11"/>
      <c r="AN40" s="11"/>
      <c r="AO40" s="11"/>
    </row>
    <row r="41" spans="1:41" x14ac:dyDescent="0.35">
      <c r="A41" s="11" t="s">
        <v>110</v>
      </c>
      <c r="B41" s="11"/>
      <c r="C41" s="106" t="s">
        <v>101</v>
      </c>
      <c r="D41" s="11" t="s">
        <v>106</v>
      </c>
      <c r="E41" s="11"/>
      <c r="F41" s="11" t="s">
        <v>98</v>
      </c>
      <c r="G41" s="11"/>
      <c r="H41" s="11" t="s">
        <v>82</v>
      </c>
      <c r="I41" s="59" t="str">
        <f>IF(_epmOfflineCondition_,"B1",_xll.EVPRO($B$1,$H41,"STYLE"))</f>
        <v>B1</v>
      </c>
      <c r="J41" s="59" t="str">
        <f>IF(_epmOfflineCondition_,"Y",_xll.EVPRO($B$1,$H41,"CALC"))</f>
        <v>Y</v>
      </c>
      <c r="K41" s="11"/>
      <c r="L41" s="11"/>
      <c r="M41" s="11"/>
      <c r="N41" s="105" t="str">
        <f>IF(_epmOfflineCondition_,"Other Expenses",IF(_xll.EVDES(H41,$B$1)="#NODATA","",_xll.EVDES(H41,$B$1)))</f>
        <v>Other Expenses</v>
      </c>
      <c r="O41" s="119"/>
      <c r="P41" s="120"/>
      <c r="Q41" s="120"/>
      <c r="R41" s="120"/>
      <c r="S41" s="120"/>
      <c r="T41" s="120"/>
      <c r="U41" s="120"/>
      <c r="V41" s="120"/>
      <c r="W41" s="120"/>
      <c r="X41" s="120"/>
      <c r="Y41" s="120"/>
      <c r="Z41" s="120"/>
      <c r="AA41" s="120"/>
      <c r="AB41" s="121"/>
      <c r="AC41" s="11"/>
      <c r="AD41" s="119"/>
      <c r="AE41" s="120"/>
      <c r="AF41" s="121"/>
      <c r="AG41" s="119"/>
      <c r="AH41" s="120"/>
      <c r="AI41" s="121"/>
      <c r="AJ41" s="11"/>
      <c r="AK41" s="11"/>
      <c r="AL41" s="11"/>
      <c r="AM41" s="11"/>
      <c r="AN41" s="11"/>
      <c r="AO41" s="11"/>
    </row>
    <row r="42" spans="1:41" hidden="1" x14ac:dyDescent="0.35">
      <c r="A42" s="11" t="s">
        <v>110</v>
      </c>
      <c r="B42" s="11"/>
      <c r="C42" s="109" t="s">
        <v>101</v>
      </c>
      <c r="D42" s="11" t="s">
        <v>107</v>
      </c>
      <c r="E42" s="11"/>
      <c r="F42" s="11" t="s">
        <v>99</v>
      </c>
      <c r="G42" s="11"/>
      <c r="H42" s="88" t="s">
        <v>667</v>
      </c>
      <c r="I42" s="122" t="str">
        <f>IF(_epmOfflineCondition_,"",_xll.EVPRO($B$1,$H42,"STYLE"))</f>
        <v/>
      </c>
      <c r="J42" s="122" t="str">
        <f>IF(_epmOfflineCondition_,"",_xll.EVPRO($B$1,$H42,"CALC"))</f>
        <v/>
      </c>
      <c r="K42" s="179" t="str">
        <f>IF(AND(I42&gt;="T3"),"&gt;","")</f>
        <v/>
      </c>
      <c r="L42" s="90" t="str">
        <f>IF(_epmOfflineCondition_,"",_xll.EVPRO($B$1,H42,"JDEID"))</f>
        <v/>
      </c>
      <c r="M42" s="90" t="str">
        <f>IF(_epmOfflineCondition_,"",IF(AND(I42="N",J42="N"),_xll.EVPRO($B$1,H42,"PSFTID"),""))</f>
        <v/>
      </c>
      <c r="N42" s="90" t="str">
        <f>IF(_epmOfflineCondition_,"",IF(_xll.EVDES(H42,$B$1)="#NODATA","",_xll.EVDES(H42,$B$1)))</f>
        <v/>
      </c>
      <c r="O42" s="143"/>
      <c r="P42" s="143"/>
      <c r="Q42" s="143"/>
      <c r="R42" s="143"/>
      <c r="S42" s="143"/>
      <c r="T42" s="143"/>
      <c r="U42" s="143"/>
      <c r="V42" s="143"/>
      <c r="W42" s="143"/>
      <c r="X42" s="143"/>
      <c r="Y42" s="143"/>
      <c r="Z42" s="143"/>
      <c r="AA42" s="143">
        <f>IF($I42="B1","",SUM(O42:Z42))</f>
        <v>0</v>
      </c>
      <c r="AB42" s="144" t="str">
        <f>IF(AA42=0,"",IFERROR(AA42/AA$19,""))</f>
        <v/>
      </c>
      <c r="AC42" s="140"/>
      <c r="AD42" s="143"/>
      <c r="AE42" s="144" t="str">
        <f>IF(AD42=0,"",IFERROR(AD42/AD$19,""))</f>
        <v/>
      </c>
      <c r="AF42" s="145">
        <f>IF(AND($AA42="",AD42=""),"",$AA42-AD42)</f>
        <v>0</v>
      </c>
      <c r="AG42" s="143"/>
      <c r="AH42" s="144" t="str">
        <f>IF(AG42=0,"",IFERROR(AG42/AG$19,""))</f>
        <v/>
      </c>
      <c r="AI42" s="145">
        <f>IF(AND($AA42="",AG42=""),"",$AA42-AG42)</f>
        <v>0</v>
      </c>
      <c r="AJ42" s="440">
        <f>IFERROR(AA42/AA$20,0)</f>
        <v>0</v>
      </c>
      <c r="AK42" s="441">
        <f>IFERROR(AD42/AD$20,0)</f>
        <v>0</v>
      </c>
      <c r="AL42" s="442">
        <f>IFERROR(AG42/AG$20,0)</f>
        <v>0</v>
      </c>
      <c r="AM42" s="443">
        <f>+IFERROR(ROUND(($AB42-AE42)*100,2)&amp;" pts.",0)</f>
        <v>0</v>
      </c>
      <c r="AN42" s="444">
        <f>+IFERROR(ROUND(($AB42-AH42)*100,2)&amp;" pts.",0)</f>
        <v>0</v>
      </c>
      <c r="AO42" s="11"/>
    </row>
    <row r="43" spans="1:41" hidden="1" x14ac:dyDescent="0.35">
      <c r="A43" s="11"/>
      <c r="B43" s="11"/>
      <c r="C43" s="208"/>
      <c r="D43" s="11"/>
      <c r="E43" s="11"/>
      <c r="F43" s="11"/>
      <c r="G43" s="11"/>
      <c r="H43" s="88"/>
      <c r="I43" s="122" t="str">
        <f>IF(_epmOfflineCondition_,"",_xll.EVPRO($B$1,$H43,"STYLE"))</f>
        <v/>
      </c>
      <c r="J43" s="122" t="str">
        <f>IF(_epmOfflineCondition_,"",_xll.EVPRO($B$1,$H43,"CALC"))</f>
        <v/>
      </c>
      <c r="K43" s="179" t="str">
        <f>IF(AND(I43&gt;="T3"),"&gt;","")</f>
        <v/>
      </c>
      <c r="L43" s="90" t="str">
        <f>IF(_epmOfflineCondition_,"",_xll.EVPRO($B$1,H43,"JDEID"))</f>
        <v/>
      </c>
      <c r="M43" s="90" t="str">
        <f>IF(_epmOfflineCondition_,"",IF(AND(I43="N",J43="N"),_xll.EVPRO($B$1,H43,"PSFTID"),""))</f>
        <v/>
      </c>
      <c r="N43" s="90" t="str">
        <f>IF(_epmOfflineCondition_,"",IF(_xll.EVDES(H43,$B$1)="#NODATA","",_xll.EVDES(H43,$B$1)))</f>
        <v/>
      </c>
      <c r="O43" s="143"/>
      <c r="P43" s="143"/>
      <c r="Q43" s="143"/>
      <c r="R43" s="143"/>
      <c r="S43" s="143"/>
      <c r="T43" s="143"/>
      <c r="U43" s="143"/>
      <c r="V43" s="143"/>
      <c r="W43" s="143"/>
      <c r="X43" s="143"/>
      <c r="Y43" s="143"/>
      <c r="Z43" s="143"/>
      <c r="AA43" s="143">
        <f>IF($I43="B1","",SUM(O43:Z43))</f>
        <v>0</v>
      </c>
      <c r="AB43" s="144" t="str">
        <f>IF(AA43=0,"",IFERROR(AA43/AA$19,""))</f>
        <v/>
      </c>
      <c r="AC43" s="140"/>
      <c r="AD43" s="143"/>
      <c r="AE43" s="144" t="str">
        <f>IF(AD43=0,"",IFERROR(AD43/AD$19,""))</f>
        <v/>
      </c>
      <c r="AF43" s="145">
        <f>IF(AND($AA43="",AD43=""),"",$AA43-AD43)</f>
        <v>0</v>
      </c>
      <c r="AG43" s="143"/>
      <c r="AH43" s="144" t="str">
        <f>IF(AG43=0,"",IFERROR(AG43/AG$19,""))</f>
        <v/>
      </c>
      <c r="AI43" s="145">
        <f>IF(AND($AA43="",AG43=""),"",$AA43-AG43)</f>
        <v>0</v>
      </c>
      <c r="AJ43" s="440">
        <f>IFERROR(AA43/AA$20,0)</f>
        <v>0</v>
      </c>
      <c r="AK43" s="441">
        <f>IFERROR(AD43/AD$20,0)</f>
        <v>0</v>
      </c>
      <c r="AL43" s="442">
        <f>IFERROR(AG43/AG$20,0)</f>
        <v>0</v>
      </c>
      <c r="AM43" s="443">
        <f>+IFERROR(ROUND(($AB43-AE43)*100,2)&amp;" pts.",0)</f>
        <v>0</v>
      </c>
      <c r="AN43" s="444">
        <f>+IFERROR(ROUND(($AB43-AH43)*100,2)&amp;" pts.",0)</f>
        <v>0</v>
      </c>
      <c r="AO43" s="11"/>
    </row>
    <row r="44" spans="1:41" x14ac:dyDescent="0.35">
      <c r="A44" s="11"/>
      <c r="B44" s="11"/>
      <c r="C44" s="208"/>
      <c r="D44" s="11"/>
      <c r="E44" s="11"/>
      <c r="F44" s="11"/>
      <c r="G44" s="11"/>
      <c r="H44" s="88" t="s">
        <v>79</v>
      </c>
      <c r="I44" s="136" t="str">
        <f>IF(_epmOfflineCondition_,"T3",_xll.EVPRO($B$1,$H44,"STYLE"))</f>
        <v>T3</v>
      </c>
      <c r="J44" s="136" t="str">
        <f>IF(_epmOfflineCondition_,"Y",_xll.EVPRO($B$1,$H44,"CALC"))</f>
        <v>Y</v>
      </c>
      <c r="K44" s="104"/>
      <c r="L44" s="59"/>
      <c r="M44" s="59"/>
      <c r="N44" s="106" t="str">
        <f>IF(_epmOfflineCondition_,"Total Operations Expense",IF(_xll.EVDES(H44,$B$1)="#NODATA","",_xll.EVDES(H44,$B$1)))</f>
        <v>Total Operations Expense</v>
      </c>
      <c r="O44" s="112">
        <f t="shared" ref="O44:Z44" si="0">SUM(O42:O43)</f>
        <v>0</v>
      </c>
      <c r="P44" s="112">
        <f t="shared" si="0"/>
        <v>0</v>
      </c>
      <c r="Q44" s="112">
        <f t="shared" si="0"/>
        <v>0</v>
      </c>
      <c r="R44" s="112">
        <f t="shared" si="0"/>
        <v>0</v>
      </c>
      <c r="S44" s="112">
        <f t="shared" si="0"/>
        <v>0</v>
      </c>
      <c r="T44" s="112">
        <f t="shared" si="0"/>
        <v>0</v>
      </c>
      <c r="U44" s="112">
        <f t="shared" si="0"/>
        <v>0</v>
      </c>
      <c r="V44" s="112">
        <f t="shared" si="0"/>
        <v>0</v>
      </c>
      <c r="W44" s="112">
        <f t="shared" si="0"/>
        <v>0</v>
      </c>
      <c r="X44" s="112">
        <f t="shared" si="0"/>
        <v>0</v>
      </c>
      <c r="Y44" s="112">
        <f t="shared" si="0"/>
        <v>0</v>
      </c>
      <c r="Z44" s="112">
        <f t="shared" si="0"/>
        <v>0</v>
      </c>
      <c r="AA44" s="112">
        <f>IF($I44="B1","",SUM(O44:Z44))</f>
        <v>0</v>
      </c>
      <c r="AB44" s="113" t="str">
        <f>IF(AA44=0,"",IFERROR(AA44/AA$19,""))</f>
        <v/>
      </c>
      <c r="AC44" s="11"/>
      <c r="AD44" s="112">
        <f>SUM(AD42:AD43)</f>
        <v>0</v>
      </c>
      <c r="AE44" s="113" t="str">
        <f>IF(AD44=0,"",IFERROR(AD44/AD$19,""))</f>
        <v/>
      </c>
      <c r="AF44" s="114">
        <f>IF(AND($AA44="",AD44=""),"",$AA44-AD44)</f>
        <v>0</v>
      </c>
      <c r="AG44" s="112">
        <f>SUM(AG42:AG43)</f>
        <v>0</v>
      </c>
      <c r="AH44" s="113" t="str">
        <f>IF(AG44=0,"",IFERROR(AG44/AG$19,""))</f>
        <v/>
      </c>
      <c r="AI44" s="114">
        <f>IF(AND($AA44="",AG44=""),"",$AA44-AG44)</f>
        <v>0</v>
      </c>
      <c r="AJ44" s="415">
        <f>IFERROR(AA44/AA$20,0)</f>
        <v>0</v>
      </c>
      <c r="AK44" s="416">
        <f>IFERROR(AD44/AD$20,0)</f>
        <v>0</v>
      </c>
      <c r="AL44" s="417">
        <f>IFERROR(AG44/AG$20,0)</f>
        <v>0</v>
      </c>
      <c r="AM44" s="418">
        <f>+IFERROR(ROUND(($AB44-AE44)*100,2)&amp;" pts.",0)</f>
        <v>0</v>
      </c>
      <c r="AN44" s="543">
        <f>+IFERROR(ROUND(($AB44-AH44)*100,2)&amp;" pts.",0)</f>
        <v>0</v>
      </c>
      <c r="AO44" s="11"/>
    </row>
    <row r="45" spans="1:41" x14ac:dyDescent="0.35">
      <c r="A45" s="61" t="str">
        <f>IF(_epmOfflineCondition_,"Evdre:Ok",_xll.EVDRE($B$1,A48:B55))</f>
        <v>Evdre:Ok</v>
      </c>
      <c r="B45" s="11" t="s">
        <v>740</v>
      </c>
      <c r="C45" s="208"/>
      <c r="D45" s="11"/>
      <c r="E45" s="11"/>
      <c r="F45" s="11"/>
      <c r="G45" s="11"/>
      <c r="H45" s="11"/>
      <c r="I45" s="59"/>
      <c r="J45" s="59"/>
      <c r="K45" s="11"/>
      <c r="L45" s="59"/>
      <c r="M45" s="59"/>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11"/>
      <c r="B46" s="11"/>
      <c r="C46" s="208"/>
      <c r="D46" s="11"/>
      <c r="E46" s="11"/>
      <c r="F46" s="11"/>
      <c r="G46" s="11"/>
      <c r="H46" s="88" t="s">
        <v>80</v>
      </c>
      <c r="I46" s="136" t="str">
        <f>IF(_epmOfflineCondition_,"T3",_xll.EVPRO($B$1,$H46,"STYLE"))</f>
        <v>T3</v>
      </c>
      <c r="J46" s="136" t="str">
        <f>IF(_epmOfflineCondition_,"Y",_xll.EVPRO($B$1,$H46,"CALC"))</f>
        <v>Y</v>
      </c>
      <c r="K46" s="106"/>
      <c r="L46" s="59"/>
      <c r="M46" s="59"/>
      <c r="N46" s="106" t="str">
        <f>IF(_epmOfflineCondition_,"Total Expenses",IF(_xll.EVDES(H46,$B$1)="#NODATA","",_xll.EVDES(H46,$B$1)))</f>
        <v>Total Expenses</v>
      </c>
      <c r="O46" s="123">
        <f t="shared" ref="O46:Z46" si="1">SUMIF($H$33:$H$45,"600000",O$33:O$45)+SUMIF($H$33:$H$45,"700000",O$33:O$45)</f>
        <v>0</v>
      </c>
      <c r="P46" s="123">
        <f t="shared" si="1"/>
        <v>0</v>
      </c>
      <c r="Q46" s="123">
        <f t="shared" si="1"/>
        <v>0</v>
      </c>
      <c r="R46" s="123">
        <f t="shared" si="1"/>
        <v>0</v>
      </c>
      <c r="S46" s="123">
        <f t="shared" si="1"/>
        <v>0</v>
      </c>
      <c r="T46" s="123">
        <f t="shared" si="1"/>
        <v>0</v>
      </c>
      <c r="U46" s="123">
        <f t="shared" si="1"/>
        <v>0</v>
      </c>
      <c r="V46" s="123">
        <f t="shared" si="1"/>
        <v>0</v>
      </c>
      <c r="W46" s="123">
        <f t="shared" si="1"/>
        <v>0</v>
      </c>
      <c r="X46" s="123">
        <f t="shared" si="1"/>
        <v>0</v>
      </c>
      <c r="Y46" s="123">
        <f t="shared" si="1"/>
        <v>0</v>
      </c>
      <c r="Z46" s="123">
        <f t="shared" si="1"/>
        <v>0</v>
      </c>
      <c r="AA46" s="123">
        <f>IF($I46="B1","",SUM(O46:Z46))</f>
        <v>0</v>
      </c>
      <c r="AB46" s="124" t="str">
        <f>IF(AA46=0,"",IFERROR(AA46/AA$19,""))</f>
        <v/>
      </c>
      <c r="AC46" s="11"/>
      <c r="AD46" s="123">
        <f>SUMIF($H$33:$H$45,"600000",AD$33:AD$45)+SUMIF($H$33:$H$45,"700000",AD$33:AD$45)</f>
        <v>0</v>
      </c>
      <c r="AE46" s="124" t="str">
        <f>IF(AD46=0,"",IFERROR(AD46/AD$19,""))</f>
        <v/>
      </c>
      <c r="AF46" s="125">
        <f>IF(AND($AA46="",AD46=""),"",$AA46-AD46)</f>
        <v>0</v>
      </c>
      <c r="AG46" s="123">
        <f>SUMIF($H$33:$H$45,"600000",AG$33:AG$45)+SUMIF($H$33:$H$45,"700000",AG$33:AG$45)</f>
        <v>0</v>
      </c>
      <c r="AH46" s="124" t="str">
        <f>IF(AG46=0,"",IFERROR(AG46/AG$19,""))</f>
        <v/>
      </c>
      <c r="AI46" s="125">
        <f>IF(AND($AA46="",AG46=""),"",$AA46-AG46)</f>
        <v>0</v>
      </c>
      <c r="AJ46" s="388">
        <f>IFERROR(AA46/AA$20,0)</f>
        <v>0</v>
      </c>
      <c r="AK46" s="389">
        <f>IFERROR(AD46/AD$20,0)</f>
        <v>0</v>
      </c>
      <c r="AL46" s="390">
        <f>IFERROR(AG46/AG$20,0)</f>
        <v>0</v>
      </c>
      <c r="AM46" s="391">
        <f>+IFERROR(ROUND(($AB46-AE46)*100,2)&amp;" pts.",0)</f>
        <v>0</v>
      </c>
      <c r="AN46" s="544">
        <f>+IFERROR(ROUND(($AB46-AH46)*100,2)&amp;" pts.",0)</f>
        <v>0</v>
      </c>
      <c r="AO46" s="11"/>
    </row>
    <row r="47" spans="1:41" x14ac:dyDescent="0.35">
      <c r="A47" s="62" t="s">
        <v>0</v>
      </c>
      <c r="B47" s="63" t="s">
        <v>1</v>
      </c>
      <c r="C47" s="208"/>
      <c r="D47" s="11"/>
      <c r="E47" s="11"/>
      <c r="F47" s="11"/>
      <c r="G47" s="11"/>
      <c r="H47" s="11"/>
      <c r="I47" s="11"/>
      <c r="J47" s="11"/>
      <c r="K47" s="11"/>
      <c r="L47" s="11"/>
      <c r="M47" s="11"/>
      <c r="N47" s="11"/>
      <c r="O47" s="203"/>
      <c r="P47" s="204"/>
      <c r="Q47" s="204"/>
      <c r="R47" s="204"/>
      <c r="S47" s="204"/>
      <c r="T47" s="204"/>
      <c r="U47" s="204"/>
      <c r="V47" s="204"/>
      <c r="W47" s="204"/>
      <c r="X47" s="204"/>
      <c r="Y47" s="204"/>
      <c r="Z47" s="204"/>
      <c r="AA47" s="204"/>
      <c r="AB47" s="118"/>
      <c r="AC47" s="11"/>
      <c r="AD47" s="203"/>
      <c r="AE47" s="204"/>
      <c r="AF47" s="118"/>
      <c r="AG47" s="203"/>
      <c r="AH47" s="204"/>
      <c r="AI47" s="118"/>
      <c r="AJ47" s="11"/>
      <c r="AK47" s="11"/>
      <c r="AL47" s="11"/>
      <c r="AM47" s="11"/>
      <c r="AN47" s="11"/>
      <c r="AO47" s="11"/>
    </row>
    <row r="48" spans="1:41" x14ac:dyDescent="0.35">
      <c r="A48" s="65" t="s">
        <v>2</v>
      </c>
      <c r="B48" s="66" t="str">
        <f>IF(_epmOfflineCondition_,"'Laundry'!$B$2:$B$10",_xll.EVRNG($B$2:$B$10))</f>
        <v>'Laundry'!$B$2:$B$10</v>
      </c>
      <c r="C48" s="208"/>
      <c r="D48" s="11"/>
      <c r="E48" s="11"/>
      <c r="F48" s="11"/>
      <c r="G48" s="11"/>
      <c r="H48" s="11"/>
      <c r="I48" s="11"/>
      <c r="J48" s="11"/>
      <c r="K48" s="11"/>
      <c r="L48" s="11"/>
      <c r="M48" s="11"/>
      <c r="N48" s="105" t="s">
        <v>596</v>
      </c>
      <c r="O48" s="119"/>
      <c r="P48" s="120"/>
      <c r="Q48" s="120"/>
      <c r="R48" s="120"/>
      <c r="S48" s="120"/>
      <c r="T48" s="120"/>
      <c r="U48" s="120"/>
      <c r="V48" s="120"/>
      <c r="W48" s="120"/>
      <c r="X48" s="120"/>
      <c r="Y48" s="120"/>
      <c r="Z48" s="120"/>
      <c r="AA48" s="120"/>
      <c r="AB48" s="121"/>
      <c r="AC48" s="11"/>
      <c r="AD48" s="119"/>
      <c r="AE48" s="120"/>
      <c r="AF48" s="121"/>
      <c r="AG48" s="119"/>
      <c r="AH48" s="120"/>
      <c r="AI48" s="121"/>
      <c r="AJ48" s="11"/>
      <c r="AK48" s="11"/>
      <c r="AL48" s="11"/>
      <c r="AM48" s="11"/>
      <c r="AN48" s="11"/>
      <c r="AO48" s="11"/>
    </row>
    <row r="49" spans="1:41" x14ac:dyDescent="0.35">
      <c r="A49" s="65" t="s">
        <v>3</v>
      </c>
      <c r="B49" s="66" t="str">
        <f>IF(_epmOfflineCondition_,"'Laundry'!$O$16:$AN$18",_xll.EVRNG($O$16:$AN$18))</f>
        <v>'Laundry'!$O$16:$AN$18</v>
      </c>
      <c r="C49" s="208"/>
      <c r="D49" s="11"/>
      <c r="E49" s="11"/>
      <c r="F49" s="11"/>
      <c r="G49" s="11"/>
      <c r="H49" s="88" t="s">
        <v>592</v>
      </c>
      <c r="I49" s="122" t="str">
        <f>IF(_epmOfflineCondition_,"N",_xll.EVPRO($B$1,$H49,"STYLE"))</f>
        <v>N</v>
      </c>
      <c r="J49" s="122" t="str">
        <f>IF(_epmOfflineCondition_,"N",_xll.EVPRO($B$1,$H49,"CALC"))</f>
        <v>N</v>
      </c>
      <c r="K49" s="179" t="str">
        <f>IF(AND(I49&gt;="T3"),"&gt;","")</f>
        <v/>
      </c>
      <c r="L49" s="90" t="str">
        <f>IF(_epmOfflineCondition_,"789110",_xll.EVPRO($B$1,H49,"JDEID"))</f>
        <v>789110</v>
      </c>
      <c r="M49" s="90" t="str">
        <f>IF(_epmOfflineCondition_,"690940",IF(AND(I49="N",J49="N"),_xll.EVPRO($B$1,H49,"PSFTID"),""))</f>
        <v>690940</v>
      </c>
      <c r="N49" s="90" t="str">
        <f>IF(_epmOfflineCondition_,"Cost of Guest &amp; Outside Laundry",IF(_xll.EVDES(H49,$B$1)="#NODATA","",_xll.EVDES(H49,$B$1)))</f>
        <v>Cost of Guest &amp; Outside Laundry</v>
      </c>
      <c r="O49" s="143"/>
      <c r="P49" s="143"/>
      <c r="Q49" s="143"/>
      <c r="R49" s="143"/>
      <c r="S49" s="143"/>
      <c r="T49" s="143"/>
      <c r="U49" s="143"/>
      <c r="V49" s="143"/>
      <c r="W49" s="143"/>
      <c r="X49" s="143"/>
      <c r="Y49" s="143"/>
      <c r="Z49" s="143"/>
      <c r="AA49" s="143">
        <f>IF($I49="B1","",SUM(O49:Z49))</f>
        <v>0</v>
      </c>
      <c r="AB49" s="144" t="str">
        <f>IF(AA49=0,"",IFERROR(AA49/AA$19,""))</f>
        <v/>
      </c>
      <c r="AC49" s="140"/>
      <c r="AD49" s="143"/>
      <c r="AE49" s="144" t="str">
        <f>IF(AD49=0,"",IFERROR(AD49/AD$19,""))</f>
        <v/>
      </c>
      <c r="AF49" s="145">
        <f>IF(AND($AA49="",AD49=""),"",$AA49-AD49)</f>
        <v>0</v>
      </c>
      <c r="AG49" s="143"/>
      <c r="AH49" s="144" t="str">
        <f>IF(AG49=0,"",IFERROR(AG49/AG$19,""))</f>
        <v/>
      </c>
      <c r="AI49" s="145">
        <f>IF(AND($AA49="",AG49=""),"",$AA49-AG49)</f>
        <v>0</v>
      </c>
      <c r="AJ49" s="440">
        <f>IFERROR(AA49/AA$20,0)</f>
        <v>0</v>
      </c>
      <c r="AK49" s="441">
        <f>IFERROR(AD49/AD$20,0)</f>
        <v>0</v>
      </c>
      <c r="AL49" s="442">
        <f>IFERROR(AG49/AG$20,0)</f>
        <v>0</v>
      </c>
      <c r="AM49" s="443">
        <f>+IFERROR(ROUND(($AB49-AE49)*100,2)&amp;" pts.",0)</f>
        <v>0</v>
      </c>
      <c r="AN49" s="444">
        <f>+IFERROR(ROUND(($AB49-AH49)*100,2)&amp;" pts.",0)</f>
        <v>0</v>
      </c>
      <c r="AO49" s="11"/>
    </row>
    <row r="50" spans="1:41" x14ac:dyDescent="0.35">
      <c r="A50" s="65" t="s">
        <v>4</v>
      </c>
      <c r="B50" s="66" t="str">
        <f>IF(_epmOfflineCondition_,"'Laundry'!$H$49:$H$50",_xll.EVRNG(H49:H50))</f>
        <v>'Laundry'!$H$49:$H$50</v>
      </c>
      <c r="C50" s="208"/>
      <c r="D50" s="11"/>
      <c r="E50" s="11"/>
      <c r="F50" s="11"/>
      <c r="G50" s="11"/>
      <c r="H50" s="88" t="s">
        <v>593</v>
      </c>
      <c r="I50" s="122" t="str">
        <f>IF(_epmOfflineCondition_,"N",_xll.EVPRO($B$1,$H50,"STYLE"))</f>
        <v>N</v>
      </c>
      <c r="J50" s="122" t="str">
        <f>IF(_epmOfflineCondition_,"N",_xll.EVPRO($B$1,$H50,"CALC"))</f>
        <v>N</v>
      </c>
      <c r="K50" s="11"/>
      <c r="L50" s="90" t="str">
        <f>IF(_epmOfflineCondition_,"789115",_xll.EVPRO($B$1,H50,"JDEID"))</f>
        <v>789115</v>
      </c>
      <c r="M50" s="90" t="str">
        <f>IF(_epmOfflineCondition_,"690938",IF(AND(I50="N",J50="N"),_xll.EVPRO($B$1,H50,"PSFTID"),""))</f>
        <v>690938</v>
      </c>
      <c r="N50" s="90" t="str">
        <f>IF(_epmOfflineCondition_,"Concessionaires Laundry",IF(_xll.EVDES(H50,$B$1)="#NODATA","",_xll.EVDES(H50,$B$1)))</f>
        <v>Concessionaires Laundry</v>
      </c>
      <c r="O50" s="143"/>
      <c r="P50" s="143"/>
      <c r="Q50" s="143"/>
      <c r="R50" s="143"/>
      <c r="S50" s="143"/>
      <c r="T50" s="143"/>
      <c r="U50" s="143"/>
      <c r="V50" s="143"/>
      <c r="W50" s="143"/>
      <c r="X50" s="143"/>
      <c r="Y50" s="143"/>
      <c r="Z50" s="143"/>
      <c r="AA50" s="143">
        <f>IF($I50="B1","",SUM(O50:Z50))</f>
        <v>0</v>
      </c>
      <c r="AB50" s="144" t="str">
        <f>IF(AA50=0,"",IFERROR(AA50/AA$19,""))</f>
        <v/>
      </c>
      <c r="AC50" s="140"/>
      <c r="AD50" s="143"/>
      <c r="AE50" s="144" t="str">
        <f>IF(AD50=0,"",IFERROR(AD50/AD$19,""))</f>
        <v/>
      </c>
      <c r="AF50" s="145">
        <f>IF(AND($AA50="",AD50=""),"",$AA50-AD50)</f>
        <v>0</v>
      </c>
      <c r="AG50" s="143"/>
      <c r="AH50" s="144" t="str">
        <f>IF(AG50=0,"",IFERROR(AG50/AG$19,""))</f>
        <v/>
      </c>
      <c r="AI50" s="145">
        <f>IF(AND($AA50="",AG50=""),"",$AA50-AG50)</f>
        <v>0</v>
      </c>
      <c r="AJ50" s="449">
        <f>IFERROR(AA50/AA$20,0)</f>
        <v>0</v>
      </c>
      <c r="AK50" s="450">
        <f>IFERROR(AD50/AD$20,0)</f>
        <v>0</v>
      </c>
      <c r="AL50" s="451">
        <f>IFERROR(AG50/AG$20,0)</f>
        <v>0</v>
      </c>
      <c r="AM50" s="452">
        <f>+IFERROR(ROUND(($AB50-AE50)*100,2)&amp;" pts.",0)</f>
        <v>0</v>
      </c>
      <c r="AN50" s="453">
        <f>+IFERROR(ROUND(($AB50-AH50)*100,2)&amp;" pts.",0)</f>
        <v>0</v>
      </c>
      <c r="AO50" s="11"/>
    </row>
    <row r="51" spans="1:41" x14ac:dyDescent="0.35">
      <c r="A51" s="65" t="s">
        <v>5</v>
      </c>
      <c r="B51" s="66"/>
      <c r="C51" s="208"/>
      <c r="D51" s="11"/>
      <c r="E51" s="11"/>
      <c r="F51" s="11"/>
      <c r="G51" s="11"/>
      <c r="H51" s="11"/>
      <c r="I51" s="59"/>
      <c r="J51" s="59"/>
      <c r="K51" s="11"/>
      <c r="L51" s="59"/>
      <c r="M51" s="59"/>
      <c r="N51" s="106" t="s">
        <v>557</v>
      </c>
      <c r="O51" s="112">
        <f t="shared" ref="O51:Z51" si="2">SUM(O49:O50)</f>
        <v>0</v>
      </c>
      <c r="P51" s="112">
        <f t="shared" si="2"/>
        <v>0</v>
      </c>
      <c r="Q51" s="112">
        <f t="shared" si="2"/>
        <v>0</v>
      </c>
      <c r="R51" s="112">
        <f t="shared" si="2"/>
        <v>0</v>
      </c>
      <c r="S51" s="112">
        <f t="shared" si="2"/>
        <v>0</v>
      </c>
      <c r="T51" s="112">
        <f t="shared" si="2"/>
        <v>0</v>
      </c>
      <c r="U51" s="112">
        <f t="shared" si="2"/>
        <v>0</v>
      </c>
      <c r="V51" s="112">
        <f t="shared" si="2"/>
        <v>0</v>
      </c>
      <c r="W51" s="112">
        <f t="shared" si="2"/>
        <v>0</v>
      </c>
      <c r="X51" s="112">
        <f t="shared" si="2"/>
        <v>0</v>
      </c>
      <c r="Y51" s="112">
        <f t="shared" si="2"/>
        <v>0</v>
      </c>
      <c r="Z51" s="112">
        <f t="shared" si="2"/>
        <v>0</v>
      </c>
      <c r="AA51" s="112">
        <f>IF($I51="B1","",SUM(O51:Z51))</f>
        <v>0</v>
      </c>
      <c r="AB51" s="113" t="str">
        <f>IF(AA51=0,"",IFERROR(AA51/AA$19,""))</f>
        <v/>
      </c>
      <c r="AC51" s="11"/>
      <c r="AD51" s="112">
        <f>SUM(AD49:AD50)</f>
        <v>0</v>
      </c>
      <c r="AE51" s="113" t="str">
        <f>IF(AD51=0,"",IFERROR(AD51/AD$19,""))</f>
        <v/>
      </c>
      <c r="AF51" s="114">
        <f>IF(AND($AA51="",AD51=""),"",$AA51-AD51)</f>
        <v>0</v>
      </c>
      <c r="AG51" s="112">
        <f>SUM(AG49:AG50)</f>
        <v>0</v>
      </c>
      <c r="AH51" s="113" t="str">
        <f>IF(AG51=0,"",IFERROR(AG51/AG$19,""))</f>
        <v/>
      </c>
      <c r="AI51" s="114">
        <f>IF(AND($AA51="",AG51=""),"",$AA51-AG51)</f>
        <v>0</v>
      </c>
      <c r="AJ51" s="415">
        <f>IFERROR(AA51/AA$20,0)</f>
        <v>0</v>
      </c>
      <c r="AK51" s="416">
        <f>IFERROR(AD51/AD$20,0)</f>
        <v>0</v>
      </c>
      <c r="AL51" s="417">
        <f>IFERROR(AG51/AG$20,0)</f>
        <v>0</v>
      </c>
      <c r="AM51" s="418">
        <f>+IFERROR(ROUND(($AB51-AE51)*100,2)&amp;" pts.",0)</f>
        <v>0</v>
      </c>
      <c r="AN51" s="543">
        <f>+IFERROR(ROUND(($AB51-AH51)*100,2)&amp;" pts.",0)</f>
        <v>0</v>
      </c>
      <c r="AO51" s="11"/>
    </row>
    <row r="52" spans="1:41" x14ac:dyDescent="0.35">
      <c r="A52" s="65" t="s">
        <v>6</v>
      </c>
      <c r="B52" s="66"/>
      <c r="C52" s="208"/>
      <c r="D52" s="11"/>
      <c r="E52" s="11"/>
      <c r="F52" s="11"/>
      <c r="G52" s="11"/>
      <c r="H52" s="11"/>
      <c r="I52" s="59"/>
      <c r="J52" s="59"/>
      <c r="K52" s="11"/>
      <c r="L52" s="59"/>
      <c r="M52" s="59"/>
      <c r="N52" s="106"/>
      <c r="O52" s="119"/>
      <c r="P52" s="120"/>
      <c r="Q52" s="120"/>
      <c r="R52" s="120"/>
      <c r="S52" s="120"/>
      <c r="T52" s="120"/>
      <c r="U52" s="120"/>
      <c r="V52" s="120"/>
      <c r="W52" s="120"/>
      <c r="X52" s="120"/>
      <c r="Y52" s="120"/>
      <c r="Z52" s="120"/>
      <c r="AA52" s="120"/>
      <c r="AB52" s="121"/>
      <c r="AC52" s="11"/>
      <c r="AD52" s="119"/>
      <c r="AE52" s="120"/>
      <c r="AF52" s="121"/>
      <c r="AG52" s="119"/>
      <c r="AH52" s="120"/>
      <c r="AI52" s="121"/>
      <c r="AJ52" s="11"/>
      <c r="AK52" s="11"/>
      <c r="AL52" s="11"/>
      <c r="AM52" s="11"/>
      <c r="AN52" s="11"/>
      <c r="AO52" s="11"/>
    </row>
    <row r="53" spans="1:41" ht="15" thickBot="1" x14ac:dyDescent="0.4">
      <c r="A53" s="65" t="s">
        <v>7</v>
      </c>
      <c r="B53" s="66"/>
      <c r="C53" s="208"/>
      <c r="D53" s="11"/>
      <c r="E53" s="11"/>
      <c r="F53" s="11"/>
      <c r="G53" s="11"/>
      <c r="H53" s="11"/>
      <c r="I53" s="59"/>
      <c r="J53" s="59"/>
      <c r="K53" s="11"/>
      <c r="L53" s="59"/>
      <c r="M53" s="59"/>
      <c r="N53" s="106" t="s">
        <v>556</v>
      </c>
      <c r="O53" s="126">
        <f t="shared" ref="O53:Z53" si="3">O46+O51</f>
        <v>0</v>
      </c>
      <c r="P53" s="126">
        <f t="shared" si="3"/>
        <v>0</v>
      </c>
      <c r="Q53" s="126">
        <f t="shared" si="3"/>
        <v>0</v>
      </c>
      <c r="R53" s="126">
        <f t="shared" si="3"/>
        <v>0</v>
      </c>
      <c r="S53" s="126">
        <f t="shared" si="3"/>
        <v>0</v>
      </c>
      <c r="T53" s="126">
        <f t="shared" si="3"/>
        <v>0</v>
      </c>
      <c r="U53" s="126">
        <f t="shared" si="3"/>
        <v>0</v>
      </c>
      <c r="V53" s="126">
        <f t="shared" si="3"/>
        <v>0</v>
      </c>
      <c r="W53" s="126">
        <f t="shared" si="3"/>
        <v>0</v>
      </c>
      <c r="X53" s="126">
        <f t="shared" si="3"/>
        <v>0</v>
      </c>
      <c r="Y53" s="126">
        <f t="shared" si="3"/>
        <v>0</v>
      </c>
      <c r="Z53" s="126">
        <f t="shared" si="3"/>
        <v>0</v>
      </c>
      <c r="AA53" s="126">
        <f>IF($I53="B1","",SUM(O53:Z53))</f>
        <v>0</v>
      </c>
      <c r="AB53" s="127" t="str">
        <f>IF(AA53=0,"",IFERROR(AA53/AA$19,""))</f>
        <v/>
      </c>
      <c r="AC53" s="11"/>
      <c r="AD53" s="126">
        <f>AD46+AD51</f>
        <v>0</v>
      </c>
      <c r="AE53" s="127" t="str">
        <f>IF(AD53=0,"",IFERROR(AD53/AD$19,""))</f>
        <v/>
      </c>
      <c r="AF53" s="128">
        <f>IF(AND($AA53="",AD53=""),"",$AA53-AD53)</f>
        <v>0</v>
      </c>
      <c r="AG53" s="126">
        <f>AG46+AG51</f>
        <v>0</v>
      </c>
      <c r="AH53" s="127" t="str">
        <f>IF(AG53=0,"",IFERROR(AG53/AG$19,""))</f>
        <v/>
      </c>
      <c r="AI53" s="128">
        <f>IF(AND($AA53="",AG53=""),"",$AA53-AG53)</f>
        <v>0</v>
      </c>
      <c r="AJ53" s="419">
        <f>IFERROR(AA53/AA$20,0)</f>
        <v>0</v>
      </c>
      <c r="AK53" s="420">
        <f>IFERROR(AD53/AD$20,0)</f>
        <v>0</v>
      </c>
      <c r="AL53" s="421">
        <f>IFERROR(AG53/AG$20,0)</f>
        <v>0</v>
      </c>
      <c r="AM53" s="422">
        <f>+IFERROR(ROUND(($AB53-AE53)*100,2)&amp;" pts.",0)</f>
        <v>0</v>
      </c>
      <c r="AN53" s="545">
        <f>+IFERROR(ROUND(($AB53-AH53)*100,2)&amp;" pts.",0)</f>
        <v>0</v>
      </c>
      <c r="AO53" s="11"/>
    </row>
    <row r="54" spans="1:41" ht="15" thickTop="1" x14ac:dyDescent="0.35">
      <c r="A54" s="65" t="s">
        <v>47</v>
      </c>
      <c r="B54" s="66" t="str">
        <f>IF(_epmOfflineCondition_,"'Laundry'!$A$81:$B$102",_xll.EVRNG($A$81:$B$102))</f>
        <v>'Laundry'!$A$81:$B$102</v>
      </c>
      <c r="C54" s="208"/>
      <c r="D54" s="11"/>
      <c r="E54" s="11"/>
      <c r="F54" s="11"/>
      <c r="G54" s="11"/>
      <c r="H54" s="11"/>
      <c r="I54" s="59"/>
      <c r="J54" s="59"/>
      <c r="K54" s="11"/>
      <c r="L54" s="59"/>
      <c r="M54" s="59"/>
      <c r="N54" s="11"/>
      <c r="O54" s="129"/>
      <c r="P54" s="130"/>
      <c r="Q54" s="130"/>
      <c r="R54" s="130"/>
      <c r="S54" s="130"/>
      <c r="T54" s="130"/>
      <c r="U54" s="130"/>
      <c r="V54" s="130"/>
      <c r="W54" s="130"/>
      <c r="X54" s="130"/>
      <c r="Y54" s="130"/>
      <c r="Z54" s="130"/>
      <c r="AA54" s="130"/>
      <c r="AB54" s="131"/>
      <c r="AC54" s="11"/>
      <c r="AD54" s="129"/>
      <c r="AE54" s="130"/>
      <c r="AF54" s="131"/>
      <c r="AG54" s="129"/>
      <c r="AH54" s="130"/>
      <c r="AI54" s="131"/>
      <c r="AJ54" s="11"/>
      <c r="AK54" s="11"/>
      <c r="AL54" s="11"/>
      <c r="AM54" s="11"/>
      <c r="AN54" s="11"/>
      <c r="AO54" s="11"/>
    </row>
    <row r="55" spans="1:41" x14ac:dyDescent="0.35">
      <c r="A55" s="65" t="s">
        <v>8</v>
      </c>
      <c r="B55" s="66"/>
      <c r="C55" s="208"/>
      <c r="D55" s="11"/>
      <c r="E55" s="11"/>
      <c r="F55" s="11"/>
      <c r="G55" s="11"/>
      <c r="H55" s="11"/>
      <c r="I55" s="59"/>
      <c r="J55" s="59"/>
      <c r="K55" s="11"/>
      <c r="L55" s="59"/>
      <c r="M55" s="59"/>
      <c r="N55" s="105" t="s">
        <v>595</v>
      </c>
      <c r="O55" s="119"/>
      <c r="P55" s="120"/>
      <c r="Q55" s="120"/>
      <c r="R55" s="120"/>
      <c r="S55" s="120"/>
      <c r="T55" s="120"/>
      <c r="U55" s="120"/>
      <c r="V55" s="120"/>
      <c r="W55" s="120"/>
      <c r="X55" s="120"/>
      <c r="Y55" s="120"/>
      <c r="Z55" s="120"/>
      <c r="AA55" s="120"/>
      <c r="AB55" s="121"/>
      <c r="AC55" s="11"/>
      <c r="AD55" s="119"/>
      <c r="AE55" s="120"/>
      <c r="AF55" s="121"/>
      <c r="AG55" s="119"/>
      <c r="AH55" s="120"/>
      <c r="AI55" s="121"/>
      <c r="AJ55" s="11"/>
      <c r="AK55" s="11"/>
      <c r="AL55" s="11"/>
      <c r="AM55" s="11"/>
      <c r="AN55" s="11"/>
      <c r="AO55" s="11"/>
    </row>
    <row r="56" spans="1:41" hidden="1" x14ac:dyDescent="0.35">
      <c r="A56" s="11"/>
      <c r="B56" s="11"/>
      <c r="C56" s="208"/>
      <c r="D56" s="11"/>
      <c r="E56" s="11"/>
      <c r="F56" s="11"/>
      <c r="G56" s="11"/>
      <c r="H56" s="185" t="s">
        <v>667</v>
      </c>
      <c r="I56" s="122" t="str">
        <f>IF(_epmOfflineCondition_,"",_xll.EVPRO($B$1,$H56,"STYLE"))</f>
        <v/>
      </c>
      <c r="J56" s="122" t="str">
        <f>IF(_epmOfflineCondition_,"",_xll.EVPRO($B$1,$H56,"CALC"))</f>
        <v/>
      </c>
      <c r="K56" s="90"/>
      <c r="L56" s="90"/>
      <c r="M56" s="90"/>
      <c r="N56" s="90" t="str">
        <f>IF(_epmOfflineCondition_,"",IF(_xll.EVDES(H56,$B$1)="#NODATA","",_xll.EVDES(H56,$B$1)))</f>
        <v/>
      </c>
      <c r="O56" s="143"/>
      <c r="P56" s="143"/>
      <c r="Q56" s="143"/>
      <c r="R56" s="143"/>
      <c r="S56" s="143"/>
      <c r="T56" s="143"/>
      <c r="U56" s="143"/>
      <c r="V56" s="143"/>
      <c r="W56" s="143"/>
      <c r="X56" s="143"/>
      <c r="Y56" s="143"/>
      <c r="Z56" s="143"/>
      <c r="AA56" s="143">
        <f>IF($I56="B1","",SUM(O56:Z56))</f>
        <v>0</v>
      </c>
      <c r="AB56" s="144" t="str">
        <f>IF(AA56=0,"",IFERROR(AA56/AA$19,""))</f>
        <v/>
      </c>
      <c r="AC56" s="140"/>
      <c r="AD56" s="143"/>
      <c r="AE56" s="144" t="str">
        <f>IF(AD56=0,"",IFERROR(AD56/AD$19,""))</f>
        <v/>
      </c>
      <c r="AF56" s="145">
        <f>IF(AND($AA56="",AD56=""),"",$AA56-AD56)</f>
        <v>0</v>
      </c>
      <c r="AG56" s="143"/>
      <c r="AH56" s="144" t="str">
        <f>IF(AG56=0,"",IFERROR(AG56/AG$19,""))</f>
        <v/>
      </c>
      <c r="AI56" s="145">
        <f>IF(AND($AA56="",AG56=""),"",$AA56-AG56)</f>
        <v>0</v>
      </c>
      <c r="AJ56" s="440">
        <f>IFERROR(AA56/AA$20,0)</f>
        <v>0</v>
      </c>
      <c r="AK56" s="441">
        <f>IFERROR(AD56/AD$20,0)</f>
        <v>0</v>
      </c>
      <c r="AL56" s="442">
        <f>IFERROR(AG56/AG$20,0)</f>
        <v>0</v>
      </c>
      <c r="AM56" s="443">
        <f>+IFERROR(ROUND(($AB56-AE56)*100,2)&amp;" pts.",0)</f>
        <v>0</v>
      </c>
      <c r="AN56" s="444">
        <f>+IFERROR(ROUND(($AB56-AH56)*100,2)&amp;" pts.",0)</f>
        <v>0</v>
      </c>
      <c r="AO56" s="11"/>
    </row>
    <row r="57" spans="1:41" hidden="1" x14ac:dyDescent="0.35">
      <c r="A57" s="11"/>
      <c r="B57" s="11"/>
      <c r="C57" s="208"/>
      <c r="D57" s="11"/>
      <c r="E57" s="11"/>
      <c r="F57" s="11"/>
      <c r="G57" s="11"/>
      <c r="H57" s="185"/>
      <c r="I57" s="122" t="str">
        <f>IF(_epmOfflineCondition_,"",_xll.EVPRO($B$1,$H57,"STYLE"))</f>
        <v/>
      </c>
      <c r="J57" s="122" t="str">
        <f>IF(_epmOfflineCondition_,"",_xll.EVPRO($B$1,$H57,"CALC"))</f>
        <v/>
      </c>
      <c r="K57" s="90"/>
      <c r="L57" s="90"/>
      <c r="M57" s="90"/>
      <c r="N57" s="90" t="str">
        <f>IF(_epmOfflineCondition_,"",IF(_xll.EVDES(H57,$B$1)="#NODATA","",_xll.EVDES(H57,$B$1)))</f>
        <v/>
      </c>
      <c r="O57" s="143"/>
      <c r="P57" s="143"/>
      <c r="Q57" s="143"/>
      <c r="R57" s="143"/>
      <c r="S57" s="143"/>
      <c r="T57" s="143"/>
      <c r="U57" s="143"/>
      <c r="V57" s="143"/>
      <c r="W57" s="143"/>
      <c r="X57" s="143"/>
      <c r="Y57" s="143"/>
      <c r="Z57" s="143"/>
      <c r="AA57" s="143">
        <f>IF($I57="B1","",SUM(O57:Z57))</f>
        <v>0</v>
      </c>
      <c r="AB57" s="144" t="str">
        <f>IF(AA57=0,"",IFERROR(AA57/AA$19,""))</f>
        <v/>
      </c>
      <c r="AC57" s="140"/>
      <c r="AD57" s="143"/>
      <c r="AE57" s="144" t="str">
        <f>IF(AD57=0,"",IFERROR(AD57/AD$19,""))</f>
        <v/>
      </c>
      <c r="AF57" s="145">
        <f>IF(AND($AA57="",AD57=""),"",$AA57-AD57)</f>
        <v>0</v>
      </c>
      <c r="AG57" s="143"/>
      <c r="AH57" s="144" t="str">
        <f>IF(AG57=0,"",IFERROR(AG57/AG$19,""))</f>
        <v/>
      </c>
      <c r="AI57" s="145">
        <f>IF(AND($AA57="",AG57=""),"",$AA57-AG57)</f>
        <v>0</v>
      </c>
      <c r="AJ57" s="440">
        <f>IFERROR(AA57/AA$20,0)</f>
        <v>0</v>
      </c>
      <c r="AK57" s="441">
        <f>IFERROR(AD57/AD$20,0)</f>
        <v>0</v>
      </c>
      <c r="AL57" s="442">
        <f>IFERROR(AG57/AG$20,0)</f>
        <v>0</v>
      </c>
      <c r="AM57" s="443">
        <f>+IFERROR(ROUND(($AB57-AE57)*100,2)&amp;" pts.",0)</f>
        <v>0</v>
      </c>
      <c r="AN57" s="444">
        <f>+IFERROR(ROUND(($AB57-AH57)*100,2)&amp;" pts.",0)</f>
        <v>0</v>
      </c>
      <c r="AO57" s="11"/>
    </row>
    <row r="58" spans="1:41" x14ac:dyDescent="0.35">
      <c r="A58" s="61" t="str">
        <f>IF(_epmOfflineCondition_,"Evdre:Ok",_xll.EVDRE($B$1,A61:B68,A71:B77))</f>
        <v>Evdre:Ok</v>
      </c>
      <c r="B58" s="11"/>
      <c r="C58" s="11"/>
      <c r="D58" s="11"/>
      <c r="E58" s="11"/>
      <c r="F58" s="11"/>
      <c r="G58" s="11"/>
      <c r="H58" s="59"/>
      <c r="I58" s="59"/>
      <c r="J58" s="11"/>
      <c r="K58" s="11"/>
      <c r="L58" s="59"/>
      <c r="M58" s="59"/>
      <c r="N58" s="106" t="s">
        <v>555</v>
      </c>
      <c r="O58" s="112">
        <f t="shared" ref="O58:Z58" si="4">SUM(O56:O57)</f>
        <v>0</v>
      </c>
      <c r="P58" s="112">
        <f t="shared" si="4"/>
        <v>0</v>
      </c>
      <c r="Q58" s="112">
        <f t="shared" si="4"/>
        <v>0</v>
      </c>
      <c r="R58" s="112">
        <f t="shared" si="4"/>
        <v>0</v>
      </c>
      <c r="S58" s="112">
        <f t="shared" si="4"/>
        <v>0</v>
      </c>
      <c r="T58" s="112">
        <f t="shared" si="4"/>
        <v>0</v>
      </c>
      <c r="U58" s="112">
        <f t="shared" si="4"/>
        <v>0</v>
      </c>
      <c r="V58" s="112">
        <f t="shared" si="4"/>
        <v>0</v>
      </c>
      <c r="W58" s="112">
        <f t="shared" si="4"/>
        <v>0</v>
      </c>
      <c r="X58" s="112">
        <f t="shared" si="4"/>
        <v>0</v>
      </c>
      <c r="Y58" s="112">
        <f t="shared" si="4"/>
        <v>0</v>
      </c>
      <c r="Z58" s="112">
        <f t="shared" si="4"/>
        <v>0</v>
      </c>
      <c r="AA58" s="112">
        <f>IF($I58="B1","",SUM(O58:Z58))</f>
        <v>0</v>
      </c>
      <c r="AB58" s="113" t="str">
        <f>IF(AA58=0,"",IFERROR(AA58/AA$19,""))</f>
        <v/>
      </c>
      <c r="AC58" s="11"/>
      <c r="AD58" s="112">
        <f>SUM(AD56:AD57)</f>
        <v>0</v>
      </c>
      <c r="AE58" s="113" t="str">
        <f>IF(AD58=0,"",IFERROR(AD58/AD$19,""))</f>
        <v/>
      </c>
      <c r="AF58" s="114">
        <f>IF(AND($AA58="",AD58=""),"",$AA58-AD58)</f>
        <v>0</v>
      </c>
      <c r="AG58" s="112">
        <f>SUM(AG56:AG57)</f>
        <v>0</v>
      </c>
      <c r="AH58" s="113" t="str">
        <f>IF(AG58=0,"",IFERROR(AG58/AG$19,""))</f>
        <v/>
      </c>
      <c r="AI58" s="114">
        <f>IF(AND($AA58="",AG58=""),"",$AA58-AG58)</f>
        <v>0</v>
      </c>
      <c r="AJ58" s="415">
        <f>IFERROR(AA58/AA$20,0)</f>
        <v>0</v>
      </c>
      <c r="AK58" s="416">
        <f>IFERROR(AD58/AD$20,0)</f>
        <v>0</v>
      </c>
      <c r="AL58" s="417">
        <f>IFERROR(AG58/AG$20,0)</f>
        <v>0</v>
      </c>
      <c r="AM58" s="418">
        <f>+IFERROR(ROUND(($AB58-AE58)*100,2)&amp;" pts.",0)</f>
        <v>0</v>
      </c>
      <c r="AN58" s="543">
        <f>+IFERROR(ROUND(($AB58-AH58)*100,2)&amp;" pts.",0)</f>
        <v>0</v>
      </c>
      <c r="AO58" s="11"/>
    </row>
    <row r="59" spans="1:41" x14ac:dyDescent="0.35">
      <c r="A59" s="11"/>
      <c r="B59" s="11"/>
      <c r="C59" s="11"/>
      <c r="D59" s="11"/>
      <c r="E59" s="11"/>
      <c r="F59" s="11"/>
      <c r="G59" s="11"/>
      <c r="H59" s="59"/>
      <c r="I59" s="59"/>
      <c r="J59" s="11"/>
      <c r="K59" s="11"/>
      <c r="L59" s="59"/>
      <c r="M59" s="59"/>
      <c r="N59" s="11"/>
      <c r="O59" s="119"/>
      <c r="P59" s="120"/>
      <c r="Q59" s="120"/>
      <c r="R59" s="120"/>
      <c r="S59" s="120"/>
      <c r="T59" s="120"/>
      <c r="U59" s="120"/>
      <c r="V59" s="120"/>
      <c r="W59" s="120"/>
      <c r="X59" s="120"/>
      <c r="Y59" s="120"/>
      <c r="Z59" s="120"/>
      <c r="AA59" s="120"/>
      <c r="AB59" s="121"/>
      <c r="AC59" s="11"/>
      <c r="AD59" s="119"/>
      <c r="AE59" s="120"/>
      <c r="AF59" s="121"/>
      <c r="AG59" s="119"/>
      <c r="AH59" s="120"/>
      <c r="AI59" s="121"/>
      <c r="AJ59" s="11"/>
      <c r="AK59" s="11"/>
      <c r="AL59" s="11"/>
      <c r="AM59" s="11"/>
      <c r="AN59" s="11"/>
      <c r="AO59" s="11"/>
    </row>
    <row r="60" spans="1:41" ht="15" thickBot="1" x14ac:dyDescent="0.4">
      <c r="A60" s="62" t="s">
        <v>0</v>
      </c>
      <c r="B60" s="63" t="s">
        <v>1</v>
      </c>
      <c r="C60" s="11"/>
      <c r="D60" s="11"/>
      <c r="E60" s="11"/>
      <c r="F60" s="11"/>
      <c r="G60" s="11"/>
      <c r="H60" s="59"/>
      <c r="I60" s="59"/>
      <c r="J60" s="11"/>
      <c r="K60" s="11"/>
      <c r="L60" s="59"/>
      <c r="M60" s="59"/>
      <c r="N60" s="106" t="s">
        <v>558</v>
      </c>
      <c r="O60" s="126">
        <f t="shared" ref="O60:Z60" si="5">O53+O58</f>
        <v>0</v>
      </c>
      <c r="P60" s="126">
        <f t="shared" si="5"/>
        <v>0</v>
      </c>
      <c r="Q60" s="126">
        <f t="shared" si="5"/>
        <v>0</v>
      </c>
      <c r="R60" s="126">
        <f t="shared" si="5"/>
        <v>0</v>
      </c>
      <c r="S60" s="126">
        <f t="shared" si="5"/>
        <v>0</v>
      </c>
      <c r="T60" s="126">
        <f t="shared" si="5"/>
        <v>0</v>
      </c>
      <c r="U60" s="126">
        <f t="shared" si="5"/>
        <v>0</v>
      </c>
      <c r="V60" s="126">
        <f t="shared" si="5"/>
        <v>0</v>
      </c>
      <c r="W60" s="126">
        <f t="shared" si="5"/>
        <v>0</v>
      </c>
      <c r="X60" s="126">
        <f t="shared" si="5"/>
        <v>0</v>
      </c>
      <c r="Y60" s="126">
        <f t="shared" si="5"/>
        <v>0</v>
      </c>
      <c r="Z60" s="126">
        <f t="shared" si="5"/>
        <v>0</v>
      </c>
      <c r="AA60" s="126">
        <f>IF($I60="B1","",SUM(O60:Z60))</f>
        <v>0</v>
      </c>
      <c r="AB60" s="127" t="str">
        <f>IF(AA60=0,"",IFERROR(AA60/AA$19,""))</f>
        <v/>
      </c>
      <c r="AC60" s="11"/>
      <c r="AD60" s="126">
        <f>AD53+AD58</f>
        <v>0</v>
      </c>
      <c r="AE60" s="127" t="str">
        <f>IF(AD60=0,"",IFERROR(AD60/AD$19,""))</f>
        <v/>
      </c>
      <c r="AF60" s="128">
        <f>IF(AND($AA60="",AD60=""),"",$AA60-AD60)</f>
        <v>0</v>
      </c>
      <c r="AG60" s="126">
        <f>AG53+AG58</f>
        <v>0</v>
      </c>
      <c r="AH60" s="127" t="str">
        <f>IF(AG60=0,"",IFERROR(AG60/AG$19,""))</f>
        <v/>
      </c>
      <c r="AI60" s="128">
        <f>IF(AND($AA60="",AG60=""),"",$AA60-AG60)</f>
        <v>0</v>
      </c>
      <c r="AJ60" s="11"/>
      <c r="AK60" s="11"/>
      <c r="AL60" s="11"/>
      <c r="AM60" s="11"/>
      <c r="AN60" s="11"/>
      <c r="AO60" s="11"/>
    </row>
    <row r="61" spans="1:41" ht="15" thickTop="1" x14ac:dyDescent="0.35">
      <c r="A61" s="65" t="s">
        <v>2</v>
      </c>
      <c r="B61" s="66" t="str">
        <f>IF(_epmOfflineCondition_,"'Laundry'!$B$2:$B$10",_xll.EVRNG($B$2:$B$10))</f>
        <v>'Laundry'!$B$2:$B$10</v>
      </c>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3</v>
      </c>
      <c r="B62" s="66" t="str">
        <f>IF(_epmOfflineCondition_,"'Laundry'!$O$16:$AN$18",_xll.EVRNG($O$16:$AN$18))</f>
        <v>'Laundry'!$O$16:$AN$18</v>
      </c>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4</v>
      </c>
      <c r="B63" s="66" t="str">
        <f>IF(_epmOfflineCondition_,"'Laundry'!$H$56:$H$57",_xll.EVRNG(H56:H57))</f>
        <v>'Laundry'!$H$56:$H$57</v>
      </c>
      <c r="C63" s="11"/>
      <c r="D63" s="11"/>
      <c r="E63" s="11"/>
      <c r="F63" s="11"/>
      <c r="G63" s="11"/>
      <c r="H63" s="88" t="s">
        <v>56</v>
      </c>
      <c r="I63" s="136" t="str">
        <f>IF(_epmOfflineCondition_,"T2",_xll.EVPRO($B$1,$H63,"STYLE"))</f>
        <v>T2</v>
      </c>
      <c r="J63" s="136" t="str">
        <f>IF(_epmOfflineCondition_,"Y",_xll.EVPRO($B$1,$H63,"CALC"))</f>
        <v>Y</v>
      </c>
      <c r="K63" s="106"/>
      <c r="L63" s="59"/>
      <c r="M63" s="59"/>
      <c r="N63" s="106" t="s">
        <v>666</v>
      </c>
      <c r="O63" s="209">
        <f>IF(_epmOfflineCondition_,0,_xll.EVGTS($B$1,1,$B$3,$B$5,$B$7,$B$9,O$16,O$17,O$18,$B$6,$H63))</f>
        <v>0</v>
      </c>
      <c r="P63" s="209">
        <f>IF(_epmOfflineCondition_,0,_xll.EVGTS($B$1,1,$B$3,$B$5,$B$7,$B$9,P$16,P$17,P$18,$B$6,$H63))</f>
        <v>0</v>
      </c>
      <c r="Q63" s="209">
        <f>IF(_epmOfflineCondition_,0,_xll.EVGTS($B$1,1,$B$3,$B$5,$B$7,$B$9,Q$16,Q$17,Q$18,$B$6,$H63))</f>
        <v>0</v>
      </c>
      <c r="R63" s="209">
        <f>IF(_epmOfflineCondition_,0,_xll.EVGTS($B$1,1,$B$3,$B$5,$B$7,$B$9,R$16,R$17,R$18,$B$6,$H63))</f>
        <v>0</v>
      </c>
      <c r="S63" s="209">
        <f>IF(_epmOfflineCondition_,0,_xll.EVGTS($B$1,1,$B$3,$B$5,$B$7,$B$9,S$16,S$17,S$18,$B$6,$H63))</f>
        <v>0</v>
      </c>
      <c r="T63" s="209">
        <f>IF(_epmOfflineCondition_,0,_xll.EVGTS($B$1,1,$B$3,$B$5,$B$7,$B$9,T$16,T$17,T$18,$B$6,$H63))</f>
        <v>0</v>
      </c>
      <c r="U63" s="209">
        <f>IF(_epmOfflineCondition_,0,_xll.EVGTS($B$1,1,$B$3,$B$5,$B$7,$B$9,U$16,U$17,U$18,$B$6,$H63))</f>
        <v>0</v>
      </c>
      <c r="V63" s="209">
        <f>IF(_epmOfflineCondition_,0,_xll.EVGTS($B$1,1,$B$3,$B$5,$B$7,$B$9,V$16,V$17,V$18,$B$6,$H63))</f>
        <v>0</v>
      </c>
      <c r="W63" s="209">
        <f>IF(_epmOfflineCondition_,0,_xll.EVGTS($B$1,1,$B$3,$B$5,$B$7,$B$9,W$16,W$17,W$18,$B$6,$H63))</f>
        <v>0</v>
      </c>
      <c r="X63" s="209">
        <f>IF(_epmOfflineCondition_,0,_xll.EVGTS($B$1,1,$B$3,$B$5,$B$7,$B$9,X$16,X$17,X$18,$B$6,$H63))</f>
        <v>0</v>
      </c>
      <c r="Y63" s="209">
        <f>IF(_epmOfflineCondition_,0,_xll.EVGTS($B$1,1,$B$3,$B$5,$B$7,$B$9,Y$16,Y$17,Y$18,$B$6,$H63))</f>
        <v>0</v>
      </c>
      <c r="Z63" s="209">
        <f>IF(_epmOfflineCondition_,0,_xll.EVGTS($B$1,1,$B$3,$B$5,$B$7,$B$9,Z$16,Z$17,Z$18,$B$6,$H63))</f>
        <v>0</v>
      </c>
      <c r="AA63" s="91">
        <f>IF($I63="B1","",SUM(O63:Z63))</f>
        <v>0</v>
      </c>
      <c r="AB63" s="209"/>
      <c r="AC63" s="11"/>
      <c r="AD63" s="209">
        <f>IF(_epmOfflineCondition_,0,_xll.EVGTS($B$1,1,$B$3,$B$5,$B$7,$B$9,AD$16,AD$17,AD$18,$B$6,$H63))</f>
        <v>0</v>
      </c>
      <c r="AE63" s="209"/>
      <c r="AF63" s="209"/>
      <c r="AG63" s="209">
        <f>IF(_epmOfflineCondition_,0,_xll.EVGTS($B$1,1,$B$3,$B$5,$B$7,$B$9,AG$16,AG$17,AG$18,$B$6,$H63))</f>
        <v>0</v>
      </c>
      <c r="AH63" s="209"/>
      <c r="AI63" s="209"/>
      <c r="AJ63" s="11"/>
      <c r="AK63" s="11"/>
      <c r="AL63" s="11"/>
      <c r="AM63" s="11"/>
      <c r="AN63" s="11"/>
      <c r="AO63" s="11"/>
    </row>
    <row r="64" spans="1:41" x14ac:dyDescent="0.35">
      <c r="A64" s="65" t="s">
        <v>5</v>
      </c>
      <c r="B64" s="66"/>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6</v>
      </c>
      <c r="B65" s="66"/>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7</v>
      </c>
      <c r="B66" s="66"/>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65" t="s">
        <v>47</v>
      </c>
      <c r="B67" s="66" t="str">
        <f>IF(_epmOfflineCondition_,"'Laundry'!$A$81:$B$102",_xll.EVRNG($A$81:$B$102))</f>
        <v>'Laundry'!$A$81:$B$102</v>
      </c>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65" t="s">
        <v>8</v>
      </c>
      <c r="B68" s="66"/>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62" t="s">
        <v>9</v>
      </c>
      <c r="B70" s="63" t="s">
        <v>10</v>
      </c>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65" t="s">
        <v>11</v>
      </c>
      <c r="B71" s="66" t="s">
        <v>21</v>
      </c>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65" t="s">
        <v>12</v>
      </c>
      <c r="B72" s="66" t="s">
        <v>22</v>
      </c>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65" t="s">
        <v>13</v>
      </c>
      <c r="B73" s="66" t="s">
        <v>594</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14</v>
      </c>
      <c r="B74" s="608"/>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65" t="s">
        <v>15</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16</v>
      </c>
      <c r="B76" s="66" t="s">
        <v>78</v>
      </c>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17</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2" t="s">
        <v>23</v>
      </c>
      <c r="B80" s="63" t="s">
        <v>24</v>
      </c>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25</v>
      </c>
      <c r="B81" s="66"/>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26</v>
      </c>
      <c r="B82" s="66"/>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27</v>
      </c>
      <c r="B83" s="66"/>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28</v>
      </c>
      <c r="B84" s="66"/>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29</v>
      </c>
      <c r="B85" s="66"/>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30</v>
      </c>
      <c r="B86" s="66" t="s">
        <v>78</v>
      </c>
      <c r="C86" s="11"/>
      <c r="D86" s="11"/>
      <c r="E86" s="11"/>
      <c r="F86" s="11"/>
      <c r="G86" s="11"/>
      <c r="H86" s="11"/>
      <c r="I86" s="59"/>
      <c r="J86" s="59"/>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31</v>
      </c>
      <c r="B87" s="66" t="s">
        <v>78</v>
      </c>
      <c r="C87" s="11"/>
      <c r="D87" s="11"/>
      <c r="E87" s="11"/>
      <c r="F87" s="11"/>
      <c r="G87" s="11"/>
      <c r="H87" s="11"/>
      <c r="I87" s="59"/>
      <c r="J87" s="59"/>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32</v>
      </c>
      <c r="B88" s="66"/>
      <c r="C88" s="11"/>
      <c r="D88" s="11"/>
      <c r="E88" s="11"/>
      <c r="F88" s="11"/>
      <c r="G88" s="11"/>
      <c r="H88" s="11"/>
      <c r="I88" s="59"/>
      <c r="J88" s="59"/>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33</v>
      </c>
      <c r="B89" s="66"/>
      <c r="C89" s="11"/>
      <c r="D89" s="11"/>
      <c r="E89" s="11"/>
      <c r="F89" s="11"/>
      <c r="G89" s="11"/>
      <c r="H89" s="11"/>
      <c r="I89" s="59"/>
      <c r="J89" s="59"/>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34</v>
      </c>
      <c r="B90" s="66"/>
      <c r="C90" s="11"/>
      <c r="D90" s="11"/>
      <c r="E90" s="11"/>
      <c r="F90" s="11"/>
      <c r="G90" s="11"/>
      <c r="H90" s="11"/>
      <c r="I90" s="59"/>
      <c r="J90" s="59"/>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5" t="s">
        <v>35</v>
      </c>
      <c r="B91" s="66"/>
      <c r="C91" s="11"/>
      <c r="D91" s="11"/>
      <c r="E91" s="11"/>
      <c r="F91" s="11"/>
      <c r="G91" s="11"/>
      <c r="H91" s="11"/>
      <c r="I91" s="59"/>
      <c r="J91" s="59"/>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5" t="s">
        <v>36</v>
      </c>
      <c r="B92" s="66"/>
      <c r="C92" s="11"/>
      <c r="D92" s="11"/>
      <c r="E92" s="11"/>
      <c r="F92" s="11"/>
      <c r="G92" s="11"/>
      <c r="H92" s="11"/>
      <c r="I92" s="59"/>
      <c r="J92" s="59"/>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37</v>
      </c>
      <c r="B93" s="66"/>
      <c r="C93" s="11"/>
      <c r="D93" s="11"/>
      <c r="E93" s="11"/>
      <c r="F93" s="11"/>
      <c r="G93" s="11"/>
      <c r="H93" s="11"/>
      <c r="I93" s="59"/>
      <c r="J93" s="59"/>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38</v>
      </c>
      <c r="B94" s="66"/>
      <c r="C94" s="11"/>
      <c r="D94" s="11"/>
      <c r="E94" s="11"/>
      <c r="F94" s="11"/>
      <c r="G94" s="11"/>
      <c r="H94" s="11"/>
      <c r="I94" s="59"/>
      <c r="J94" s="59"/>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39</v>
      </c>
      <c r="B95" s="66"/>
      <c r="C95" s="11"/>
      <c r="D95" s="11"/>
      <c r="E95" s="11"/>
      <c r="F95" s="11"/>
      <c r="G95" s="11"/>
      <c r="H95" s="11"/>
      <c r="I95" s="59"/>
      <c r="J95" s="59"/>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40</v>
      </c>
      <c r="B96" s="66"/>
      <c r="C96" s="11"/>
      <c r="D96" s="11"/>
      <c r="E96" s="11"/>
      <c r="F96" s="11"/>
      <c r="G96" s="11"/>
      <c r="H96" s="11"/>
      <c r="I96" s="59"/>
      <c r="J96" s="59"/>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41</v>
      </c>
      <c r="B97" s="66"/>
      <c r="C97" s="11"/>
      <c r="D97" s="11"/>
      <c r="E97" s="11"/>
      <c r="F97" s="11"/>
      <c r="G97" s="11"/>
      <c r="H97" s="11"/>
      <c r="I97" s="59"/>
      <c r="J97" s="59"/>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42</v>
      </c>
      <c r="B98" s="66"/>
      <c r="C98" s="11"/>
      <c r="D98" s="11"/>
      <c r="E98" s="11"/>
      <c r="F98" s="11"/>
      <c r="G98" s="11"/>
      <c r="H98" s="11"/>
      <c r="I98" s="59"/>
      <c r="J98" s="59"/>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43</v>
      </c>
      <c r="B99" s="66"/>
      <c r="C99" s="11"/>
      <c r="D99" s="11"/>
      <c r="E99" s="11"/>
      <c r="F99" s="11"/>
      <c r="G99" s="11"/>
      <c r="H99" s="11"/>
      <c r="I99" s="59"/>
      <c r="J99" s="59"/>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44</v>
      </c>
      <c r="B100" s="66"/>
      <c r="C100" s="11"/>
      <c r="D100" s="11"/>
      <c r="E100" s="11"/>
      <c r="F100" s="11"/>
      <c r="G100" s="11"/>
      <c r="H100" s="11"/>
      <c r="I100" s="59"/>
      <c r="J100" s="59"/>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5" t="s">
        <v>45</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5" t="s">
        <v>46</v>
      </c>
      <c r="B102" s="66"/>
      <c r="C102" s="11"/>
      <c r="D102" s="11"/>
      <c r="E102" s="11"/>
      <c r="F102" s="11"/>
      <c r="G102" s="11"/>
      <c r="H102" s="11"/>
      <c r="I102" s="59"/>
      <c r="J102" s="59"/>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sheetData>
  <sheetProtection algorithmName="SHA-512" hashValue="kLI9qf0wdqe7PEFZkD6/DBmn1nGjNeY+8kpLPgGzTbwc5pr0F+BAIePCMGAuLf8ZKPzwydQAO1qqXpynuWbDww==" saltValue="raQj0sYox5Pl9Ib16sS98w==" spinCount="100000" sheet="1" scenarios="1"/>
  <mergeCells count="2">
    <mergeCell ref="AD31:AE31"/>
    <mergeCell ref="AG31:AH31"/>
  </mergeCells>
  <dataValidations disablePrompts="1" count="2">
    <dataValidation type="list" allowBlank="1" sqref="B72 B28" xr:uid="{00000000-0002-0000-2E00-000000000000}">
      <formula1>"ACCOUNT,BUSINESSUNIT,CATEGORY,DATASRC,DEPARTMENT,INTCO,MEASURES,RPTCURRENCY,TIME"</formula1>
    </dataValidation>
    <dataValidation type="list" allowBlank="1" sqref="B73 B29" xr:uid="{00000000-0002-0000-2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452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4524" r:id="rId7" name="FPMExcelClientSheetOptionstb1"/>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1">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554</v>
      </c>
      <c r="C2" s="11" t="str">
        <f>IF(_epmOfflineCondition_,"POD Allocation Out Account",_xll.EVDES(B2,$B$1))</f>
        <v>POD Allocation Out Account</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559</v>
      </c>
      <c r="C6" s="11" t="str">
        <f>IF(_epmOfflineCondition_,"Staff Dining",_xll.EVDES(B6,$B$1))</f>
        <v>Staff Dining</v>
      </c>
      <c r="D6" s="11"/>
      <c r="E6" s="58" t="str">
        <f>IF(_epmOfflineCondition_,"D2259",_xll.EVPRO($B$1,$B$6,$F$6))</f>
        <v>D2259</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IF(_epmOfflineCondition_,"'Dining'!$B$2:$B$10",_xll.EVRNG($B$2:$B$10))</f>
        <v>'Dining'!$B$2:$B$10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IF(_epmOfflineCondition_,"'Dining'!$O$16:$AN$18",_xll.EVRNG($O$16:$AN$18))</f>
        <v>'Dining'!$O$16:$AN$18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IF(_epmOfflineCondition_,"'Dining'!$H$34:$H$35,'Dining'!$H$38:$H$39,'Dining'!$H$40:$H$41,'Dining'!$H$44:$H$45",_xll.EVRNG(H34:H35,H38:H39,H40:H41,H44:H45))</f>
        <v>'Dining'!$H$34:$H$35,'Dining'!$H$38:$H$39,'Dining'!$H$40:$H$41,'Dining'!$H$44:$H$45</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IF(_epmOfflineCondition_,"'Dining'!$A$36:$F$42",_xll.EVRNG(A36:F42))</f>
        <v>'Dining'!$A$36:$F$42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IF(_epmOfflineCondition_,"'Dining'!$A$68:$B$89",_xll.EVRNG($A$68:$B$89))</f>
        <v>'Dining'!$A$68:$B$89</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IF(_epmOfflineCondition_,"Staff Dining Department",IF(_xll.EVDES(B6,$B$1)="#NODATA","",_xll.EVDES(B6,$B$1)&amp;" Department"))</f>
        <v>Staff Dining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08" t="s">
        <v>745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0" t="str">
        <f>IF(_epmOfflineCondition_,"2021",_xll.EVPRO($B$1,AD$16,"YEAR"))</f>
        <v>2021</v>
      </c>
      <c r="AL31" s="80"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618"/>
      <c r="I33" s="59"/>
      <c r="J33" s="59"/>
      <c r="K33" s="619"/>
      <c r="L33" s="59"/>
      <c r="M33" s="59"/>
      <c r="N33" s="488"/>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hidden="1" x14ac:dyDescent="0.35">
      <c r="A34" s="11"/>
      <c r="B34" s="11"/>
      <c r="C34" s="11"/>
      <c r="D34" s="11"/>
      <c r="E34" s="11"/>
      <c r="F34" s="11"/>
      <c r="G34" s="11"/>
      <c r="H34" s="88" t="s">
        <v>667</v>
      </c>
      <c r="I34" s="122" t="str">
        <f>IF(_epmOfflineCondition_,"",_xll.EVPRO($B$1,$H34,"STYLE"))</f>
        <v/>
      </c>
      <c r="J34" s="122" t="str">
        <f>IF(_epmOfflineCondition_,"",_xll.EVPRO($B$1,$H34,"CALC"))</f>
        <v/>
      </c>
      <c r="K34" s="179" t="str">
        <f>IF(AND(I34&gt;="T3"),"&gt;","")</f>
        <v/>
      </c>
      <c r="L34" s="90" t="str">
        <f>IF(_epmOfflineCondition_,"",_xll.EVPRO($B$1,H34,"JDEID"))</f>
        <v/>
      </c>
      <c r="M34" s="90" t="str">
        <f>IF(_epmOfflineCondition_,"",IF(AND(I34="N",J34="N"),_xll.EVPRO($B$1,H34,"PSFTID"),""))</f>
        <v/>
      </c>
      <c r="N34" s="90" t="str">
        <f>IF(_epmOfflineCondition_,"",IF(_xll.EVDES(H34,$B$1)="#NODATA","",_xll.EVDES(H34,$B$1)))</f>
        <v/>
      </c>
      <c r="O34" s="143"/>
      <c r="P34" s="143"/>
      <c r="Q34" s="143"/>
      <c r="R34" s="143"/>
      <c r="S34" s="143"/>
      <c r="T34" s="143"/>
      <c r="U34" s="143"/>
      <c r="V34" s="143"/>
      <c r="W34" s="143"/>
      <c r="X34" s="143"/>
      <c r="Y34" s="143"/>
      <c r="Z34" s="143"/>
      <c r="AA34" s="143">
        <f>IF($I34="B1","",SUM(O34:Z34))</f>
        <v>0</v>
      </c>
      <c r="AB34" s="144" t="str">
        <f>IF(AA34=0,"",IFERROR(AA34/AA$19,""))</f>
        <v/>
      </c>
      <c r="AC34" s="140"/>
      <c r="AD34" s="143"/>
      <c r="AE34" s="144" t="str">
        <f>IF(AD34=0,"",IFERROR(AD34/AD$19,""))</f>
        <v/>
      </c>
      <c r="AF34" s="145">
        <f>IF(AND($AA34="",AD34=""),"",$AA34-AD34)</f>
        <v>0</v>
      </c>
      <c r="AG34" s="143"/>
      <c r="AH34" s="144" t="str">
        <f>IF(AG34=0,"",IFERROR(AG34/AG$19,""))</f>
        <v/>
      </c>
      <c r="AI34" s="145">
        <f>IF(AND($AA34="",AG34=""),"",$AA34-AG34)</f>
        <v>0</v>
      </c>
      <c r="AJ34" s="440">
        <f>IFERROR(AA34/AA$20,0)</f>
        <v>0</v>
      </c>
      <c r="AK34" s="441">
        <f>IFERROR(AD34/AD$20,0)</f>
        <v>0</v>
      </c>
      <c r="AL34" s="442">
        <f>IFERROR(AG34/AG$20,0)</f>
        <v>0</v>
      </c>
      <c r="AM34" s="443">
        <f>+IFERROR(ROUND(($AB34-AE34)*100,2)&amp;" pts.",0)</f>
        <v>0</v>
      </c>
      <c r="AN34" s="444">
        <f>+IFERROR(ROUND(($AB34-AH34)*100,2)&amp;" pts.",0)</f>
        <v>0</v>
      </c>
      <c r="AO34" s="11"/>
    </row>
    <row r="35" spans="1:41" hidden="1" x14ac:dyDescent="0.35">
      <c r="A35" s="97" t="s">
        <v>92</v>
      </c>
      <c r="B35" s="98" t="s">
        <v>93</v>
      </c>
      <c r="C35" s="98" t="s">
        <v>94</v>
      </c>
      <c r="D35" s="98" t="s">
        <v>95</v>
      </c>
      <c r="E35" s="98" t="s">
        <v>96</v>
      </c>
      <c r="F35" s="99" t="s">
        <v>97</v>
      </c>
      <c r="G35" s="11"/>
      <c r="H35" s="88"/>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143"/>
      <c r="P35" s="143"/>
      <c r="Q35" s="143"/>
      <c r="R35" s="143"/>
      <c r="S35" s="143"/>
      <c r="T35" s="143"/>
      <c r="U35" s="143"/>
      <c r="V35" s="143"/>
      <c r="W35" s="143"/>
      <c r="X35" s="143"/>
      <c r="Y35" s="143"/>
      <c r="Z35" s="143"/>
      <c r="AA35" s="143">
        <f>IF($I35="B1","",SUM(O35:Z35))</f>
        <v>0</v>
      </c>
      <c r="AB35" s="144" t="str">
        <f>IF(AA35=0,"",IFERROR(AA35/AA$19,""))</f>
        <v/>
      </c>
      <c r="AC35" s="140"/>
      <c r="AD35" s="143"/>
      <c r="AE35" s="144" t="str">
        <f>IF(AD35=0,"",IFERROR(AD35/AD$19,""))</f>
        <v/>
      </c>
      <c r="AF35" s="145">
        <f>IF(AND($AA35="",AD35=""),"",$AA35-AD35)</f>
        <v>0</v>
      </c>
      <c r="AG35" s="143"/>
      <c r="AH35" s="144" t="str">
        <f>IF(AG35=0,"",IFERROR(AG35/AG$19,""))</f>
        <v/>
      </c>
      <c r="AI35" s="145">
        <f>IF(AND($AA35="",AG35=""),"",$AA35-AG35)</f>
        <v>0</v>
      </c>
      <c r="AJ35" s="440">
        <f>IFERROR(AA35/AA$20,0)</f>
        <v>0</v>
      </c>
      <c r="AK35" s="441">
        <f>IFERROR(AD35/AD$20,0)</f>
        <v>0</v>
      </c>
      <c r="AL35" s="442">
        <f>IFERROR(AG35/AG$20,0)</f>
        <v>0</v>
      </c>
      <c r="AM35" s="443">
        <f>+IFERROR(ROUND(($AB35-AE35)*100,2)&amp;" pts.",0)</f>
        <v>0</v>
      </c>
      <c r="AN35" s="444">
        <f>+IFERROR(ROUND(($AB35-AH35)*100,2)&amp;" pts.",0)</f>
        <v>0</v>
      </c>
      <c r="AO35" s="11"/>
    </row>
    <row r="36" spans="1:41" x14ac:dyDescent="0.35">
      <c r="A36" s="11"/>
      <c r="B36" s="11"/>
      <c r="C36" s="11"/>
      <c r="D36" s="11"/>
      <c r="E36" s="11"/>
      <c r="F36" s="11"/>
      <c r="G36" s="11"/>
      <c r="H36" s="11" t="s">
        <v>73</v>
      </c>
      <c r="I36" s="59" t="str">
        <f>IF(_epmOfflineCondition_,"B1",_xll.EVPRO($B$1,$H36,"STYLE"))</f>
        <v>B1</v>
      </c>
      <c r="J36" s="59" t="str">
        <f>IF(_epmOfflineCondition_,"Y",_xll.EVPRO($B$1,$H36,"CALC"))</f>
        <v>Y</v>
      </c>
      <c r="K36" s="11"/>
      <c r="L36" s="59"/>
      <c r="M36" s="59"/>
      <c r="N36" s="105" t="str">
        <f>IF(_epmOfflineCondition_,"Labor &amp; Related Expenses",IF(_xll.EVDES(H36,$B$1)="#NODATA","",_xll.EVDES(H36,$B$1)))</f>
        <v>Labor &amp; Related Expenses</v>
      </c>
      <c r="O36" s="203"/>
      <c r="P36" s="204"/>
      <c r="Q36" s="204"/>
      <c r="R36" s="204"/>
      <c r="S36" s="204"/>
      <c r="T36" s="204"/>
      <c r="U36" s="204"/>
      <c r="V36" s="204"/>
      <c r="W36" s="204"/>
      <c r="X36" s="204"/>
      <c r="Y36" s="204"/>
      <c r="Z36" s="204"/>
      <c r="AA36" s="204"/>
      <c r="AB36" s="118"/>
      <c r="AC36" s="11"/>
      <c r="AD36" s="203"/>
      <c r="AE36" s="204"/>
      <c r="AF36" s="118"/>
      <c r="AG36" s="203"/>
      <c r="AH36" s="204"/>
      <c r="AI36" s="118"/>
      <c r="AJ36" s="11"/>
      <c r="AK36" s="11"/>
      <c r="AL36" s="11"/>
      <c r="AM36" s="11"/>
      <c r="AN36" s="11"/>
      <c r="AO36" s="11"/>
    </row>
    <row r="37" spans="1:41" x14ac:dyDescent="0.35">
      <c r="A37" s="11" t="s">
        <v>108</v>
      </c>
      <c r="B37" s="11"/>
      <c r="C37" s="104" t="s">
        <v>101</v>
      </c>
      <c r="D37" s="11" t="s">
        <v>106</v>
      </c>
      <c r="E37" s="11"/>
      <c r="F37" s="11" t="s">
        <v>98</v>
      </c>
      <c r="G37" s="11"/>
      <c r="H37" s="11" t="s">
        <v>74</v>
      </c>
      <c r="I37" s="59" t="str">
        <f>IF(_epmOfflineCondition_,"B1",_xll.EVPRO($B$1,$H37,"STYLE"))</f>
        <v>B1</v>
      </c>
      <c r="J37" s="59" t="str">
        <f>IF(_epmOfflineCondition_,"Y",_xll.EVPRO($B$1,$H37,"CALC"))</f>
        <v>Y</v>
      </c>
      <c r="K37" s="11"/>
      <c r="L37" s="59"/>
      <c r="M37" s="59"/>
      <c r="N37" s="53" t="str">
        <f>IF(_epmOfflineCondition_,"Salaries &amp; Wages",IF(_xll.EVDES(H37,$B$1)="#NODATA","",_xll.EVDES(H37,$B$1)))</f>
        <v>Salaries &amp; Wages</v>
      </c>
      <c r="O37" s="119"/>
      <c r="P37" s="120"/>
      <c r="Q37" s="120"/>
      <c r="R37" s="120"/>
      <c r="S37" s="120"/>
      <c r="T37" s="120"/>
      <c r="U37" s="120"/>
      <c r="V37" s="120"/>
      <c r="W37" s="120"/>
      <c r="X37" s="120"/>
      <c r="Y37" s="120"/>
      <c r="Z37" s="120"/>
      <c r="AA37" s="120"/>
      <c r="AB37" s="121"/>
      <c r="AC37" s="11"/>
      <c r="AD37" s="119"/>
      <c r="AE37" s="120"/>
      <c r="AF37" s="121"/>
      <c r="AG37" s="119"/>
      <c r="AH37" s="120"/>
      <c r="AI37" s="121"/>
      <c r="AJ37" s="11"/>
      <c r="AK37" s="11"/>
      <c r="AL37" s="11"/>
      <c r="AM37" s="11"/>
      <c r="AN37" s="11"/>
      <c r="AO37" s="11"/>
    </row>
    <row r="38" spans="1:41" hidden="1" x14ac:dyDescent="0.35">
      <c r="A38" s="11" t="s">
        <v>100</v>
      </c>
      <c r="B38" s="11"/>
      <c r="C38" s="53" t="s">
        <v>101</v>
      </c>
      <c r="D38" s="11" t="s">
        <v>106</v>
      </c>
      <c r="E38" s="11"/>
      <c r="F38" s="11" t="s">
        <v>98</v>
      </c>
      <c r="G38" s="11"/>
      <c r="H38" s="88" t="s">
        <v>667</v>
      </c>
      <c r="I38" s="122" t="str">
        <f>IF(_epmOfflineCondition_,"",_xll.EVPRO($B$1,$H38,"STYLE"))</f>
        <v/>
      </c>
      <c r="J38" s="122" t="str">
        <f>IF(_epmOfflineCondition_,"",_xll.EVPRO($B$1,$H38,"CALC"))</f>
        <v/>
      </c>
      <c r="K38" s="179" t="str">
        <f>IF(AND(I38&gt;="T3"),"&gt;","")</f>
        <v/>
      </c>
      <c r="L38" s="90" t="str">
        <f>IF(_epmOfflineCondition_,"",_xll.EVPRO($B$1,H38,"JDEID"))</f>
        <v/>
      </c>
      <c r="M38" s="90" t="str">
        <f>IF(_epmOfflineCondition_,"",IF(AND(I38="N",J38="N"),_xll.EVPRO($B$1,H38,"PSFTID"),""))</f>
        <v/>
      </c>
      <c r="N38" s="90" t="str">
        <f>IF(_epmOfflineCondition_,"",IF(_xll.EVDES(H38,$B$1)="#NODATA","",_xll.EVDES(H38,$B$1)))</f>
        <v/>
      </c>
      <c r="O38" s="216"/>
      <c r="P38" s="216"/>
      <c r="Q38" s="216"/>
      <c r="R38" s="216"/>
      <c r="S38" s="216"/>
      <c r="T38" s="216"/>
      <c r="U38" s="216"/>
      <c r="V38" s="216"/>
      <c r="W38" s="216"/>
      <c r="X38" s="216"/>
      <c r="Y38" s="216"/>
      <c r="Z38" s="216"/>
      <c r="AA38" s="216">
        <f>IF($I38="B1","",SUM(O38:Z38))</f>
        <v>0</v>
      </c>
      <c r="AB38" s="218" t="str">
        <f>IF(AA38=0,"",IFERROR(AA38/AA$19,""))</f>
        <v/>
      </c>
      <c r="AC38" s="140"/>
      <c r="AD38" s="217"/>
      <c r="AE38" s="219" t="str">
        <f>IF(AD38=0,"",IFERROR(AD38/AD$19,""))</f>
        <v/>
      </c>
      <c r="AF38" s="220">
        <f>IF(AND($AA38="",AD38=""),"",$AA38-AD38)</f>
        <v>0</v>
      </c>
      <c r="AG38" s="217"/>
      <c r="AH38" s="219" t="str">
        <f>IF(AG38=0,"",IFERROR(AG38/AG$19,""))</f>
        <v/>
      </c>
      <c r="AI38" s="220">
        <f>IF(AND($AA38="",AG38=""),"",$AA38-AG38)</f>
        <v>0</v>
      </c>
      <c r="AJ38" s="440">
        <f>IFERROR(AA38/AA$20,0)</f>
        <v>0</v>
      </c>
      <c r="AK38" s="441">
        <f>IFERROR(AD38/AD$20,0)</f>
        <v>0</v>
      </c>
      <c r="AL38" s="442">
        <f>IFERROR(AG38/AG$20,0)</f>
        <v>0</v>
      </c>
      <c r="AM38" s="443">
        <f>+IFERROR(ROUND(($AB38-AE38)*100,2)&amp;" pts.",0)</f>
        <v>0</v>
      </c>
      <c r="AN38" s="444">
        <f>+IFERROR(ROUND(($AB38-AH38)*100,2)&amp;" pts.",0)</f>
        <v>0</v>
      </c>
      <c r="AO38" s="11"/>
    </row>
    <row r="39" spans="1:41" hidden="1" x14ac:dyDescent="0.35">
      <c r="A39" s="11" t="s">
        <v>109</v>
      </c>
      <c r="B39" s="11"/>
      <c r="C39" s="106" t="s">
        <v>101</v>
      </c>
      <c r="D39" s="11" t="s">
        <v>106</v>
      </c>
      <c r="E39" s="11"/>
      <c r="F39" s="11" t="s">
        <v>98</v>
      </c>
      <c r="G39" s="11"/>
      <c r="H39" s="88"/>
      <c r="I39" s="122" t="str">
        <f>IF(_epmOfflineCondition_,"",_xll.EVPRO($B$1,$H39,"STYLE"))</f>
        <v/>
      </c>
      <c r="J39" s="122" t="str">
        <f>IF(_epmOfflineCondition_,"",_xll.EVPRO($B$1,$H39,"CALC"))</f>
        <v/>
      </c>
      <c r="K39" s="179" t="str">
        <f>IF(AND(I39&gt;="T3"),"&gt;","")</f>
        <v/>
      </c>
      <c r="L39" s="90" t="str">
        <f>IF(_epmOfflineCondition_,"",_xll.EVPRO($B$1,H39,"JDEID"))</f>
        <v/>
      </c>
      <c r="M39" s="90" t="str">
        <f>IF(_epmOfflineCondition_,"",IF(AND(I39="N",J39="N"),_xll.EVPRO($B$1,H39,"PSFTID"),""))</f>
        <v/>
      </c>
      <c r="N39" s="90" t="str">
        <f>IF(_epmOfflineCondition_,"",IF(_xll.EVDES(H39,$B$1)="#NODATA","",_xll.EVDES(H39,$B$1)))</f>
        <v/>
      </c>
      <c r="O39" s="216"/>
      <c r="P39" s="216"/>
      <c r="Q39" s="216"/>
      <c r="R39" s="216"/>
      <c r="S39" s="216"/>
      <c r="T39" s="216"/>
      <c r="U39" s="216"/>
      <c r="V39" s="216"/>
      <c r="W39" s="216"/>
      <c r="X39" s="216"/>
      <c r="Y39" s="216"/>
      <c r="Z39" s="216"/>
      <c r="AA39" s="216">
        <f>IF($I39="B1","",SUM(O39:Z39))</f>
        <v>0</v>
      </c>
      <c r="AB39" s="218" t="str">
        <f>IF(AA39=0,"",IFERROR(AA39/AA$19,""))</f>
        <v/>
      </c>
      <c r="AC39" s="140"/>
      <c r="AD39" s="217"/>
      <c r="AE39" s="219" t="str">
        <f>IF(AD39=0,"",IFERROR(AD39/AD$19,""))</f>
        <v/>
      </c>
      <c r="AF39" s="220">
        <f>IF(AND($AA39="",AD39=""),"",$AA39-AD39)</f>
        <v>0</v>
      </c>
      <c r="AG39" s="217"/>
      <c r="AH39" s="219" t="str">
        <f>IF(AG39=0,"",IFERROR(AG39/AG$19,""))</f>
        <v/>
      </c>
      <c r="AI39" s="220">
        <f>IF(AND($AA39="",AG39=""),"",$AA39-AG39)</f>
        <v>0</v>
      </c>
      <c r="AJ39" s="440">
        <f>IFERROR(AA39/AA$20,0)</f>
        <v>0</v>
      </c>
      <c r="AK39" s="441">
        <f>IFERROR(AD39/AD$20,0)</f>
        <v>0</v>
      </c>
      <c r="AL39" s="442">
        <f>IFERROR(AG39/AG$20,0)</f>
        <v>0</v>
      </c>
      <c r="AM39" s="443">
        <f>+IFERROR(ROUND(($AB39-AE39)*100,2)&amp;" pts.",0)</f>
        <v>0</v>
      </c>
      <c r="AN39" s="444">
        <f>+IFERROR(ROUND(($AB39-AH39)*100,2)&amp;" pts.",0)</f>
        <v>0</v>
      </c>
      <c r="AO39" s="11"/>
    </row>
    <row r="40" spans="1:41" hidden="1" x14ac:dyDescent="0.35">
      <c r="A40" s="11" t="s">
        <v>109</v>
      </c>
      <c r="B40" s="11"/>
      <c r="C40" s="196" t="s">
        <v>101</v>
      </c>
      <c r="D40" s="11" t="s">
        <v>107</v>
      </c>
      <c r="E40" s="11"/>
      <c r="F40" s="11" t="s">
        <v>99</v>
      </c>
      <c r="G40" s="11"/>
      <c r="H40" s="88" t="s">
        <v>667</v>
      </c>
      <c r="I40" s="122" t="str">
        <f>IF(_epmOfflineCondition_,"",_xll.EVPRO($B$1,$H40,"STYLE"))</f>
        <v/>
      </c>
      <c r="J40" s="122" t="str">
        <f>IF(_epmOfflineCondition_,"",_xll.EVPRO($B$1,$H40,"CALC"))</f>
        <v/>
      </c>
      <c r="K40" s="179" t="str">
        <f>IF(AND(I40&gt;="T3"),"&gt;","")</f>
        <v/>
      </c>
      <c r="L40" s="90" t="str">
        <f>IF(_epmOfflineCondition_,"",_xll.EVPRO($B$1,H40,"JDEID"))</f>
        <v/>
      </c>
      <c r="M40" s="90" t="str">
        <f>IF(_epmOfflineCondition_,"",IF(AND(I40="N",J40="N"),_xll.EVPRO($B$1,H40,"PSFTID"),""))</f>
        <v/>
      </c>
      <c r="N40" s="90" t="str">
        <f>IF(_epmOfflineCondition_,"",IF(_xll.EVDES(H40,$B$1)="#NODATA","",_xll.EVDES(H40,$B$1)))</f>
        <v/>
      </c>
      <c r="O40" s="217"/>
      <c r="P40" s="217"/>
      <c r="Q40" s="217"/>
      <c r="R40" s="217"/>
      <c r="S40" s="217"/>
      <c r="T40" s="217"/>
      <c r="U40" s="217"/>
      <c r="V40" s="217"/>
      <c r="W40" s="217"/>
      <c r="X40" s="217"/>
      <c r="Y40" s="217"/>
      <c r="Z40" s="217"/>
      <c r="AA40" s="217">
        <f>IF($I40="B1","",SUM(O40:Z40))</f>
        <v>0</v>
      </c>
      <c r="AB40" s="219" t="str">
        <f>IF(AA40=0,"",IFERROR(AA40/AA$19,""))</f>
        <v/>
      </c>
      <c r="AC40" s="140"/>
      <c r="AD40" s="217"/>
      <c r="AE40" s="219" t="str">
        <f>IF(AD40=0,"",IFERROR(AD40/AD$19,""))</f>
        <v/>
      </c>
      <c r="AF40" s="220">
        <f>IF(AND($AA40="",AD40=""),"",$AA40-AD40)</f>
        <v>0</v>
      </c>
      <c r="AG40" s="217"/>
      <c r="AH40" s="219" t="str">
        <f>IF(AG40=0,"",IFERROR(AG40/AG$19,""))</f>
        <v/>
      </c>
      <c r="AI40" s="220">
        <f>IF(AND($AA40="",AG40=""),"",$AA40-AG40)</f>
        <v>0</v>
      </c>
      <c r="AJ40" s="449">
        <f>IFERROR(AA40/AA$20,0)</f>
        <v>0</v>
      </c>
      <c r="AK40" s="450">
        <f>IFERROR(AD40/AD$20,0)</f>
        <v>0</v>
      </c>
      <c r="AL40" s="451">
        <f>IFERROR(AG40/AG$20,0)</f>
        <v>0</v>
      </c>
      <c r="AM40" s="452">
        <f>+IFERROR(ROUND(($AB40-AE40)*100,2)&amp;" pts.",0)</f>
        <v>0</v>
      </c>
      <c r="AN40" s="453">
        <f>+IFERROR(ROUND(($AB40-AH40)*100,2)&amp;" pts.",0)</f>
        <v>0</v>
      </c>
      <c r="AO40" s="11"/>
    </row>
    <row r="41" spans="1:41" hidden="1" x14ac:dyDescent="0.35">
      <c r="A41" s="11" t="s">
        <v>110</v>
      </c>
      <c r="B41" s="11"/>
      <c r="C41" s="106" t="s">
        <v>101</v>
      </c>
      <c r="D41" s="11" t="s">
        <v>106</v>
      </c>
      <c r="E41" s="11"/>
      <c r="F41" s="11" t="s">
        <v>98</v>
      </c>
      <c r="G41" s="11"/>
      <c r="H41" s="88"/>
      <c r="I41" s="122" t="str">
        <f>IF(_epmOfflineCondition_,"",_xll.EVPRO($B$1,$H41,"STYLE"))</f>
        <v/>
      </c>
      <c r="J41" s="122" t="str">
        <f>IF(_epmOfflineCondition_,"",_xll.EVPRO($B$1,$H41,"CALC"))</f>
        <v/>
      </c>
      <c r="K41" s="179" t="str">
        <f>IF(AND(I41&gt;="T3"),"&gt;","")</f>
        <v/>
      </c>
      <c r="L41" s="90" t="str">
        <f>IF(_epmOfflineCondition_,"",_xll.EVPRO($B$1,H41,"JDEID"))</f>
        <v/>
      </c>
      <c r="M41" s="90" t="str">
        <f>IF(_epmOfflineCondition_,"",IF(AND(I41="N",J41="N"),_xll.EVPRO($B$1,H41,"PSFTID"),""))</f>
        <v/>
      </c>
      <c r="N41" s="90" t="str">
        <f>IF(_epmOfflineCondition_,"",IF(_xll.EVDES(H41,$B$1)="#NODATA","",_xll.EVDES(H41,$B$1)))</f>
        <v/>
      </c>
      <c r="O41" s="217"/>
      <c r="P41" s="217"/>
      <c r="Q41" s="217"/>
      <c r="R41" s="217"/>
      <c r="S41" s="217"/>
      <c r="T41" s="217"/>
      <c r="U41" s="217"/>
      <c r="V41" s="217"/>
      <c r="W41" s="217"/>
      <c r="X41" s="217"/>
      <c r="Y41" s="217"/>
      <c r="Z41" s="217"/>
      <c r="AA41" s="217">
        <f>IF($I41="B1","",SUM(O41:Z41))</f>
        <v>0</v>
      </c>
      <c r="AB41" s="219" t="str">
        <f>IF(AA41=0,"",IFERROR(AA41/AA$19,""))</f>
        <v/>
      </c>
      <c r="AC41" s="140"/>
      <c r="AD41" s="217"/>
      <c r="AE41" s="219" t="str">
        <f>IF(AD41=0,"",IFERROR(AD41/AD$19,""))</f>
        <v/>
      </c>
      <c r="AF41" s="220">
        <f>IF(AND($AA41="",AD41=""),"",$AA41-AD41)</f>
        <v>0</v>
      </c>
      <c r="AG41" s="217"/>
      <c r="AH41" s="219" t="str">
        <f>IF(AG41=0,"",IFERROR(AG41/AG$19,""))</f>
        <v/>
      </c>
      <c r="AI41" s="220">
        <f>IF(AND($AA41="",AG41=""),"",$AA41-AG41)</f>
        <v>0</v>
      </c>
      <c r="AJ41" s="449">
        <f>IFERROR(AA41/AA$20,0)</f>
        <v>0</v>
      </c>
      <c r="AK41" s="450">
        <f>IFERROR(AD41/AD$20,0)</f>
        <v>0</v>
      </c>
      <c r="AL41" s="451">
        <f>IFERROR(AG41/AG$20,0)</f>
        <v>0</v>
      </c>
      <c r="AM41" s="452">
        <f>+IFERROR(ROUND(($AB41-AE41)*100,2)&amp;" pts.",0)</f>
        <v>0</v>
      </c>
      <c r="AN41" s="453">
        <f>+IFERROR(ROUND(($AB41-AH41)*100,2)&amp;" pts.",0)</f>
        <v>0</v>
      </c>
      <c r="AO41" s="11"/>
    </row>
    <row r="42" spans="1:41" x14ac:dyDescent="0.35">
      <c r="A42" s="11" t="s">
        <v>110</v>
      </c>
      <c r="B42" s="11"/>
      <c r="C42" s="109" t="s">
        <v>101</v>
      </c>
      <c r="D42" s="11" t="s">
        <v>107</v>
      </c>
      <c r="E42" s="11"/>
      <c r="F42" s="11" t="s">
        <v>99</v>
      </c>
      <c r="G42" s="11"/>
      <c r="H42" s="106"/>
      <c r="I42" s="106"/>
      <c r="J42" s="106"/>
      <c r="K42" s="106"/>
      <c r="L42" s="106"/>
      <c r="M42" s="106"/>
      <c r="N42" s="106"/>
      <c r="O42" s="129"/>
      <c r="P42" s="130"/>
      <c r="Q42" s="130"/>
      <c r="R42" s="130"/>
      <c r="S42" s="130"/>
      <c r="T42" s="130"/>
      <c r="U42" s="130"/>
      <c r="V42" s="130"/>
      <c r="W42" s="130"/>
      <c r="X42" s="130"/>
      <c r="Y42" s="130"/>
      <c r="Z42" s="130"/>
      <c r="AA42" s="130"/>
      <c r="AB42" s="131"/>
      <c r="AC42" s="11"/>
      <c r="AD42" s="129"/>
      <c r="AE42" s="130"/>
      <c r="AF42" s="131"/>
      <c r="AG42" s="129"/>
      <c r="AH42" s="130"/>
      <c r="AI42" s="131"/>
      <c r="AJ42" s="11"/>
      <c r="AK42" s="11"/>
      <c r="AL42" s="11"/>
      <c r="AM42" s="11"/>
      <c r="AN42" s="11"/>
      <c r="AO42" s="11"/>
    </row>
    <row r="43" spans="1:41" x14ac:dyDescent="0.35">
      <c r="A43" s="11"/>
      <c r="B43" s="11"/>
      <c r="C43" s="208"/>
      <c r="D43" s="11"/>
      <c r="E43" s="11"/>
      <c r="F43" s="11"/>
      <c r="G43" s="11"/>
      <c r="H43" s="11" t="s">
        <v>82</v>
      </c>
      <c r="I43" s="59" t="str">
        <f>IF(_epmOfflineCondition_,"B1",_xll.EVPRO($B$1,$H43,"STYLE"))</f>
        <v>B1</v>
      </c>
      <c r="J43" s="59" t="str">
        <f>IF(_epmOfflineCondition_,"Y",_xll.EVPRO($B$1,$H43,"CALC"))</f>
        <v>Y</v>
      </c>
      <c r="K43" s="11"/>
      <c r="L43" s="11"/>
      <c r="M43" s="11"/>
      <c r="N43" s="105" t="str">
        <f>IF(_epmOfflineCondition_,"Other Expenses",IF(_xll.EVDES(H43,$B$1)="#NODATA","",_xll.EVDES(H43,$B$1)))</f>
        <v>Other Expenses</v>
      </c>
      <c r="O43" s="119"/>
      <c r="P43" s="120"/>
      <c r="Q43" s="120"/>
      <c r="R43" s="120"/>
      <c r="S43" s="120"/>
      <c r="T43" s="120"/>
      <c r="U43" s="120"/>
      <c r="V43" s="120"/>
      <c r="W43" s="120"/>
      <c r="X43" s="120"/>
      <c r="Y43" s="120"/>
      <c r="Z43" s="120"/>
      <c r="AA43" s="120"/>
      <c r="AB43" s="121"/>
      <c r="AC43" s="11"/>
      <c r="AD43" s="119"/>
      <c r="AE43" s="120"/>
      <c r="AF43" s="121"/>
      <c r="AG43" s="119"/>
      <c r="AH43" s="120"/>
      <c r="AI43" s="121"/>
      <c r="AJ43" s="11"/>
      <c r="AK43" s="11"/>
      <c r="AL43" s="11"/>
      <c r="AM43" s="11"/>
      <c r="AN43" s="11"/>
      <c r="AO43" s="11"/>
    </row>
    <row r="44" spans="1:41" hidden="1" x14ac:dyDescent="0.35">
      <c r="A44" s="11"/>
      <c r="B44" s="11"/>
      <c r="C44" s="208"/>
      <c r="D44" s="11"/>
      <c r="E44" s="11"/>
      <c r="F44" s="11"/>
      <c r="G44" s="11"/>
      <c r="H44" s="88" t="s">
        <v>667</v>
      </c>
      <c r="I44" s="122" t="str">
        <f>IF(_epmOfflineCondition_,"",_xll.EVPRO($B$1,$H44,"STYLE"))</f>
        <v/>
      </c>
      <c r="J44" s="122" t="str">
        <f>IF(_epmOfflineCondition_,"",_xll.EVPRO($B$1,$H44,"CALC"))</f>
        <v/>
      </c>
      <c r="K44" s="179" t="str">
        <f>IF(AND(I44&gt;="T3"),"&gt;","")</f>
        <v/>
      </c>
      <c r="L44" s="90" t="str">
        <f>IF(_epmOfflineCondition_,"",_xll.EVPRO($B$1,H44,"JDEID"))</f>
        <v/>
      </c>
      <c r="M44" s="90" t="str">
        <f>IF(_epmOfflineCondition_,"",IF(AND(I44="N",J44="N"),_xll.EVPRO($B$1,H44,"PSFTID"),""))</f>
        <v/>
      </c>
      <c r="N44" s="90" t="str">
        <f>IF(_epmOfflineCondition_,"",IF(_xll.EVDES(H44,$B$1)="#NODATA","",_xll.EVDES(H44,$B$1)))</f>
        <v/>
      </c>
      <c r="O44" s="143"/>
      <c r="P44" s="143"/>
      <c r="Q44" s="143"/>
      <c r="R44" s="143"/>
      <c r="S44" s="143"/>
      <c r="T44" s="143"/>
      <c r="U44" s="143"/>
      <c r="V44" s="143"/>
      <c r="W44" s="143"/>
      <c r="X44" s="143"/>
      <c r="Y44" s="143"/>
      <c r="Z44" s="143"/>
      <c r="AA44" s="143">
        <f>IF($I44="B1","",SUM(O44:Z44))</f>
        <v>0</v>
      </c>
      <c r="AB44" s="144" t="str">
        <f>IF(AA44=0,"",IFERROR(AA44/AA$19,""))</f>
        <v/>
      </c>
      <c r="AC44" s="140"/>
      <c r="AD44" s="143"/>
      <c r="AE44" s="144" t="str">
        <f>IF(AD44=0,"",IFERROR(AD44/AD$19,""))</f>
        <v/>
      </c>
      <c r="AF44" s="145">
        <f>IF(AND($AA44="",AD44=""),"",$AA44-AD44)</f>
        <v>0</v>
      </c>
      <c r="AG44" s="143"/>
      <c r="AH44" s="144" t="str">
        <f>IF(AG44=0,"",IFERROR(AG44/AG$19,""))</f>
        <v/>
      </c>
      <c r="AI44" s="145">
        <f>IF(AND($AA44="",AG44=""),"",$AA44-AG44)</f>
        <v>0</v>
      </c>
      <c r="AJ44" s="440">
        <f>IFERROR(AA44/AA$20,0)</f>
        <v>0</v>
      </c>
      <c r="AK44" s="441">
        <f>IFERROR(AD44/AD$20,0)</f>
        <v>0</v>
      </c>
      <c r="AL44" s="442">
        <f>IFERROR(AG44/AG$20,0)</f>
        <v>0</v>
      </c>
      <c r="AM44" s="443">
        <f>+IFERROR(ROUND(($AB44-AE44)*100,2)&amp;" pts.",0)</f>
        <v>0</v>
      </c>
      <c r="AN44" s="444">
        <f>+IFERROR(ROUND(($AB44-AH44)*100,2)&amp;" pts.",0)</f>
        <v>0</v>
      </c>
      <c r="AO44" s="11"/>
    </row>
    <row r="45" spans="1:41" hidden="1" x14ac:dyDescent="0.35">
      <c r="A45" s="61" t="str">
        <f>IF(_epmOfflineCondition_,"Evdre:Ok",_xll.EVDRE($B$1,A48:B55,A58:B64))</f>
        <v>Evdre:Ok</v>
      </c>
      <c r="B45" s="11"/>
      <c r="C45" s="208"/>
      <c r="D45" s="11"/>
      <c r="E45" s="11"/>
      <c r="F45" s="11"/>
      <c r="G45" s="11"/>
      <c r="H45" s="88"/>
      <c r="I45" s="122" t="str">
        <f>IF(_epmOfflineCondition_,"",_xll.EVPRO($B$1,$H45,"STYLE"))</f>
        <v/>
      </c>
      <c r="J45" s="122" t="str">
        <f>IF(_epmOfflineCondition_,"",_xll.EVPRO($B$1,$H45,"CALC"))</f>
        <v/>
      </c>
      <c r="K45" s="179" t="str">
        <f>IF(AND(I45&gt;="T3"),"&gt;","")</f>
        <v/>
      </c>
      <c r="L45" s="90" t="str">
        <f>IF(_epmOfflineCondition_,"",_xll.EVPRO($B$1,H45,"JDEID"))</f>
        <v/>
      </c>
      <c r="M45" s="90" t="str">
        <f>IF(_epmOfflineCondition_,"",IF(AND(I45="N",J45="N"),_xll.EVPRO($B$1,H45,"PSFTID"),""))</f>
        <v/>
      </c>
      <c r="N45" s="90" t="str">
        <f>IF(_epmOfflineCondition_,"",IF(_xll.EVDES(H45,$B$1)="#NODATA","",_xll.EVDES(H45,$B$1)))</f>
        <v/>
      </c>
      <c r="O45" s="143"/>
      <c r="P45" s="143"/>
      <c r="Q45" s="143"/>
      <c r="R45" s="143"/>
      <c r="S45" s="143"/>
      <c r="T45" s="143"/>
      <c r="U45" s="143"/>
      <c r="V45" s="143"/>
      <c r="W45" s="143"/>
      <c r="X45" s="143"/>
      <c r="Y45" s="143"/>
      <c r="Z45" s="143"/>
      <c r="AA45" s="143">
        <f>IF($I45="B1","",SUM(O45:Z45))</f>
        <v>0</v>
      </c>
      <c r="AB45" s="144" t="str">
        <f>IF(AA45=0,"",IFERROR(AA45/AA$19,""))</f>
        <v/>
      </c>
      <c r="AC45" s="140"/>
      <c r="AD45" s="143"/>
      <c r="AE45" s="144" t="str">
        <f>IF(AD45=0,"",IFERROR(AD45/AD$19,""))</f>
        <v/>
      </c>
      <c r="AF45" s="145">
        <f>IF(AND($AA45="",AD45=""),"",$AA45-AD45)</f>
        <v>0</v>
      </c>
      <c r="AG45" s="143"/>
      <c r="AH45" s="144" t="str">
        <f>IF(AG45=0,"",IFERROR(AG45/AG$19,""))</f>
        <v/>
      </c>
      <c r="AI45" s="145">
        <f>IF(AND($AA45="",AG45=""),"",$AA45-AG45)</f>
        <v>0</v>
      </c>
      <c r="AJ45" s="440">
        <f>IFERROR(AA45/AA$20,0)</f>
        <v>0</v>
      </c>
      <c r="AK45" s="441">
        <f>IFERROR(AD45/AD$20,0)</f>
        <v>0</v>
      </c>
      <c r="AL45" s="442">
        <f>IFERROR(AG45/AG$20,0)</f>
        <v>0</v>
      </c>
      <c r="AM45" s="443">
        <f>+IFERROR(ROUND(($AB45-AE45)*100,2)&amp;" pts.",0)</f>
        <v>0</v>
      </c>
      <c r="AN45" s="444">
        <f>+IFERROR(ROUND(($AB45-AH45)*100,2)&amp;" pts.",0)</f>
        <v>0</v>
      </c>
      <c r="AO45" s="11"/>
    </row>
    <row r="46" spans="1:41" x14ac:dyDescent="0.35">
      <c r="A46" s="11"/>
      <c r="B46" s="11"/>
      <c r="C46" s="208"/>
      <c r="D46" s="11"/>
      <c r="E46" s="11"/>
      <c r="F46" s="11"/>
      <c r="G46" s="11"/>
      <c r="H46" s="88" t="s">
        <v>79</v>
      </c>
      <c r="I46" s="136" t="str">
        <f>IF(_epmOfflineCondition_,"T3",_xll.EVPRO($B$1,$H46,"STYLE"))</f>
        <v>T3</v>
      </c>
      <c r="J46" s="136" t="str">
        <f>IF(_epmOfflineCondition_,"Y",_xll.EVPRO($B$1,$H46,"CALC"))</f>
        <v>Y</v>
      </c>
      <c r="K46" s="104"/>
      <c r="L46" s="59"/>
      <c r="M46" s="59"/>
      <c r="N46" s="106" t="str">
        <f>IF(_epmOfflineCondition_,"Total Operations Expense",IF(_xll.EVDES(H46,$B$1)="#NODATA","",_xll.EVDES(H46,$B$1)))</f>
        <v>Total Operations Expense</v>
      </c>
      <c r="O46" s="112">
        <f t="shared" ref="O46:Z46" si="0">SUM(O44:O45)</f>
        <v>0</v>
      </c>
      <c r="P46" s="112">
        <f t="shared" si="0"/>
        <v>0</v>
      </c>
      <c r="Q46" s="112">
        <f t="shared" si="0"/>
        <v>0</v>
      </c>
      <c r="R46" s="112">
        <f t="shared" si="0"/>
        <v>0</v>
      </c>
      <c r="S46" s="112">
        <f t="shared" si="0"/>
        <v>0</v>
      </c>
      <c r="T46" s="112">
        <f t="shared" si="0"/>
        <v>0</v>
      </c>
      <c r="U46" s="112">
        <f t="shared" si="0"/>
        <v>0</v>
      </c>
      <c r="V46" s="112">
        <f t="shared" si="0"/>
        <v>0</v>
      </c>
      <c r="W46" s="112">
        <f t="shared" si="0"/>
        <v>0</v>
      </c>
      <c r="X46" s="112">
        <f t="shared" si="0"/>
        <v>0</v>
      </c>
      <c r="Y46" s="112">
        <f t="shared" si="0"/>
        <v>0</v>
      </c>
      <c r="Z46" s="112">
        <f t="shared" si="0"/>
        <v>0</v>
      </c>
      <c r="AA46" s="112">
        <f>IF($I46="B1","",SUM(O46:Z46))</f>
        <v>0</v>
      </c>
      <c r="AB46" s="113" t="str">
        <f>IF(AA46=0,"",IFERROR(AA46/AA$19,""))</f>
        <v/>
      </c>
      <c r="AC46" s="11"/>
      <c r="AD46" s="112">
        <f>SUM(AD44:AD45)</f>
        <v>0</v>
      </c>
      <c r="AE46" s="113" t="str">
        <f>IF(AD46=0,"",IFERROR(AD46/AD$19,""))</f>
        <v/>
      </c>
      <c r="AF46" s="114">
        <f>IF(AND($AA46="",AD46=""),"",$AA46-AD46)</f>
        <v>0</v>
      </c>
      <c r="AG46" s="112">
        <f>SUM(AG44:AG45)</f>
        <v>0</v>
      </c>
      <c r="AH46" s="113" t="str">
        <f>IF(AG46=0,"",IFERROR(AG46/AG$19,""))</f>
        <v/>
      </c>
      <c r="AI46" s="114">
        <f>IF(AND($AA46="",AG46=""),"",$AA46-AG46)</f>
        <v>0</v>
      </c>
      <c r="AJ46" s="415">
        <f>IFERROR(AA46/AA$20,0)</f>
        <v>0</v>
      </c>
      <c r="AK46" s="416">
        <f>IFERROR(AD46/AD$20,0)</f>
        <v>0</v>
      </c>
      <c r="AL46" s="417">
        <f>IFERROR(AG46/AG$20,0)</f>
        <v>0</v>
      </c>
      <c r="AM46" s="418">
        <f>+IFERROR(ROUND(($AB46-AE46)*100,2)&amp;" pts.",0)</f>
        <v>0</v>
      </c>
      <c r="AN46" s="543">
        <f>+IFERROR(ROUND(($AB46-AH46)*100,2)&amp;" pts.",0)</f>
        <v>0</v>
      </c>
      <c r="AO46" s="11"/>
    </row>
    <row r="47" spans="1:41" x14ac:dyDescent="0.35">
      <c r="A47" s="62" t="s">
        <v>0</v>
      </c>
      <c r="B47" s="63" t="s">
        <v>1</v>
      </c>
      <c r="C47" s="208"/>
      <c r="D47" s="11"/>
      <c r="E47" s="11"/>
      <c r="F47" s="11"/>
      <c r="G47" s="11"/>
      <c r="H47" s="11"/>
      <c r="I47" s="59"/>
      <c r="J47" s="59"/>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35">
      <c r="A48" s="65" t="s">
        <v>2</v>
      </c>
      <c r="B48" s="66" t="str">
        <f>IF(_epmOfflineCondition_,"'Dining'!$B$2:$B$10",_xll.EVRNG($B$2:$B$10))</f>
        <v>'Dining'!$B$2:$B$10</v>
      </c>
      <c r="C48" s="208"/>
      <c r="D48" s="11"/>
      <c r="E48" s="11"/>
      <c r="F48" s="11"/>
      <c r="G48" s="11"/>
      <c r="H48" s="88" t="s">
        <v>80</v>
      </c>
      <c r="I48" s="136" t="str">
        <f>IF(_epmOfflineCondition_,"T3",_xll.EVPRO($B$1,$H48,"STYLE"))</f>
        <v>T3</v>
      </c>
      <c r="J48" s="136" t="str">
        <f>IF(_epmOfflineCondition_,"Y",_xll.EVPRO($B$1,$H48,"CALC"))</f>
        <v>Y</v>
      </c>
      <c r="K48" s="106"/>
      <c r="L48" s="59"/>
      <c r="M48" s="59"/>
      <c r="N48" s="106" t="str">
        <f>IF(_epmOfflineCondition_,"Total Expenses",IF(_xll.EVDES(H48,$B$1)="#NODATA","",_xll.EVDES(H48,$B$1)))</f>
        <v>Total Expenses</v>
      </c>
      <c r="O48" s="123">
        <f t="shared" ref="O48:Z48" si="1">SUMIF($H$34:$H$47,"561100",O$34:O$47)+SUMIF($H$34:$H$47,"600000",O$34:O$47)+SUMIF($H$34:$H$47,"700000",O$34:O$47)</f>
        <v>0</v>
      </c>
      <c r="P48" s="123">
        <f t="shared" si="1"/>
        <v>0</v>
      </c>
      <c r="Q48" s="123">
        <f t="shared" si="1"/>
        <v>0</v>
      </c>
      <c r="R48" s="123">
        <f t="shared" si="1"/>
        <v>0</v>
      </c>
      <c r="S48" s="123">
        <f t="shared" si="1"/>
        <v>0</v>
      </c>
      <c r="T48" s="123">
        <f t="shared" si="1"/>
        <v>0</v>
      </c>
      <c r="U48" s="123">
        <f t="shared" si="1"/>
        <v>0</v>
      </c>
      <c r="V48" s="123">
        <f t="shared" si="1"/>
        <v>0</v>
      </c>
      <c r="W48" s="123">
        <f t="shared" si="1"/>
        <v>0</v>
      </c>
      <c r="X48" s="123">
        <f t="shared" si="1"/>
        <v>0</v>
      </c>
      <c r="Y48" s="123">
        <f t="shared" si="1"/>
        <v>0</v>
      </c>
      <c r="Z48" s="123">
        <f t="shared" si="1"/>
        <v>0</v>
      </c>
      <c r="AA48" s="123">
        <f>IF($I48="B1","",SUM(O48:Z48))</f>
        <v>0</v>
      </c>
      <c r="AB48" s="124" t="str">
        <f>IF(AA48=0,"",IFERROR(AA48/AA$19,""))</f>
        <v/>
      </c>
      <c r="AC48" s="11"/>
      <c r="AD48" s="123">
        <f>SUMIF($H$34:$H$47,"561100",AD$34:AD$47)+SUMIF($H$34:$H$47,"600000",AD$34:AD$47)+SUMIF($H$34:$H$47,"700000",AD$34:AD$47)</f>
        <v>0</v>
      </c>
      <c r="AE48" s="124" t="str">
        <f>IF(AD48=0,"",IFERROR(AD48/AD$19,""))</f>
        <v/>
      </c>
      <c r="AF48" s="125">
        <f>IF(AND($AA48="",AD48=""),"",$AA48-AD48)</f>
        <v>0</v>
      </c>
      <c r="AG48" s="123">
        <f>SUMIF($H$34:$H$47,"561100",AG$34:AG$47)+SUMIF($H$34:$H$47,"600000",AG$34:AG$47)+SUMIF($H$34:$H$47,"700000",AG$34:AG$47)</f>
        <v>0</v>
      </c>
      <c r="AH48" s="124" t="str">
        <f>IF(AG48=0,"",IFERROR(AG48/AG$19,""))</f>
        <v/>
      </c>
      <c r="AI48" s="125">
        <f>IF(AND($AA48="",AG48=""),"",$AA48-AG48)</f>
        <v>0</v>
      </c>
      <c r="AJ48" s="388">
        <f>IFERROR(AA48/AA$20,0)</f>
        <v>0</v>
      </c>
      <c r="AK48" s="389">
        <f>IFERROR(AD48/AD$20,0)</f>
        <v>0</v>
      </c>
      <c r="AL48" s="390">
        <f>IFERROR(AG48/AG$20,0)</f>
        <v>0</v>
      </c>
      <c r="AM48" s="391">
        <f>+IFERROR(ROUND(($AB48-AE48)*100,2)&amp;" pts.",0)</f>
        <v>0</v>
      </c>
      <c r="AN48" s="544">
        <f>+IFERROR(ROUND(($AB48-AH48)*100,2)&amp;" pts.",0)</f>
        <v>0</v>
      </c>
      <c r="AO48" s="11"/>
    </row>
    <row r="49" spans="1:41" x14ac:dyDescent="0.35">
      <c r="A49" s="65" t="s">
        <v>3</v>
      </c>
      <c r="B49" s="66" t="str">
        <f>IF(_epmOfflineCondition_,"'Dining'!$O$16:$AN$18",_xll.EVRNG($O$16:$AN$18))</f>
        <v>'Dining'!$O$16:$AN$18</v>
      </c>
      <c r="C49" s="208"/>
      <c r="D49" s="11"/>
      <c r="E49" s="11"/>
      <c r="F49" s="11"/>
      <c r="G49" s="11"/>
      <c r="H49" s="11"/>
      <c r="I49" s="59"/>
      <c r="J49" s="59"/>
      <c r="K49" s="11"/>
      <c r="L49" s="59"/>
      <c r="M49" s="59"/>
      <c r="N49" s="106"/>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35">
      <c r="A50" s="65" t="s">
        <v>4</v>
      </c>
      <c r="B50" s="66" t="str">
        <f>IF(_epmOfflineCondition_,"'Dining'!$H$55:$H$56",_xll.EVRNG(H55:H56))</f>
        <v>'Dining'!$H$55:$H$56</v>
      </c>
      <c r="C50" s="208"/>
      <c r="D50" s="11"/>
      <c r="E50" s="11"/>
      <c r="F50" s="11"/>
      <c r="G50" s="11"/>
      <c r="H50" s="88" t="s">
        <v>280</v>
      </c>
      <c r="I50" s="122" t="str">
        <f>IF(_epmOfflineCondition_,"T3",_xll.EVPRO($B$1,$H50,"STYLE"))</f>
        <v>T3</v>
      </c>
      <c r="J50" s="122" t="str">
        <f>IF(_epmOfflineCondition_,"Y",_xll.EVPRO($B$1,$H50,"CALC"))</f>
        <v>Y</v>
      </c>
      <c r="K50" s="179" t="str">
        <f>IF(AND(I50&gt;="T3"),"&gt;","")</f>
        <v>&gt;</v>
      </c>
      <c r="L50" s="90" t="str">
        <f>IF(_epmOfflineCondition_,"400000",_xll.EVPRO($B$1,H50,"JDEID"))</f>
        <v>400000</v>
      </c>
      <c r="M50" s="90" t="str">
        <f>IF(_epmOfflineCondition_,"",IF(AND(I50="N",J50="N"),_xll.EVPRO($B$1,H50,"PSFTID"),""))</f>
        <v/>
      </c>
      <c r="N50" s="190" t="str">
        <f>IF(_epmOfflineCondition_,"Total Revenue",IF(_xll.EVDES(H50,$B$1)="#NODATA","",_xll.EVDES(H50,$B$1)))</f>
        <v>Total Revenue</v>
      </c>
      <c r="O50" s="123">
        <f>IF(_epmOfflineCondition_,0,_xll.EVGTS($B$1,1,$B$3,$B$5,$B$7,$B$9,O$16,O$17,O$18,$B$6,$H$50))</f>
        <v>0</v>
      </c>
      <c r="P50" s="123">
        <f>IF(_epmOfflineCondition_,0,_xll.EVGTS($B$1,1,$B$3,$B$5,$B$7,$B$9,P$16,P$17,P$18,$B$6,$H$50))</f>
        <v>0</v>
      </c>
      <c r="Q50" s="123">
        <f>IF(_epmOfflineCondition_,0,_xll.EVGTS($B$1,1,$B$3,$B$5,$B$7,$B$9,Q$16,Q$17,Q$18,$B$6,$H$50))</f>
        <v>0</v>
      </c>
      <c r="R50" s="123">
        <f>IF(_epmOfflineCondition_,0,_xll.EVGTS($B$1,1,$B$3,$B$5,$B$7,$B$9,R$16,R$17,R$18,$B$6,$H$50))</f>
        <v>0</v>
      </c>
      <c r="S50" s="123">
        <f>IF(_epmOfflineCondition_,0,_xll.EVGTS($B$1,1,$B$3,$B$5,$B$7,$B$9,S$16,S$17,S$18,$B$6,$H$50))</f>
        <v>0</v>
      </c>
      <c r="T50" s="123">
        <f>IF(_epmOfflineCondition_,0,_xll.EVGTS($B$1,1,$B$3,$B$5,$B$7,$B$9,T$16,T$17,T$18,$B$6,$H$50))</f>
        <v>0</v>
      </c>
      <c r="U50" s="123">
        <f>IF(_epmOfflineCondition_,0,_xll.EVGTS($B$1,1,$B$3,$B$5,$B$7,$B$9,U$16,U$17,U$18,$B$6,$H$50))</f>
        <v>0</v>
      </c>
      <c r="V50" s="123">
        <f>IF(_epmOfflineCondition_,0,_xll.EVGTS($B$1,1,$B$3,$B$5,$B$7,$B$9,V$16,V$17,V$18,$B$6,$H$50))</f>
        <v>0</v>
      </c>
      <c r="W50" s="123">
        <f>IF(_epmOfflineCondition_,0,_xll.EVGTS($B$1,1,$B$3,$B$5,$B$7,$B$9,W$16,W$17,W$18,$B$6,$H$50))</f>
        <v>0</v>
      </c>
      <c r="X50" s="123">
        <f>IF(_epmOfflineCondition_,0,_xll.EVGTS($B$1,1,$B$3,$B$5,$B$7,$B$9,X$16,X$17,X$18,$B$6,$H$50))</f>
        <v>0</v>
      </c>
      <c r="Y50" s="123">
        <f>IF(_epmOfflineCondition_,0,_xll.EVGTS($B$1,1,$B$3,$B$5,$B$7,$B$9,Y$16,Y$17,Y$18,$B$6,$H$50))</f>
        <v>0</v>
      </c>
      <c r="Z50" s="123">
        <f>IF(_epmOfflineCondition_,0,_xll.EVGTS($B$1,1,$B$3,$B$5,$B$7,$B$9,Z$16,Z$17,Z$18,$B$6,$H$50))</f>
        <v>0</v>
      </c>
      <c r="AA50" s="123">
        <f>IF($I50="B1","",SUM(O50:Z50))</f>
        <v>0</v>
      </c>
      <c r="AB50" s="124" t="str">
        <f>IF(AA50=0,"",IFERROR(AA50/AA$19,""))</f>
        <v/>
      </c>
      <c r="AC50" s="11"/>
      <c r="AD50" s="123">
        <f>IF(_epmOfflineCondition_,0,_xll.EVGTS($B$1,1,$B$3,$B$5,$B$7,$B$9,AD$16,AD$17,AD$18,$B$6,$H$50))</f>
        <v>0</v>
      </c>
      <c r="AE50" s="124" t="str">
        <f>IF(AD50=0,"",IFERROR(AD50/AD$19,""))</f>
        <v/>
      </c>
      <c r="AF50" s="125">
        <f>IF(AND($AA50="",AD50=""),"",$AA50-AD50)</f>
        <v>0</v>
      </c>
      <c r="AG50" s="123">
        <f>IF(_epmOfflineCondition_,0,_xll.EVGTS($B$1,1,$B$3,$B$5,$B$7,$B$9,AG$16,AG$17,AG$18,$B$6,$H$50))</f>
        <v>0</v>
      </c>
      <c r="AH50" s="124" t="str">
        <f>IF(AG50=0,"",IFERROR(AG50/AG$19,""))</f>
        <v/>
      </c>
      <c r="AI50" s="125">
        <f>IF(AND($AA50="",AG50=""),"",$AA50-AG50)</f>
        <v>0</v>
      </c>
      <c r="AJ50" s="388">
        <f>IFERROR(AA50/AA$20,0)</f>
        <v>0</v>
      </c>
      <c r="AK50" s="389">
        <f>IFERROR(AD50/AD$20,0)</f>
        <v>0</v>
      </c>
      <c r="AL50" s="390">
        <f>IFERROR(AG50/AG$20,0)</f>
        <v>0</v>
      </c>
      <c r="AM50" s="391">
        <f>+IFERROR(ROUND(($AB50-AE50)*100,2)&amp;" pts.",0)</f>
        <v>0</v>
      </c>
      <c r="AN50" s="544">
        <f>+IFERROR(ROUND(($AB50-AH50)*100,2)&amp;" pts.",0)</f>
        <v>0</v>
      </c>
      <c r="AO50" s="11"/>
    </row>
    <row r="51" spans="1:41" x14ac:dyDescent="0.35">
      <c r="A51" s="65" t="s">
        <v>5</v>
      </c>
      <c r="B51" s="66"/>
      <c r="C51" s="208"/>
      <c r="D51" s="11"/>
      <c r="E51" s="11"/>
      <c r="F51" s="11"/>
      <c r="G51" s="11"/>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8"/>
      <c r="AI51" s="368"/>
      <c r="AJ51" s="11"/>
      <c r="AK51" s="11"/>
      <c r="AL51" s="11"/>
      <c r="AM51" s="11"/>
      <c r="AN51" s="11"/>
      <c r="AO51" s="11"/>
    </row>
    <row r="52" spans="1:41" ht="15" thickBot="1" x14ac:dyDescent="0.4">
      <c r="A52" s="65" t="s">
        <v>6</v>
      </c>
      <c r="B52" s="66"/>
      <c r="C52" s="208"/>
      <c r="D52" s="11"/>
      <c r="E52" s="11"/>
      <c r="F52" s="11"/>
      <c r="G52" s="11"/>
      <c r="H52" s="11"/>
      <c r="I52" s="59"/>
      <c r="J52" s="59"/>
      <c r="K52" s="11"/>
      <c r="L52" s="59"/>
      <c r="M52" s="59"/>
      <c r="N52" s="106" t="s">
        <v>665</v>
      </c>
      <c r="O52" s="126">
        <f t="shared" ref="O52:Z52" si="2">O48-O50</f>
        <v>0</v>
      </c>
      <c r="P52" s="126">
        <f t="shared" si="2"/>
        <v>0</v>
      </c>
      <c r="Q52" s="126">
        <f t="shared" si="2"/>
        <v>0</v>
      </c>
      <c r="R52" s="126">
        <f t="shared" si="2"/>
        <v>0</v>
      </c>
      <c r="S52" s="126">
        <f t="shared" si="2"/>
        <v>0</v>
      </c>
      <c r="T52" s="126">
        <f t="shared" si="2"/>
        <v>0</v>
      </c>
      <c r="U52" s="126">
        <f t="shared" si="2"/>
        <v>0</v>
      </c>
      <c r="V52" s="126">
        <f t="shared" si="2"/>
        <v>0</v>
      </c>
      <c r="W52" s="126">
        <f t="shared" si="2"/>
        <v>0</v>
      </c>
      <c r="X52" s="126">
        <f t="shared" si="2"/>
        <v>0</v>
      </c>
      <c r="Y52" s="126">
        <f t="shared" si="2"/>
        <v>0</v>
      </c>
      <c r="Z52" s="126">
        <f t="shared" si="2"/>
        <v>0</v>
      </c>
      <c r="AA52" s="126">
        <f>IF($I52="B1","",SUM(O52:Z52))</f>
        <v>0</v>
      </c>
      <c r="AB52" s="127" t="str">
        <f>IF(AA52=0,"",IFERROR(AA52/AA$19,""))</f>
        <v/>
      </c>
      <c r="AC52" s="11"/>
      <c r="AD52" s="126">
        <f>AD48-AD50</f>
        <v>0</v>
      </c>
      <c r="AE52" s="127" t="str">
        <f>IF(AD52=0,"",IFERROR(AD52/AD$19,""))</f>
        <v/>
      </c>
      <c r="AF52" s="128">
        <f>IF(AND($AA52="",AD52=""),"",$AA52-AD52)</f>
        <v>0</v>
      </c>
      <c r="AG52" s="126">
        <f>AG48-AG50</f>
        <v>0</v>
      </c>
      <c r="AH52" s="127" t="str">
        <f>IF(AG52=0,"",IFERROR(AG52/AG$19,""))</f>
        <v/>
      </c>
      <c r="AI52" s="128">
        <f>IF(AND($AA52="",AG52=""),"",$AA52-AG52)</f>
        <v>0</v>
      </c>
      <c r="AJ52" s="419">
        <f>IFERROR(AA52/AA$20,0)</f>
        <v>0</v>
      </c>
      <c r="AK52" s="420">
        <f>IFERROR(AD52/AD$20,0)</f>
        <v>0</v>
      </c>
      <c r="AL52" s="421">
        <f>IFERROR(AG52/AG$20,0)</f>
        <v>0</v>
      </c>
      <c r="AM52" s="422">
        <f>+IFERROR(ROUND(($AB52-AE52)*100,2)&amp;" pts.",0)</f>
        <v>0</v>
      </c>
      <c r="AN52" s="545">
        <f>+IFERROR(ROUND(($AB52-AH52)*100,2)&amp;" pts.",0)</f>
        <v>0</v>
      </c>
      <c r="AO52" s="11"/>
    </row>
    <row r="53" spans="1:41" ht="15" thickTop="1" x14ac:dyDescent="0.35">
      <c r="A53" s="65" t="s">
        <v>7</v>
      </c>
      <c r="B53" s="66"/>
      <c r="C53" s="208"/>
      <c r="D53" s="11"/>
      <c r="E53" s="11"/>
      <c r="F53" s="11"/>
      <c r="G53" s="11"/>
      <c r="H53" s="11"/>
      <c r="I53" s="59"/>
      <c r="J53" s="59"/>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47</v>
      </c>
      <c r="B54" s="66" t="str">
        <f>IF(_epmOfflineCondition_,"'Dining'!$A$68:$B$89",_xll.EVRNG($A$68:$B$89))</f>
        <v>'Dining'!$A$68:$B$89</v>
      </c>
      <c r="C54" s="208"/>
      <c r="D54" s="11"/>
      <c r="E54" s="11"/>
      <c r="F54" s="11"/>
      <c r="G54" s="11"/>
      <c r="H54" s="11"/>
      <c r="I54" s="59"/>
      <c r="J54" s="59"/>
      <c r="K54" s="11"/>
      <c r="L54" s="59"/>
      <c r="M54" s="59"/>
      <c r="N54" s="105" t="s">
        <v>595</v>
      </c>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hidden="1" x14ac:dyDescent="0.35">
      <c r="A55" s="65" t="s">
        <v>8</v>
      </c>
      <c r="B55" s="66"/>
      <c r="C55" s="208"/>
      <c r="D55" s="11"/>
      <c r="E55" s="11"/>
      <c r="F55" s="11"/>
      <c r="G55" s="11"/>
      <c r="H55" s="185" t="s">
        <v>667</v>
      </c>
      <c r="I55" s="122" t="str">
        <f>IF(_epmOfflineCondition_,"",_xll.EVPRO($B$1,$H55,"STYLE"))</f>
        <v/>
      </c>
      <c r="J55" s="122" t="str">
        <f>IF(_epmOfflineCondition_,"",_xll.EVPRO($B$1,$H55,"CALC"))</f>
        <v/>
      </c>
      <c r="K55" s="90"/>
      <c r="L55" s="90"/>
      <c r="M55" s="90"/>
      <c r="N55" s="90" t="str">
        <f>IF(_epmOfflineCondition_,"",IF(_xll.EVDES(H55,$B$1)="#NODATA","",_xll.EVDES(H55,$B$1)))</f>
        <v/>
      </c>
      <c r="O55" s="143"/>
      <c r="P55" s="143"/>
      <c r="Q55" s="143"/>
      <c r="R55" s="143"/>
      <c r="S55" s="143"/>
      <c r="T55" s="143"/>
      <c r="U55" s="143"/>
      <c r="V55" s="143"/>
      <c r="W55" s="143"/>
      <c r="X55" s="143"/>
      <c r="Y55" s="143"/>
      <c r="Z55" s="143"/>
      <c r="AA55" s="143">
        <f>IF($I55="B1","",SUM(O55:Z55))</f>
        <v>0</v>
      </c>
      <c r="AB55" s="144" t="str">
        <f>IF(AA55=0,"",IFERROR(AA55/AA$19,""))</f>
        <v/>
      </c>
      <c r="AC55" s="140"/>
      <c r="AD55" s="143"/>
      <c r="AE55" s="144" t="str">
        <f>IF(AD55=0,"",IFERROR(AD55/AD$19,""))</f>
        <v/>
      </c>
      <c r="AF55" s="145">
        <f>IF(AND($AA55="",AD55=""),"",$AA55-AD55)</f>
        <v>0</v>
      </c>
      <c r="AG55" s="143"/>
      <c r="AH55" s="144" t="str">
        <f>IF(AG55=0,"",IFERROR(AG55/AG$19,""))</f>
        <v/>
      </c>
      <c r="AI55" s="145">
        <f>IF(AND($AA55="",AG55=""),"",$AA55-AG55)</f>
        <v>0</v>
      </c>
      <c r="AJ55" s="440">
        <f>IFERROR(AA55/AA$20,0)</f>
        <v>0</v>
      </c>
      <c r="AK55" s="441">
        <f>IFERROR(AD55/AD$20,0)</f>
        <v>0</v>
      </c>
      <c r="AL55" s="442">
        <f>IFERROR(AG55/AG$20,0)</f>
        <v>0</v>
      </c>
      <c r="AM55" s="443">
        <f>+IFERROR(ROUND(($AB55-AE55)*100,2)&amp;" pts.",0)</f>
        <v>0</v>
      </c>
      <c r="AN55" s="444">
        <f>+IFERROR(ROUND(($AB55-AH55)*100,2)&amp;" pts.",0)</f>
        <v>0</v>
      </c>
      <c r="AO55" s="11"/>
    </row>
    <row r="56" spans="1:41" hidden="1" x14ac:dyDescent="0.35">
      <c r="A56" s="11"/>
      <c r="B56" s="11"/>
      <c r="C56" s="208"/>
      <c r="D56" s="11"/>
      <c r="E56" s="11"/>
      <c r="F56" s="11"/>
      <c r="G56" s="11"/>
      <c r="H56" s="185"/>
      <c r="I56" s="122" t="str">
        <f>IF(_epmOfflineCondition_,"",_xll.EVPRO($B$1,$H56,"STYLE"))</f>
        <v/>
      </c>
      <c r="J56" s="122" t="str">
        <f>IF(_epmOfflineCondition_,"",_xll.EVPRO($B$1,$H56,"CALC"))</f>
        <v/>
      </c>
      <c r="K56" s="90"/>
      <c r="L56" s="90"/>
      <c r="M56" s="90"/>
      <c r="N56" s="90" t="str">
        <f>IF(_epmOfflineCondition_,"",IF(_xll.EVDES(H56,$B$1)="#NODATA","",_xll.EVDES(H56,$B$1)))</f>
        <v/>
      </c>
      <c r="O56" s="143"/>
      <c r="P56" s="143"/>
      <c r="Q56" s="143"/>
      <c r="R56" s="143"/>
      <c r="S56" s="143"/>
      <c r="T56" s="143"/>
      <c r="U56" s="143"/>
      <c r="V56" s="143"/>
      <c r="W56" s="143"/>
      <c r="X56" s="143"/>
      <c r="Y56" s="143"/>
      <c r="Z56" s="143"/>
      <c r="AA56" s="143">
        <f>IF($I56="B1","",SUM(O56:Z56))</f>
        <v>0</v>
      </c>
      <c r="AB56" s="144" t="str">
        <f>IF(AA56=0,"",IFERROR(AA56/AA$19,""))</f>
        <v/>
      </c>
      <c r="AC56" s="140"/>
      <c r="AD56" s="143"/>
      <c r="AE56" s="144" t="str">
        <f>IF(AD56=0,"",IFERROR(AD56/AD$19,""))</f>
        <v/>
      </c>
      <c r="AF56" s="145">
        <f>IF(AND($AA56="",AD56=""),"",$AA56-AD56)</f>
        <v>0</v>
      </c>
      <c r="AG56" s="143"/>
      <c r="AH56" s="144" t="str">
        <f>IF(AG56=0,"",IFERROR(AG56/AG$19,""))</f>
        <v/>
      </c>
      <c r="AI56" s="145">
        <f>IF(AND($AA56="",AG56=""),"",$AA56-AG56)</f>
        <v>0</v>
      </c>
      <c r="AJ56" s="440">
        <f>IFERROR(AA56/AA$20,0)</f>
        <v>0</v>
      </c>
      <c r="AK56" s="441">
        <f>IFERROR(AD56/AD$20,0)</f>
        <v>0</v>
      </c>
      <c r="AL56" s="442">
        <f>IFERROR(AG56/AG$20,0)</f>
        <v>0</v>
      </c>
      <c r="AM56" s="443">
        <f>+IFERROR(ROUND(($AB56-AE56)*100,2)&amp;" pts.",0)</f>
        <v>0</v>
      </c>
      <c r="AN56" s="444">
        <f>+IFERROR(ROUND(($AB56-AH56)*100,2)&amp;" pts.",0)</f>
        <v>0</v>
      </c>
      <c r="AO56" s="11"/>
    </row>
    <row r="57" spans="1:41" x14ac:dyDescent="0.35">
      <c r="A57" s="62" t="s">
        <v>9</v>
      </c>
      <c r="B57" s="63" t="s">
        <v>10</v>
      </c>
      <c r="C57" s="208"/>
      <c r="D57" s="11"/>
      <c r="E57" s="11"/>
      <c r="F57" s="11"/>
      <c r="G57" s="11"/>
      <c r="H57" s="59"/>
      <c r="I57" s="59"/>
      <c r="J57" s="11"/>
      <c r="K57" s="11"/>
      <c r="L57" s="59"/>
      <c r="M57" s="59"/>
      <c r="N57" s="106" t="s">
        <v>555</v>
      </c>
      <c r="O57" s="112">
        <f t="shared" ref="O57:Z57" si="3">SUM(O55:O56)</f>
        <v>0</v>
      </c>
      <c r="P57" s="112">
        <f t="shared" si="3"/>
        <v>0</v>
      </c>
      <c r="Q57" s="112">
        <f t="shared" si="3"/>
        <v>0</v>
      </c>
      <c r="R57" s="112">
        <f t="shared" si="3"/>
        <v>0</v>
      </c>
      <c r="S57" s="112">
        <f t="shared" si="3"/>
        <v>0</v>
      </c>
      <c r="T57" s="112">
        <f t="shared" si="3"/>
        <v>0</v>
      </c>
      <c r="U57" s="112">
        <f t="shared" si="3"/>
        <v>0</v>
      </c>
      <c r="V57" s="112">
        <f t="shared" si="3"/>
        <v>0</v>
      </c>
      <c r="W57" s="112">
        <f t="shared" si="3"/>
        <v>0</v>
      </c>
      <c r="X57" s="112">
        <f t="shared" si="3"/>
        <v>0</v>
      </c>
      <c r="Y57" s="112">
        <f t="shared" si="3"/>
        <v>0</v>
      </c>
      <c r="Z57" s="112">
        <f t="shared" si="3"/>
        <v>0</v>
      </c>
      <c r="AA57" s="112">
        <f>IF($I57="B1","",SUM(O57:Z57))</f>
        <v>0</v>
      </c>
      <c r="AB57" s="113" t="str">
        <f>IF(AA57=0,"",IFERROR(AA57/AA$19,""))</f>
        <v/>
      </c>
      <c r="AC57" s="11"/>
      <c r="AD57" s="112">
        <f>SUM(AD55:AD56)</f>
        <v>0</v>
      </c>
      <c r="AE57" s="113" t="str">
        <f>IF(AD57=0,"",IFERROR(AD57/AD$19,""))</f>
        <v/>
      </c>
      <c r="AF57" s="114">
        <f>IF(AND($AA57="",AD57=""),"",$AA57-AD57)</f>
        <v>0</v>
      </c>
      <c r="AG57" s="112">
        <f>SUM(AG55:AG56)</f>
        <v>0</v>
      </c>
      <c r="AH57" s="113" t="str">
        <f>IF(AG57=0,"",IFERROR(AG57/AG$19,""))</f>
        <v/>
      </c>
      <c r="AI57" s="114">
        <f>IF(AND($AA57="",AG57=""),"",$AA57-AG57)</f>
        <v>0</v>
      </c>
      <c r="AJ57" s="415">
        <f>IFERROR(AA57/AA$20,0)</f>
        <v>0</v>
      </c>
      <c r="AK57" s="416">
        <f>IFERROR(AD57/AD$20,0)</f>
        <v>0</v>
      </c>
      <c r="AL57" s="417">
        <f>IFERROR(AG57/AG$20,0)</f>
        <v>0</v>
      </c>
      <c r="AM57" s="418">
        <f>+IFERROR(ROUND(($AB57-AE57)*100,2)&amp;" pts.",0)</f>
        <v>0</v>
      </c>
      <c r="AN57" s="543">
        <f>+IFERROR(ROUND(($AB57-AH57)*100,2)&amp;" pts.",0)</f>
        <v>0</v>
      </c>
      <c r="AO57" s="11"/>
    </row>
    <row r="58" spans="1:41" x14ac:dyDescent="0.35">
      <c r="A58" s="65" t="s">
        <v>11</v>
      </c>
      <c r="B58" s="66" t="s">
        <v>21</v>
      </c>
      <c r="C58" s="208"/>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ht="15" thickBot="1" x14ac:dyDescent="0.4">
      <c r="A59" s="65" t="s">
        <v>12</v>
      </c>
      <c r="B59" s="66" t="s">
        <v>22</v>
      </c>
      <c r="C59" s="11"/>
      <c r="D59" s="11"/>
      <c r="E59" s="11"/>
      <c r="F59" s="11"/>
      <c r="G59" s="11"/>
      <c r="H59" s="59"/>
      <c r="I59" s="59"/>
      <c r="J59" s="11"/>
      <c r="K59" s="11"/>
      <c r="L59" s="59"/>
      <c r="M59" s="59"/>
      <c r="N59" s="106" t="s">
        <v>558</v>
      </c>
      <c r="O59" s="126">
        <f t="shared" ref="O59:Z59" si="4">O52+O57</f>
        <v>0</v>
      </c>
      <c r="P59" s="126">
        <f t="shared" si="4"/>
        <v>0</v>
      </c>
      <c r="Q59" s="126">
        <f t="shared" si="4"/>
        <v>0</v>
      </c>
      <c r="R59" s="126">
        <f t="shared" si="4"/>
        <v>0</v>
      </c>
      <c r="S59" s="126">
        <f t="shared" si="4"/>
        <v>0</v>
      </c>
      <c r="T59" s="126">
        <f t="shared" si="4"/>
        <v>0</v>
      </c>
      <c r="U59" s="126">
        <f t="shared" si="4"/>
        <v>0</v>
      </c>
      <c r="V59" s="126">
        <f t="shared" si="4"/>
        <v>0</v>
      </c>
      <c r="W59" s="126">
        <f t="shared" si="4"/>
        <v>0</v>
      </c>
      <c r="X59" s="126">
        <f t="shared" si="4"/>
        <v>0</v>
      </c>
      <c r="Y59" s="126">
        <f t="shared" si="4"/>
        <v>0</v>
      </c>
      <c r="Z59" s="126">
        <f t="shared" si="4"/>
        <v>0</v>
      </c>
      <c r="AA59" s="126">
        <f>IF($I59="B1","",SUM(O59:Z59))</f>
        <v>0</v>
      </c>
      <c r="AB59" s="127" t="str">
        <f>IF(AA59=0,"",IFERROR(AA59/AA$19,""))</f>
        <v/>
      </c>
      <c r="AC59" s="11"/>
      <c r="AD59" s="126">
        <f>AD52+AD57</f>
        <v>0</v>
      </c>
      <c r="AE59" s="127" t="str">
        <f>IF(AD59=0,"",IFERROR(AD59/AD$19,""))</f>
        <v/>
      </c>
      <c r="AF59" s="128">
        <f>IF(AND($AA59="",AD59=""),"",$AA59-AD59)</f>
        <v>0</v>
      </c>
      <c r="AG59" s="126">
        <f>AG52+AG57</f>
        <v>0</v>
      </c>
      <c r="AH59" s="127" t="str">
        <f>IF(AG59=0,"",IFERROR(AG59/AG$19,""))</f>
        <v/>
      </c>
      <c r="AI59" s="128">
        <f>IF(AND($AA59="",AG59=""),"",$AA59-AG59)</f>
        <v>0</v>
      </c>
      <c r="AJ59" s="11"/>
      <c r="AK59" s="11"/>
      <c r="AL59" s="11"/>
      <c r="AM59" s="11"/>
      <c r="AN59" s="11"/>
      <c r="AO59" s="11"/>
    </row>
    <row r="60" spans="1:41" ht="15" thickTop="1" x14ac:dyDescent="0.35">
      <c r="A60" s="65" t="s">
        <v>13</v>
      </c>
      <c r="B60" s="66" t="s">
        <v>594</v>
      </c>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65" t="s">
        <v>14</v>
      </c>
      <c r="B61" s="608"/>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15</v>
      </c>
      <c r="B62" s="66"/>
      <c r="C62" s="11"/>
      <c r="D62" s="11"/>
      <c r="E62" s="11"/>
      <c r="F62" s="11"/>
      <c r="G62" s="11"/>
      <c r="H62" s="88" t="s">
        <v>56</v>
      </c>
      <c r="I62" s="136" t="str">
        <f>IF(_epmOfflineCondition_,"T2",_xll.EVPRO($B$1,$H62,"STYLE"))</f>
        <v>T2</v>
      </c>
      <c r="J62" s="136" t="str">
        <f>IF(_epmOfflineCondition_,"Y",_xll.EVPRO($B$1,$H62,"CALC"))</f>
        <v>Y</v>
      </c>
      <c r="K62" s="106"/>
      <c r="L62" s="59"/>
      <c r="M62" s="59"/>
      <c r="N62" s="106" t="s">
        <v>666</v>
      </c>
      <c r="O62" s="209">
        <f>IF(_epmOfflineCondition_,0,_xll.EVGTS($B$1,1,$B$3,$B$5,$B$7,$B$9,O$16,O$17,O$18,$B$6,$H62))</f>
        <v>0</v>
      </c>
      <c r="P62" s="209">
        <f>IF(_epmOfflineCondition_,0,_xll.EVGTS($B$1,1,$B$3,$B$5,$B$7,$B$9,P$16,P$17,P$18,$B$6,$H62))</f>
        <v>0</v>
      </c>
      <c r="Q62" s="209">
        <f>IF(_epmOfflineCondition_,0,_xll.EVGTS($B$1,1,$B$3,$B$5,$B$7,$B$9,Q$16,Q$17,Q$18,$B$6,$H62))</f>
        <v>0</v>
      </c>
      <c r="R62" s="209">
        <f>IF(_epmOfflineCondition_,0,_xll.EVGTS($B$1,1,$B$3,$B$5,$B$7,$B$9,R$16,R$17,R$18,$B$6,$H62))</f>
        <v>0</v>
      </c>
      <c r="S62" s="209">
        <f>IF(_epmOfflineCondition_,0,_xll.EVGTS($B$1,1,$B$3,$B$5,$B$7,$B$9,S$16,S$17,S$18,$B$6,$H62))</f>
        <v>0</v>
      </c>
      <c r="T62" s="209">
        <f>IF(_epmOfflineCondition_,0,_xll.EVGTS($B$1,1,$B$3,$B$5,$B$7,$B$9,T$16,T$17,T$18,$B$6,$H62))</f>
        <v>0</v>
      </c>
      <c r="U62" s="209">
        <f>IF(_epmOfflineCondition_,0,_xll.EVGTS($B$1,1,$B$3,$B$5,$B$7,$B$9,U$16,U$17,U$18,$B$6,$H62))</f>
        <v>0</v>
      </c>
      <c r="V62" s="209">
        <f>IF(_epmOfflineCondition_,0,_xll.EVGTS($B$1,1,$B$3,$B$5,$B$7,$B$9,V$16,V$17,V$18,$B$6,$H62))</f>
        <v>0</v>
      </c>
      <c r="W62" s="209">
        <f>IF(_epmOfflineCondition_,0,_xll.EVGTS($B$1,1,$B$3,$B$5,$B$7,$B$9,W$16,W$17,W$18,$B$6,$H62))</f>
        <v>0</v>
      </c>
      <c r="X62" s="209">
        <f>IF(_epmOfflineCondition_,0,_xll.EVGTS($B$1,1,$B$3,$B$5,$B$7,$B$9,X$16,X$17,X$18,$B$6,$H62))</f>
        <v>0</v>
      </c>
      <c r="Y62" s="209">
        <f>IF(_epmOfflineCondition_,0,_xll.EVGTS($B$1,1,$B$3,$B$5,$B$7,$B$9,Y$16,Y$17,Y$18,$B$6,$H62))</f>
        <v>0</v>
      </c>
      <c r="Z62" s="209">
        <f>IF(_epmOfflineCondition_,0,_xll.EVGTS($B$1,1,$B$3,$B$5,$B$7,$B$9,Z$16,Z$17,Z$18,$B$6,$H62))</f>
        <v>0</v>
      </c>
      <c r="AA62" s="91">
        <f>IF($I62="B1","",SUM(O62:Z62))</f>
        <v>0</v>
      </c>
      <c r="AB62" s="209"/>
      <c r="AC62" s="11"/>
      <c r="AD62" s="209">
        <f>IF(_epmOfflineCondition_,0,_xll.EVGTS($B$1,1,$B$3,$B$5,$B$7,$B$9,AD$16,AD$17,AD$18,$B$6,$H62))</f>
        <v>0</v>
      </c>
      <c r="AE62" s="209"/>
      <c r="AF62" s="209"/>
      <c r="AG62" s="209">
        <f>IF(_epmOfflineCondition_,0,_xll.EVGTS($B$1,1,$B$3,$B$5,$B$7,$B$9,AG$16,AG$17,AG$18,$B$6,$H62))</f>
        <v>0</v>
      </c>
      <c r="AH62" s="209"/>
      <c r="AI62" s="209"/>
      <c r="AJ62" s="11"/>
      <c r="AK62" s="11"/>
      <c r="AL62" s="11"/>
      <c r="AM62" s="11"/>
      <c r="AN62" s="11"/>
      <c r="AO62" s="11"/>
    </row>
    <row r="63" spans="1:41" x14ac:dyDescent="0.35">
      <c r="A63" s="65" t="s">
        <v>16</v>
      </c>
      <c r="B63" s="66" t="s">
        <v>78</v>
      </c>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17</v>
      </c>
      <c r="B64" s="66"/>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62" t="s">
        <v>23</v>
      </c>
      <c r="B67" s="63" t="s">
        <v>24</v>
      </c>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65" t="s">
        <v>25</v>
      </c>
      <c r="B68" s="66"/>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65" t="s">
        <v>26</v>
      </c>
      <c r="B69" s="66"/>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65" t="s">
        <v>27</v>
      </c>
      <c r="B70" s="66"/>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65" t="s">
        <v>28</v>
      </c>
      <c r="B71" s="66"/>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65" t="s">
        <v>29</v>
      </c>
      <c r="B72" s="66"/>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65" t="s">
        <v>30</v>
      </c>
      <c r="B73" s="66" t="s">
        <v>78</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31</v>
      </c>
      <c r="B74" s="66" t="s">
        <v>78</v>
      </c>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65" t="s">
        <v>32</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33</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34</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35</v>
      </c>
      <c r="B78" s="66"/>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36</v>
      </c>
      <c r="B79" s="66"/>
      <c r="C79" s="208"/>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37</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38</v>
      </c>
      <c r="B81" s="66"/>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39</v>
      </c>
      <c r="B82" s="66"/>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40</v>
      </c>
      <c r="B83" s="66"/>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41</v>
      </c>
      <c r="B84" s="66"/>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42</v>
      </c>
      <c r="B85" s="66"/>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43</v>
      </c>
      <c r="B86" s="66"/>
      <c r="C86" s="11"/>
      <c r="D86" s="11"/>
      <c r="E86" s="11"/>
      <c r="F86" s="11"/>
      <c r="G86" s="11"/>
      <c r="H86" s="11"/>
      <c r="I86" s="59"/>
      <c r="J86" s="59"/>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44</v>
      </c>
      <c r="B87" s="66"/>
      <c r="C87" s="11"/>
      <c r="D87" s="11"/>
      <c r="E87" s="11"/>
      <c r="F87" s="11"/>
      <c r="G87" s="11"/>
      <c r="H87" s="11"/>
      <c r="I87" s="59"/>
      <c r="J87" s="59"/>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45</v>
      </c>
      <c r="B88" s="66"/>
      <c r="C88" s="11"/>
      <c r="D88" s="11"/>
      <c r="E88" s="11"/>
      <c r="F88" s="11"/>
      <c r="G88" s="11"/>
      <c r="H88" s="11"/>
      <c r="I88" s="59"/>
      <c r="J88" s="59"/>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46</v>
      </c>
      <c r="B89" s="66"/>
      <c r="C89" s="11"/>
      <c r="D89" s="11"/>
      <c r="E89" s="11"/>
      <c r="F89" s="11"/>
      <c r="G89" s="11"/>
      <c r="H89" s="11"/>
      <c r="I89" s="59"/>
      <c r="J89" s="59"/>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sheetData>
  <sheetProtection algorithmName="SHA-512" hashValue="ogOQ64neOZ5AOM/LxcjPpP1nv+RRSHPukHsM0x2r3TepOZrRBLZuCLP2Cz7hy8wqn6KTuq764NPhkicd5rVFqg==" saltValue="AkKWZCqo0SiBMbnn3pY5gQ==" spinCount="100000" sheet="1" scenarios="1"/>
  <mergeCells count="2">
    <mergeCell ref="AD31:AE31"/>
    <mergeCell ref="AG31:AH31"/>
  </mergeCells>
  <dataValidations disablePrompts="1" count="2">
    <dataValidation type="list" allowBlank="1" sqref="B60 B29" xr:uid="{00000000-0002-0000-2F00-000000000000}">
      <formula1>"SELF,ALL,BAS,DEP,BASMEMBERS,MEMBERS,NOEXPAND,GDEP"</formula1>
    </dataValidation>
    <dataValidation type="list" allowBlank="1" sqref="B59 B28" xr:uid="{00000000-0002-0000-2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554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5543" r:id="rId7" name="FPMExcelClientSheetOptionstb1"/>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2">
    <pageSetUpPr fitToPage="1"/>
  </sheetPr>
  <dimension ref="A1:AO9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IF(_epmOfflineCondition_,"20220100",_xll.EVPRO($B$1,$B$4,"STARTMTH"))</f>
        <v>20220100</v>
      </c>
      <c r="F4" s="58" t="str">
        <f>IF(_epmOfflineCondition_,"20220100",IF(SetUp!$D$8="FCST",_xll.EVPRO($B$1,"CURRENT","STARTMTH"),IF(SetUp!$D$8="BUD",_xll.EVPRO($B$1,"BUDGET","STARTMTH"))))</f>
        <v>20220100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499</v>
      </c>
      <c r="C6" s="11" t="str">
        <f>IF(_epmOfflineCondition_,"Consolidated Hotel &amp; F&amp;B Departments",_xll.EVDES(B6,$B$1))</f>
        <v>Consolidated Hotel &amp; F&amp;B Departments</v>
      </c>
      <c r="D6" s="11"/>
      <c r="E6" s="58" t="str">
        <f>IF(_epmOfflineCondition_,"",_xll.EVPRO($B$1,$B$6,$F$6))</f>
        <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2021.TOTAL</v>
      </c>
      <c r="C10" s="11" t="str">
        <f>IF(_epmOfflineCondition_,"2021 TOTAL",_xll.EVDES(B10,$B$1))</f>
        <v>2021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IF(_epmOfflineCondition_,"2021",_xll.EVPRO($B$1,$B$10,"YEAR"))</f>
        <v>2021</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IF(_epmOfflineCondition_,"2021",IF($D$10="FY",_xll.EVPRO($B$1,$D$10&amp;$B$12&amp;".TOTAL","Current"),_xll.EVPRO($B$1,$B$12&amp;".TOTAL","Current")))</f>
        <v>2021</v>
      </c>
      <c r="C13" s="11"/>
      <c r="D13" s="11"/>
      <c r="E13" s="11"/>
      <c r="F13" s="11"/>
      <c r="G13" s="11"/>
      <c r="H13" s="11"/>
      <c r="I13" s="59"/>
      <c r="J13" s="59"/>
      <c r="K13" s="11"/>
      <c r="L13" s="59"/>
      <c r="M13" s="59"/>
      <c r="N13" s="11" t="s">
        <v>598</v>
      </c>
      <c r="O13" s="5" t="str">
        <f>IF(_epmOfflineCondition_,"20210100",_xll.EVPRO($B$1,O16,"TIMEID"))</f>
        <v>20210100</v>
      </c>
      <c r="P13" s="5" t="str">
        <f>IF(_epmOfflineCondition_,"20210200",_xll.EVPRO($B$1,P16,"TIMEID"))</f>
        <v>20210200</v>
      </c>
      <c r="Q13" s="5" t="str">
        <f>IF(_epmOfflineCondition_,"20210300",_xll.EVPRO($B$1,Q16,"TIMEID"))</f>
        <v>20210300</v>
      </c>
      <c r="R13" s="5" t="str">
        <f>IF(_epmOfflineCondition_,"20210400",_xll.EVPRO($B$1,R16,"TIMEID"))</f>
        <v>20210400</v>
      </c>
      <c r="S13" s="5" t="str">
        <f>IF(_epmOfflineCondition_,"20210500",_xll.EVPRO($B$1,S16,"TIMEID"))</f>
        <v>20210500</v>
      </c>
      <c r="T13" s="5" t="str">
        <f>IF(_epmOfflineCondition_,"20210600",_xll.EVPRO($B$1,T16,"TIMEID"))</f>
        <v>20210600</v>
      </c>
      <c r="U13" s="5" t="str">
        <f>IF(_epmOfflineCondition_,"20210700",_xll.EVPRO($B$1,U16,"TIMEID"))</f>
        <v>20210700</v>
      </c>
      <c r="V13" s="5" t="str">
        <f>IF(_epmOfflineCondition_,"20210800",_xll.EVPRO($B$1,V16,"TIMEID"))</f>
        <v>20210800</v>
      </c>
      <c r="W13" s="5" t="str">
        <f>IF(_epmOfflineCondition_,"20210900",_xll.EVPRO($B$1,W16,"TIMEID"))</f>
        <v>20210900</v>
      </c>
      <c r="X13" s="5" t="str">
        <f>IF(_epmOfflineCondition_,"20211000",_xll.EVPRO($B$1,X16,"TIMEID"))</f>
        <v>20211000</v>
      </c>
      <c r="Y13" s="5" t="str">
        <f>IF(_epmOfflineCondition_,"20211100",_xll.EVPRO($B$1,Y16,"TIMEID"))</f>
        <v>20211100</v>
      </c>
      <c r="Z13" s="5" t="str">
        <f>IF(_epmOfflineCondition_,"20211200",_xll.EVPRO($B$1,Z16,"TIMEID"))</f>
        <v>20211200</v>
      </c>
      <c r="AA13" s="5" t="str">
        <f>IF(_epmOfflineCondition_,"10000170",_xll.EVPRO($B$1,AA16,"TIMEID"))</f>
        <v>10000170</v>
      </c>
      <c r="AB13" s="11"/>
      <c r="AC13" s="11"/>
      <c r="AD13" s="5" t="str">
        <f>IF(_epmOfflineCondition_,"10000170",_xll.EVPRO($B$1,AD16,"TIMEID"))</f>
        <v>10000170</v>
      </c>
      <c r="AE13" s="11"/>
      <c r="AF13" s="11"/>
      <c r="AG13" s="5" t="str">
        <f>IF(_epmOfflineCondition_,"10000160",_xll.EVPRO($B$1,AG16,"TIMEID"))</f>
        <v>10000160</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IF(_epmOfflineCondition_,"2021.JAN",IF(SetUp!$O$1=TRUE,_xll.EVTIM($B$1,P16,-1),IF($D$10="FY",LEFT($B$10,6)&amp;"."&amp;O15,$B$12&amp;"."&amp;O14)))</f>
        <v>2021.JAN</v>
      </c>
      <c r="P16" s="60" t="str">
        <f>IF(_epmOfflineCondition_,"2021.FEB",IF(SetUp!$O$1=TRUE,_xll.EVTIM($B$1,Q16,-1),IF($D$10="FY",LEFT($B$10,6)&amp;"."&amp;P15,$B$12&amp;"."&amp;P14)))</f>
        <v>2021.FEB</v>
      </c>
      <c r="Q16" s="60" t="str">
        <f>IF(_epmOfflineCondition_,"2021.MAR",IF(SetUp!$O$1=TRUE,_xll.EVTIM($B$1,R16,-1),IF($D$10="FY",LEFT($B$10,6)&amp;"."&amp;Q15,$B$12&amp;"."&amp;Q14)))</f>
        <v>2021.MAR</v>
      </c>
      <c r="R16" s="60" t="str">
        <f>IF(_epmOfflineCondition_,"2021.APR",IF(SetUp!$O$1=TRUE,_xll.EVTIM($B$1,S16,-1),IF($D$10="FY",LEFT($B$10,6)&amp;"."&amp;R15,$B$12&amp;"."&amp;R14)))</f>
        <v>2021.APR</v>
      </c>
      <c r="S16" s="60" t="str">
        <f>IF(_epmOfflineCondition_,"2021.MAY",IF(SetUp!$O$1=TRUE,_xll.EVTIM($B$1,T16,-1),IF($D$10="FY",LEFT($B$10,6)&amp;"."&amp;S15,$B$12&amp;"."&amp;S14)))</f>
        <v>2021.MAY</v>
      </c>
      <c r="T16" s="60" t="str">
        <f>IF(_epmOfflineCondition_,"2021.JUN",IF(SetUp!$O$1=TRUE,_xll.EVTIM($B$1,U16,-1),IF($D$10="FY",LEFT($B$10,6)&amp;"."&amp;T15,$B$12&amp;"."&amp;T14)))</f>
        <v>2021.JUN</v>
      </c>
      <c r="U16" s="60" t="str">
        <f>IF(_epmOfflineCondition_,"2021.JUL",IF(SetUp!$O$1=TRUE,_xll.EVTIM($B$1,V16,-1),IF($D$10="FY",LEFT($B$10,6)&amp;"."&amp;U15,$B$12&amp;"."&amp;U14)))</f>
        <v>2021.JUL</v>
      </c>
      <c r="V16" s="60" t="str">
        <f>IF(_epmOfflineCondition_,"2021.AUG",IF(SetUp!$O$1=TRUE,_xll.EVTIM($B$1,W16,-1),IF($D$10="FY",LEFT($B$10,6)&amp;"."&amp;V15,$B$12&amp;"."&amp;V14)))</f>
        <v>2021.AUG</v>
      </c>
      <c r="W16" s="60" t="str">
        <f>IF(_epmOfflineCondition_,"2021.SEP",IF(SetUp!$O$1=TRUE,_xll.EVTIM($B$1,X16,-1),IF($D$10="FY",LEFT($B$10,6)&amp;"."&amp;W15,$B$12&amp;"."&amp;W14)))</f>
        <v>2021.SEP</v>
      </c>
      <c r="X16" s="60" t="str">
        <f>IF(_epmOfflineCondition_,"2021.OCT",IF(SetUp!$O$1=TRUE,_xll.EVTIM($B$1,Y16,-1),IF($D$10="FY",LEFT($B$10,6)&amp;"."&amp;X15,$B$12&amp;"."&amp;X14)))</f>
        <v>2021.OCT</v>
      </c>
      <c r="Y16" s="60" t="str">
        <f>IF(_epmOfflineCondition_,"2021.NOV",IF(SetUp!$O$1=TRUE,_xll.EVTIM($B$1,Z16,-1),IF($D$10="FY",LEFT($B$10,6)&amp;"."&amp;Y15,$B$12&amp;"."&amp;Y14)))</f>
        <v>2021.NOV</v>
      </c>
      <c r="Z16" s="60" t="str">
        <f>IF(SetUp!$O$1=TRUE,SetUp!$Q$6,IF($D$10="FY",LEFT($B$10,6)&amp;"."&amp;Z15,$B$12&amp;"."&amp;Z14))</f>
        <v>2021.DEC</v>
      </c>
      <c r="AA16" s="60" t="str">
        <f>IF($D$10="FY",LEFT($B$10,6)&amp;"."&amp;AA15,$B$12&amp;"."&amp;AA14)</f>
        <v>2021.TOTAL</v>
      </c>
      <c r="AB16" s="64"/>
      <c r="AC16" s="64"/>
      <c r="AD16" s="60" t="str">
        <f>IF(SetUp!$O$1=TRUE,SetUp!$Q$6,SetUp!$G$7)</f>
        <v>2021.TOTAL</v>
      </c>
      <c r="AE16" s="64"/>
      <c r="AF16" s="64"/>
      <c r="AG16" s="60" t="str">
        <f>IF(_epmOfflineCondition_,"2020.TOTAL",IF(SetUp!$O$1=TRUE,_xll.EVTIM($B$1,AD16,-1,"YEAR"),SetUp!$J$7))</f>
        <v>2020.TOTAL</v>
      </c>
      <c r="AH16" s="64"/>
      <c r="AI16" s="64"/>
      <c r="AJ16" s="11"/>
      <c r="AK16" s="11"/>
      <c r="AL16" s="11"/>
      <c r="AM16" s="11"/>
      <c r="AN16" s="11"/>
      <c r="AO16" s="11"/>
    </row>
    <row r="17" spans="1:41" hidden="1" outlineLevel="1" x14ac:dyDescent="0.35">
      <c r="A17" s="65" t="s">
        <v>2</v>
      </c>
      <c r="B17" s="66" t="str">
        <f>IF(_epmOfflineCondition_,"'PR_Related'!$B$2:$B$10",_xll.EVRNG($B$2:$B$10))</f>
        <v>'PR_Related'!$B$2:$B$10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IF(_epmOfflineCondition_,"'PR_Related'!$O$16:$AN$18",_xll.EVRNG($O$16:$AN$18))</f>
        <v>'PR_Related'!$O$16:$AN$18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IF(_epmOfflineCondition_,"'PR_Related'!$H$35:$H$40,'PR_Related'!$H$43:$H$48,'PR_Related'!$H$51:$H$61,'PR_Related'!$H$63:$H$64",_xll.EVRNG(H35:H40,H43:H48,H51:H61,H63:H64))</f>
        <v>'PR_Related'!$H$35:$H$40,'PR_Related'!$H$43:$H$48,'PR_Related'!$H$51:$H$61,'PR_Related'!$H$63:$H$64</v>
      </c>
      <c r="C19" s="11"/>
      <c r="D19" s="11"/>
      <c r="E19" s="11"/>
      <c r="F19" s="11"/>
      <c r="G19" s="67" t="s">
        <v>499</v>
      </c>
      <c r="H19" s="67">
        <v>400000</v>
      </c>
      <c r="I19" s="68"/>
      <c r="J19" s="68"/>
      <c r="K19" s="67"/>
      <c r="L19" s="68"/>
      <c r="M19" s="68"/>
      <c r="N19" s="67" t="str">
        <f>IF(_epmOfflineCondition_,"Total Revenue",_xll.EVDES(H19))</f>
        <v>Total Revenue</v>
      </c>
      <c r="O19" s="69">
        <f>IF(_epmOfflineCondition_,733802.28,_xll.EVGTS($B$1,1,$B$3,$B$5,$B$7,$B$9,O$16,O$17,O$18,$G$19,$H$19))</f>
        <v>733802.28</v>
      </c>
      <c r="P19" s="69">
        <f>IF(_epmOfflineCondition_,862208.75,_xll.EVGTS($B$1,1,$B$3,$B$5,$B$7,$B$9,P$16,P$17,P$18,$G$19,$H$19))</f>
        <v>862208.75</v>
      </c>
      <c r="Q19" s="69">
        <f>IF(_epmOfflineCondition_,1089812.5,_xll.EVGTS($B$1,1,$B$3,$B$5,$B$7,$B$9,Q$16,Q$17,Q$18,$G$19,$H$19))</f>
        <v>1089812.5</v>
      </c>
      <c r="R19" s="69">
        <f>IF(_epmOfflineCondition_,1100470.49,_xll.EVGTS($B$1,1,$B$3,$B$5,$B$7,$B$9,R$16,R$17,R$18,$G$19,$H$19))</f>
        <v>1100470.49</v>
      </c>
      <c r="S19" s="69">
        <f>IF(_epmOfflineCondition_,1246058.9,_xll.EVGTS($B$1,1,$B$3,$B$5,$B$7,$B$9,S$16,S$17,S$18,$G$19,$H$19))</f>
        <v>1246058.8999999999</v>
      </c>
      <c r="T19" s="69">
        <f>IF(_epmOfflineCondition_,1071568.71,_xll.EVGTS($B$1,1,$B$3,$B$5,$B$7,$B$9,T$16,T$17,T$18,$G$19,$H$19))</f>
        <v>1071568.71</v>
      </c>
      <c r="U19" s="69">
        <f>IF(_epmOfflineCondition_,1192075.01,_xll.EVGTS($B$1,1,$B$3,$B$5,$B$7,$B$9,U$16,U$17,U$18,$G$19,$H$19))</f>
        <v>1192075.01</v>
      </c>
      <c r="V19" s="69">
        <f>IF(_epmOfflineCondition_,701156.28,_xll.EVGTS($B$1,1,$B$3,$B$5,$B$7,$B$9,V$16,V$17,V$18,$G$19,$H$19))</f>
        <v>701156.28</v>
      </c>
      <c r="W19" s="69">
        <f>IF(_epmOfflineCondition_,573367.35,_xll.EVGTS($B$1,1,$B$3,$B$5,$B$7,$B$9,W$16,W$17,W$18,$G$19,$H$19))</f>
        <v>573367.35</v>
      </c>
      <c r="X19" s="69">
        <f>IF(_epmOfflineCondition_,743025.95,_xll.EVGTS($B$1,1,$B$3,$B$5,$B$7,$B$9,X$16,X$17,X$18,$G$19,$H$19))</f>
        <v>743025.95</v>
      </c>
      <c r="Y19" s="69">
        <f>IF(_epmOfflineCondition_,998687.28,_xll.EVGTS($B$1,1,$B$3,$B$5,$B$7,$B$9,Y$16,Y$17,Y$18,$G$19,$H$19))</f>
        <v>998687.28</v>
      </c>
      <c r="Z19" s="69">
        <f>IF(_epmOfflineCondition_,1594290.92,_xll.EVGTS($B$1,1,$B$3,$B$5,$B$7,$B$9,Z$16,Z$17,Z$18,$G$19,$H$19))</f>
        <v>1594290.92</v>
      </c>
      <c r="AA19" s="69">
        <f>SUM(O19:Z19)</f>
        <v>11906524.419999998</v>
      </c>
      <c r="AB19" s="67"/>
      <c r="AC19" s="67"/>
      <c r="AD19" s="69">
        <f>IF(_epmOfflineCondition_,8332668.18454148,_xll.EVGTS($B$1,1,$B$3,$B$5,$B$7,$B$9,AD$16,AD$17,AD$18,$G$19,$H$19))</f>
        <v>8332668.1845414797</v>
      </c>
      <c r="AE19" s="67"/>
      <c r="AF19" s="67"/>
      <c r="AG19" s="69">
        <f>IF(_epmOfflineCondition_,5213345.47,_xll.EVGTS($B$1,1,$B$3,$B$5,$B$7,$B$9,AG$16,AG$17,AG$18,$G$19,$H$19))</f>
        <v>5213345.47</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IF(_epmOfflineCondition_,48312,_xll.EVGTS($B$1,1,$B$3,$B$5,$B$7,$B$9,AG$16,AG$17,AG$18,$G$20,$H$20))</f>
        <v>48312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IF(_epmOfflineCondition_,"'PR_Related'!$A$36:$F$40",_xll.EVRNG(A36:F40))</f>
        <v>'PR_Related'!$A$36:$F$40</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IF(_epmOfflineCondition_,"'PR_Related'!$A$44:$B$65",_xll.EVRNG($A$44:$B$65))</f>
        <v>'PR_Related'!$A$44:$B$65</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IF(_epmOfflineCondition_,"Consolidated Hotel &amp; F&amp;B Departments",IF(_xll.EVDES(B6,$B$1)="#NODATA","",_xll.EVDES(B6,$B$1)))</f>
        <v>Consolidated Hotel &amp; F&amp;B Departments</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2021 TOTAL","For the Period ended"&amp;" "&amp;IF(_xll.EVDES($B$10,$B$1)="#NODATA","",_xll.EVDES($B$10,$B$1)))</f>
        <v>For the Period ended 2021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741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24" t="str">
        <f>IF(_epmOfflineCondition_,"2021 TOTAL",IF(_xll.EVDES(AD16,$B$1)="#NODATA","",_xll.EVDES(AD16,$B$1)))</f>
        <v>2021 TOTAL</v>
      </c>
      <c r="AE31" s="625"/>
      <c r="AF31" s="77" t="s">
        <v>631</v>
      </c>
      <c r="AG31" s="624" t="str">
        <f>IF(_epmOfflineCondition_,"2020 TOTAL",IF(_xll.EVDES(AG16,$B$1)="#NODATA","",_xll.EVDES(AG16,$B$1)))</f>
        <v>2020 TOTAL</v>
      </c>
      <c r="AH31" s="625"/>
      <c r="AI31" s="77" t="s">
        <v>631</v>
      </c>
      <c r="AJ31" s="77" t="str">
        <f>IF(_epmOfflineCondition_,"2021",_xll.EVPRO($B$1,AA$16,"YEAR"))</f>
        <v>2021</v>
      </c>
      <c r="AK31" s="87" t="str">
        <f>IF(_epmOfflineCondition_,"2021",_xll.EVPRO($B$1,AD$16,"YEAR"))</f>
        <v>2021</v>
      </c>
      <c r="AL31" s="87" t="str">
        <f>IF(_epmOfflineCondition_,"2020",_xll.EVPRO($B$1,AG$16,"YEAR"))</f>
        <v>2020</v>
      </c>
      <c r="AM31" s="77" t="str">
        <f>"vs "&amp;AK31</f>
        <v>vs 2021</v>
      </c>
      <c r="AN31" s="77" t="str">
        <f>"vs "&amp;AL31</f>
        <v>vs 2020</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7" t="s">
        <v>58</v>
      </c>
      <c r="AF32" s="87" t="s">
        <v>57</v>
      </c>
      <c r="AG32" s="87" t="str">
        <f>IF(_epmOfflineCondition_,"Actual",IF(_xll.EVDES(AG17,$B$1)="#NODATA","",_xll.EVDES(AG17,$B$1)))</f>
        <v>Actual</v>
      </c>
      <c r="AH32" s="87" t="s">
        <v>58</v>
      </c>
      <c r="AI32" s="87" t="s">
        <v>57</v>
      </c>
      <c r="AJ32" s="87" t="str">
        <f>Z32</f>
        <v>Actual</v>
      </c>
      <c r="AK32" s="87" t="str">
        <f>AD32</f>
        <v>Budget</v>
      </c>
      <c r="AL32" s="87" t="str">
        <f>AG32</f>
        <v>Actual</v>
      </c>
      <c r="AM32" s="77" t="s">
        <v>747</v>
      </c>
      <c r="AN32" s="77" t="s">
        <v>747</v>
      </c>
      <c r="AO32" s="83"/>
    </row>
    <row r="33" spans="1:41" x14ac:dyDescent="0.35">
      <c r="A33" s="65" t="s">
        <v>17</v>
      </c>
      <c r="B33" s="66"/>
      <c r="C33" s="11"/>
      <c r="D33" s="11"/>
      <c r="E33" s="11"/>
      <c r="F33" s="11"/>
      <c r="G33" s="11"/>
      <c r="H33" s="11" t="s">
        <v>553</v>
      </c>
      <c r="I33" s="59" t="str">
        <f>IF(_epmOfflineCondition_,"B1",_xll.EVPRO($B$1,$H33,"STYLE"))</f>
        <v>B1</v>
      </c>
      <c r="J33" s="59" t="str">
        <f>IF(_epmOfflineCondition_,"Y",_xll.EVPRO($B$1,$H33,"CALC"))</f>
        <v>Y</v>
      </c>
      <c r="K33" s="11"/>
      <c r="L33" s="59"/>
      <c r="M33" s="59"/>
      <c r="N33" s="105" t="str">
        <f>IF(_epmOfflineCondition_,"Payroll Related Expenses",IF(_xll.EVDES(H33,$B$1)="#NODATA","",_xll.EVDES(H33,$B$1)))</f>
        <v>Payroll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c r="I34" s="59"/>
      <c r="J34" s="59"/>
      <c r="K34" s="11"/>
      <c r="L34" s="59"/>
      <c r="M34" s="59"/>
      <c r="N34" s="53" t="s">
        <v>561</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928</v>
      </c>
      <c r="I35" s="122" t="str">
        <f>IF(_epmOfflineCondition_,"T4",_xll.EVPRO($B$1,$H35,"STYLE"))</f>
        <v>T4</v>
      </c>
      <c r="J35" s="122" t="str">
        <f>IF(_epmOfflineCondition_,"Y",_xll.EVPRO($B$1,$H35,"CALC"))</f>
        <v>Y</v>
      </c>
      <c r="K35" s="179" t="str">
        <f t="shared" ref="K35:K40" si="0">IF(AND(I35&gt;="T4"),"&gt;","")</f>
        <v>&gt;</v>
      </c>
      <c r="L35" s="90" t="str">
        <f>IF(_epmOfflineCondition_,"",_xll.EVPRO($B$1,H35,"JDEID"))</f>
        <v/>
      </c>
      <c r="M35" s="90" t="str">
        <f>IF(_epmOfflineCondition_,"",IF(AND(I35="N",J35="N"),_xll.EVPRO($B$1,H35,"PSFTID"),""))</f>
        <v/>
      </c>
      <c r="N35" s="90" t="str">
        <f>IF(_epmOfflineCondition_,"National Medical Insurance",IF(_xll.EVDES(H35,$B$1)="#NODATA","",_xll.EVDES(H35,$B$1)))</f>
        <v>National Medical Insurance</v>
      </c>
      <c r="O35" s="143">
        <v>1888.34</v>
      </c>
      <c r="P35" s="143">
        <v>1943.38</v>
      </c>
      <c r="Q35" s="143">
        <v>2433.4699999999998</v>
      </c>
      <c r="R35" s="143">
        <v>2518.02</v>
      </c>
      <c r="S35" s="143">
        <v>2433.91</v>
      </c>
      <c r="T35" s="143">
        <v>2322.0500000000002</v>
      </c>
      <c r="U35" s="143">
        <v>2824.91</v>
      </c>
      <c r="V35" s="143">
        <v>3368.54</v>
      </c>
      <c r="W35" s="143">
        <v>2182.92</v>
      </c>
      <c r="X35" s="143">
        <v>2523.14</v>
      </c>
      <c r="Y35" s="143">
        <v>2671.46</v>
      </c>
      <c r="Z35" s="143">
        <v>2964.47</v>
      </c>
      <c r="AA35" s="210">
        <f t="shared" ref="AA35:AA40" si="1">IF($I35="B1","",SUM(O35:Z35))</f>
        <v>30074.61</v>
      </c>
      <c r="AB35" s="144">
        <f t="shared" ref="AB35:AB40" si="2">IF(AA35=0,"",IFERROR(AA35/AA$19,""))</f>
        <v>2.5258932782670097E-3</v>
      </c>
      <c r="AC35" s="140"/>
      <c r="AD35" s="143">
        <v>28897.577099865099</v>
      </c>
      <c r="AE35" s="144">
        <f t="shared" ref="AE35:AE40" si="3">IF(AD35=0,"",IFERROR(AD35/AD$19,""))</f>
        <v>3.4679860591923044E-3</v>
      </c>
      <c r="AF35" s="145">
        <f t="shared" ref="AF35:AF40" si="4">IF(AND($AA35="",AD35=""),"",$AA35-AD35)</f>
        <v>1177.0329001349019</v>
      </c>
      <c r="AG35" s="143">
        <v>20687.64</v>
      </c>
      <c r="AH35" s="144">
        <f t="shared" ref="AH35:AH40" si="5">IF(AG35=0,"",IFERROR(AG35/AG$19,""))</f>
        <v>3.9682081532954692E-3</v>
      </c>
      <c r="AI35" s="145">
        <f t="shared" ref="AI35:AI40" si="6">IF(AND($AA35="",AG35=""),"",$AA35-AG35)</f>
        <v>9386.9700000000012</v>
      </c>
      <c r="AJ35" s="440">
        <f t="shared" ref="AJ35:AJ40" si="7">IFERROR(AA35/AA$20,0)</f>
        <v>0.62421357409713574</v>
      </c>
      <c r="AK35" s="441">
        <f t="shared" ref="AK35:AK40" si="8">IFERROR(AD35/AD$20,0)</f>
        <v>0.59978366749408674</v>
      </c>
      <c r="AL35" s="442">
        <f t="shared" ref="AL35:AL40" si="9">IFERROR(AG35/AG$20,0)</f>
        <v>0.42820914058618975</v>
      </c>
      <c r="AM35" s="443" t="str">
        <f t="shared" ref="AM35:AM40" si="10">+IFERROR(ROUND(($AB35-AE35)*100,2)&amp;" pts.",0)</f>
        <v>-0.09 pts.</v>
      </c>
      <c r="AN35" s="444" t="str">
        <f t="shared" ref="AN35:AN40" si="11">+IFERROR(ROUND(($AB35-AH35)*100,2)&amp;" pts.",0)</f>
        <v>-0.14 pts.</v>
      </c>
      <c r="AO35" s="11"/>
    </row>
    <row r="36" spans="1:41" x14ac:dyDescent="0.35">
      <c r="A36" s="11"/>
      <c r="B36" s="11"/>
      <c r="C36" s="11"/>
      <c r="D36" s="11"/>
      <c r="E36" s="11"/>
      <c r="F36" s="11"/>
      <c r="G36" s="11"/>
      <c r="H36" s="88" t="s">
        <v>929</v>
      </c>
      <c r="I36" s="122" t="str">
        <f>IF(_epmOfflineCondition_,"T4",_xll.EVPRO($B$1,$H36,"STYLE"))</f>
        <v>T4</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IF(_epmOfflineCondition_,"National Retirement Insurance",IF(_xll.EVDES(H36,$B$1)="#NODATA","",_xll.EVDES(H36,$B$1)))</f>
        <v>National Retirement Insurance</v>
      </c>
      <c r="O36" s="143">
        <v>8639.4699999999993</v>
      </c>
      <c r="P36" s="143">
        <v>9645.86</v>
      </c>
      <c r="Q36" s="143">
        <v>10639.64</v>
      </c>
      <c r="R36" s="143">
        <v>11140.88</v>
      </c>
      <c r="S36" s="143">
        <v>10802.18</v>
      </c>
      <c r="T36" s="143">
        <v>10255.75</v>
      </c>
      <c r="U36" s="143">
        <v>11570.17</v>
      </c>
      <c r="V36" s="143">
        <v>12359.84</v>
      </c>
      <c r="W36" s="143">
        <v>10468.66</v>
      </c>
      <c r="X36" s="143">
        <v>11239.79</v>
      </c>
      <c r="Y36" s="143">
        <v>11202.83</v>
      </c>
      <c r="Z36" s="143">
        <v>12461.59</v>
      </c>
      <c r="AA36" s="210">
        <f t="shared" si="1"/>
        <v>130426.65999999999</v>
      </c>
      <c r="AB36" s="144">
        <f t="shared" si="2"/>
        <v>1.095421765405492E-2</v>
      </c>
      <c r="AC36" s="140"/>
      <c r="AD36" s="143">
        <v>129348.088722279</v>
      </c>
      <c r="AE36" s="144">
        <f t="shared" si="3"/>
        <v>1.5523009660008035E-2</v>
      </c>
      <c r="AF36" s="145">
        <f t="shared" si="4"/>
        <v>1078.5712777209847</v>
      </c>
      <c r="AG36" s="143">
        <v>88772.36</v>
      </c>
      <c r="AH36" s="144">
        <f t="shared" si="5"/>
        <v>1.7027906650506321E-2</v>
      </c>
      <c r="AI36" s="145">
        <f t="shared" si="6"/>
        <v>41654.299999999988</v>
      </c>
      <c r="AJ36" s="440">
        <f t="shared" si="7"/>
        <v>2.7070705687007055</v>
      </c>
      <c r="AK36" s="441">
        <f t="shared" si="8"/>
        <v>2.6846842823221047</v>
      </c>
      <c r="AL36" s="442">
        <f t="shared" si="9"/>
        <v>1.8374805431362808</v>
      </c>
      <c r="AM36" s="443" t="str">
        <f t="shared" si="10"/>
        <v>-0.46 pts.</v>
      </c>
      <c r="AN36" s="444" t="str">
        <f t="shared" si="11"/>
        <v>-0.61 pts.</v>
      </c>
      <c r="AO36" s="11"/>
    </row>
    <row r="37" spans="1:41" x14ac:dyDescent="0.35">
      <c r="A37" s="11" t="s">
        <v>105</v>
      </c>
      <c r="B37" s="11"/>
      <c r="C37" s="104" t="s">
        <v>101</v>
      </c>
      <c r="D37" s="11" t="s">
        <v>106</v>
      </c>
      <c r="E37" s="11"/>
      <c r="F37" s="11" t="s">
        <v>98</v>
      </c>
      <c r="G37" s="11"/>
      <c r="H37" s="88" t="s">
        <v>930</v>
      </c>
      <c r="I37" s="122" t="str">
        <f>IF(_epmOfflineCondition_,"T4",_xll.EVPRO($B$1,$H37,"STYLE"))</f>
        <v>T4</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IF(_epmOfflineCondition_,"National Unemployment Insurance",IF(_xll.EVDES(H37,$B$1)="#NODATA","",_xll.EVDES(H37,$B$1)))</f>
        <v>National Unemployment Insurance</v>
      </c>
      <c r="O37" s="143">
        <v>568.76</v>
      </c>
      <c r="P37" s="143">
        <v>305.64</v>
      </c>
      <c r="Q37" s="143">
        <v>272.81</v>
      </c>
      <c r="R37" s="143">
        <v>186.55</v>
      </c>
      <c r="S37" s="143">
        <v>119.1</v>
      </c>
      <c r="T37" s="143">
        <v>-11.25</v>
      </c>
      <c r="U37" s="143">
        <v>169.2</v>
      </c>
      <c r="V37" s="143">
        <v>-2878.47</v>
      </c>
      <c r="W37" s="143">
        <v>62.85</v>
      </c>
      <c r="X37" s="143">
        <v>54.61</v>
      </c>
      <c r="Y37" s="143">
        <v>93.61</v>
      </c>
      <c r="Z37" s="143">
        <v>540.67999999999995</v>
      </c>
      <c r="AA37" s="210">
        <f t="shared" si="1"/>
        <v>-515.9100000000002</v>
      </c>
      <c r="AB37" s="144">
        <f t="shared" si="2"/>
        <v>-4.3330024934346065E-5</v>
      </c>
      <c r="AC37" s="140"/>
      <c r="AD37" s="143">
        <v>4719.1939548009996</v>
      </c>
      <c r="AE37" s="144">
        <f t="shared" si="3"/>
        <v>5.663484792969327E-4</v>
      </c>
      <c r="AF37" s="145">
        <f t="shared" si="4"/>
        <v>-5235.1039548009994</v>
      </c>
      <c r="AG37" s="143">
        <v>2418.12</v>
      </c>
      <c r="AH37" s="144">
        <f t="shared" si="5"/>
        <v>4.6383267978594174E-4</v>
      </c>
      <c r="AI37" s="145">
        <f t="shared" si="6"/>
        <v>-2934.03</v>
      </c>
      <c r="AJ37" s="440">
        <f t="shared" si="7"/>
        <v>-1.0707970112079706E-2</v>
      </c>
      <c r="AK37" s="441">
        <f t="shared" si="8"/>
        <v>9.7949231108364454E-2</v>
      </c>
      <c r="AL37" s="442">
        <f t="shared" si="9"/>
        <v>5.0052160953800294E-2</v>
      </c>
      <c r="AM37" s="443" t="str">
        <f t="shared" si="10"/>
        <v>-0.06 pts.</v>
      </c>
      <c r="AN37" s="444" t="str">
        <f t="shared" si="11"/>
        <v>-0.05 pts.</v>
      </c>
      <c r="AO37" s="11"/>
    </row>
    <row r="38" spans="1:41" x14ac:dyDescent="0.35">
      <c r="A38" s="11" t="s">
        <v>102</v>
      </c>
      <c r="B38" s="11"/>
      <c r="C38" s="104" t="s">
        <v>101</v>
      </c>
      <c r="D38" s="11" t="s">
        <v>106</v>
      </c>
      <c r="E38" s="11"/>
      <c r="F38" s="11" t="s">
        <v>98</v>
      </c>
      <c r="G38" s="11"/>
      <c r="H38" s="88" t="s">
        <v>931</v>
      </c>
      <c r="I38" s="122" t="str">
        <f>IF(_epmOfflineCondition_,"T4",_xll.EVPRO($B$1,$H38,"STYLE"))</f>
        <v>T4</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IF(_epmOfflineCondition_,"State Unemployment Insurance",IF(_xll.EVDES(H38,$B$1)="#NODATA","",_xll.EVDES(H38,$B$1)))</f>
        <v>State Unemployment Insurance</v>
      </c>
      <c r="O38" s="143">
        <v>565.16</v>
      </c>
      <c r="P38" s="143">
        <v>1243.24</v>
      </c>
      <c r="Q38" s="143">
        <v>1126.6099999999999</v>
      </c>
      <c r="R38" s="143">
        <v>761.36</v>
      </c>
      <c r="S38" s="143">
        <v>203.67</v>
      </c>
      <c r="T38" s="143">
        <v>108.67</v>
      </c>
      <c r="U38" s="143">
        <v>197.4</v>
      </c>
      <c r="V38" s="143">
        <v>92.2</v>
      </c>
      <c r="W38" s="143">
        <v>73.33</v>
      </c>
      <c r="X38" s="143">
        <v>63.73</v>
      </c>
      <c r="Y38" s="143">
        <v>109.19</v>
      </c>
      <c r="Z38" s="143">
        <v>675.37</v>
      </c>
      <c r="AA38" s="210">
        <f t="shared" si="1"/>
        <v>5219.9299999999994</v>
      </c>
      <c r="AB38" s="144">
        <f t="shared" si="2"/>
        <v>4.3840921295485824E-4</v>
      </c>
      <c r="AC38" s="140"/>
      <c r="AD38" s="143">
        <v>26379.134614543102</v>
      </c>
      <c r="AE38" s="144">
        <f t="shared" si="3"/>
        <v>3.1657488370268835E-3</v>
      </c>
      <c r="AF38" s="145">
        <f t="shared" si="4"/>
        <v>-21159.204614543101</v>
      </c>
      <c r="AG38" s="143">
        <v>2594.85</v>
      </c>
      <c r="AH38" s="144">
        <f t="shared" si="5"/>
        <v>4.9773221723593158E-4</v>
      </c>
      <c r="AI38" s="145">
        <f t="shared" si="6"/>
        <v>2625.0799999999995</v>
      </c>
      <c r="AJ38" s="440">
        <f t="shared" si="7"/>
        <v>0.10834225819842257</v>
      </c>
      <c r="AK38" s="441">
        <f t="shared" si="8"/>
        <v>0.54751213396727072</v>
      </c>
      <c r="AL38" s="442">
        <f t="shared" si="9"/>
        <v>5.3710258320914056E-2</v>
      </c>
      <c r="AM38" s="443" t="str">
        <f t="shared" si="10"/>
        <v>-0.27 pts.</v>
      </c>
      <c r="AN38" s="444" t="str">
        <f t="shared" si="11"/>
        <v>-0.01 pts.</v>
      </c>
      <c r="AO38" s="11"/>
    </row>
    <row r="39" spans="1:41" x14ac:dyDescent="0.35">
      <c r="A39" s="11" t="s">
        <v>108</v>
      </c>
      <c r="B39" s="11"/>
      <c r="C39" s="106" t="s">
        <v>101</v>
      </c>
      <c r="D39" s="11" t="s">
        <v>106</v>
      </c>
      <c r="E39" s="11"/>
      <c r="F39" s="11" t="s">
        <v>98</v>
      </c>
      <c r="G39" s="11"/>
      <c r="H39" s="88" t="s">
        <v>932</v>
      </c>
      <c r="I39" s="122" t="str">
        <f>IF(_epmOfflineCondition_,"T4",_xll.EVPRO($B$1,$H39,"STYLE"))</f>
        <v>T4</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IF(_epmOfflineCondition_,"Other/ Local Payroll Tax",IF(_xll.EVDES(H39,$B$1)="#NODATA","",_xll.EVDES(H39,$B$1)))</f>
        <v>Other/ Local Payroll Tax</v>
      </c>
      <c r="O39" s="217"/>
      <c r="P39" s="217"/>
      <c r="Q39" s="217"/>
      <c r="R39" s="217"/>
      <c r="S39" s="217"/>
      <c r="T39" s="217"/>
      <c r="U39" s="217"/>
      <c r="V39" s="217"/>
      <c r="W39" s="217"/>
      <c r="X39" s="217"/>
      <c r="Y39" s="217"/>
      <c r="Z39" s="217"/>
      <c r="AA39" s="216">
        <f t="shared" si="1"/>
        <v>0</v>
      </c>
      <c r="AB39" s="219" t="str">
        <f t="shared" si="2"/>
        <v/>
      </c>
      <c r="AC39" s="140"/>
      <c r="AD39" s="217"/>
      <c r="AE39" s="219" t="str">
        <f t="shared" si="3"/>
        <v/>
      </c>
      <c r="AF39" s="220">
        <f t="shared" si="4"/>
        <v>0</v>
      </c>
      <c r="AG39" s="217">
        <v>-882.10999999999899</v>
      </c>
      <c r="AH39" s="219">
        <f t="shared" si="5"/>
        <v>-1.6920229151819456E-4</v>
      </c>
      <c r="AI39" s="220">
        <f t="shared" si="6"/>
        <v>882.10999999999899</v>
      </c>
      <c r="AJ39" s="449">
        <f t="shared" si="7"/>
        <v>0</v>
      </c>
      <c r="AK39" s="450">
        <f t="shared" si="8"/>
        <v>0</v>
      </c>
      <c r="AL39" s="451">
        <f t="shared" si="9"/>
        <v>-1.8258610697135268E-2</v>
      </c>
      <c r="AM39" s="452">
        <f t="shared" si="10"/>
        <v>0</v>
      </c>
      <c r="AN39" s="453">
        <f t="shared" si="11"/>
        <v>0</v>
      </c>
      <c r="AO39" s="11"/>
    </row>
    <row r="40" spans="1:41" x14ac:dyDescent="0.35">
      <c r="A40" s="11" t="s">
        <v>108</v>
      </c>
      <c r="B40" s="11"/>
      <c r="C40" s="109" t="s">
        <v>101</v>
      </c>
      <c r="D40" s="11" t="s">
        <v>107</v>
      </c>
      <c r="E40" s="11"/>
      <c r="F40" s="11" t="s">
        <v>99</v>
      </c>
      <c r="G40" s="11"/>
      <c r="H40" s="88" t="s">
        <v>851</v>
      </c>
      <c r="I40" s="188" t="str">
        <f>IF(_epmOfflineCondition_,"T3",_xll.EVPRO($B$1,$H40,"STYLE"))</f>
        <v>T3</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IF(_epmOfflineCondition_,"Payroll Taxes",IF(_xll.EVDES(H40,$B$1)="#NODATA","",_xll.EVDES(H40,$B$1)))</f>
        <v>Payroll Taxes</v>
      </c>
      <c r="O40" s="154">
        <v>11661.73</v>
      </c>
      <c r="P40" s="154">
        <v>13138.12</v>
      </c>
      <c r="Q40" s="154">
        <v>14472.53</v>
      </c>
      <c r="R40" s="154">
        <v>14606.81</v>
      </c>
      <c r="S40" s="154">
        <v>13558.86</v>
      </c>
      <c r="T40" s="154">
        <v>12675.22</v>
      </c>
      <c r="U40" s="154">
        <v>14761.68</v>
      </c>
      <c r="V40" s="154">
        <v>12942.11</v>
      </c>
      <c r="W40" s="154">
        <v>12787.76</v>
      </c>
      <c r="X40" s="154">
        <v>13881.27</v>
      </c>
      <c r="Y40" s="154">
        <v>14077.09</v>
      </c>
      <c r="Z40" s="154">
        <v>16642.11</v>
      </c>
      <c r="AA40" s="154">
        <f t="shared" si="1"/>
        <v>165205.28999999998</v>
      </c>
      <c r="AB40" s="155">
        <f t="shared" si="2"/>
        <v>1.387519012034244E-2</v>
      </c>
      <c r="AC40" s="240"/>
      <c r="AD40" s="154">
        <v>189343.994391488</v>
      </c>
      <c r="AE40" s="155">
        <f t="shared" si="3"/>
        <v>2.2723093035524132E-2</v>
      </c>
      <c r="AF40" s="156">
        <f t="shared" si="4"/>
        <v>-24138.70439148802</v>
      </c>
      <c r="AG40" s="154">
        <v>113590.86</v>
      </c>
      <c r="AH40" s="155">
        <f t="shared" si="5"/>
        <v>2.1788477409305469E-2</v>
      </c>
      <c r="AI40" s="156">
        <f t="shared" si="6"/>
        <v>51614.429999999978</v>
      </c>
      <c r="AJ40" s="246">
        <f t="shared" si="7"/>
        <v>3.4289184308841838</v>
      </c>
      <c r="AK40" s="247">
        <f t="shared" si="8"/>
        <v>3.9299293148918224</v>
      </c>
      <c r="AL40" s="249">
        <f t="shared" si="9"/>
        <v>2.3511934923000495</v>
      </c>
      <c r="AM40" s="433" t="str">
        <f t="shared" si="10"/>
        <v>-0.88 pts.</v>
      </c>
      <c r="AN40" s="617" t="str">
        <f t="shared" si="11"/>
        <v>-0.79 pts.</v>
      </c>
      <c r="AO40" s="11"/>
    </row>
    <row r="41" spans="1:41" x14ac:dyDescent="0.35">
      <c r="A41" s="11"/>
      <c r="B41" s="11"/>
      <c r="C41" s="11"/>
      <c r="D41" s="11"/>
      <c r="E41" s="11"/>
      <c r="F41" s="11"/>
      <c r="G41" s="11"/>
      <c r="H41" s="11"/>
      <c r="I41" s="11"/>
      <c r="J41" s="11"/>
      <c r="K41" s="11"/>
      <c r="L41" s="90"/>
      <c r="M41" s="90"/>
      <c r="N41" s="90"/>
      <c r="O41" s="129"/>
      <c r="P41" s="130"/>
      <c r="Q41" s="130"/>
      <c r="R41" s="130"/>
      <c r="S41" s="130"/>
      <c r="T41" s="130"/>
      <c r="U41" s="130"/>
      <c r="V41" s="130"/>
      <c r="W41" s="130"/>
      <c r="X41" s="130"/>
      <c r="Y41" s="130"/>
      <c r="Z41" s="130"/>
      <c r="AA41" s="130"/>
      <c r="AB41" s="131"/>
      <c r="AC41" s="11"/>
      <c r="AD41" s="129"/>
      <c r="AE41" s="130"/>
      <c r="AF41" s="131"/>
      <c r="AG41" s="129"/>
      <c r="AH41" s="130"/>
      <c r="AI41" s="131"/>
      <c r="AJ41" s="11"/>
      <c r="AK41" s="11"/>
      <c r="AL41" s="11"/>
      <c r="AM41" s="11"/>
      <c r="AN41" s="11"/>
      <c r="AO41" s="11"/>
    </row>
    <row r="42" spans="1:41" x14ac:dyDescent="0.35">
      <c r="A42" s="11"/>
      <c r="B42" s="11"/>
      <c r="C42" s="11"/>
      <c r="D42" s="11"/>
      <c r="E42" s="11"/>
      <c r="F42" s="11"/>
      <c r="G42" s="11"/>
      <c r="H42" s="11"/>
      <c r="I42" s="59"/>
      <c r="J42" s="59"/>
      <c r="K42" s="11"/>
      <c r="L42" s="59"/>
      <c r="M42" s="59"/>
      <c r="N42" s="53" t="s">
        <v>560</v>
      </c>
      <c r="O42" s="119"/>
      <c r="P42" s="120"/>
      <c r="Q42" s="120"/>
      <c r="R42" s="120"/>
      <c r="S42" s="120"/>
      <c r="T42" s="120"/>
      <c r="U42" s="120"/>
      <c r="V42" s="120"/>
      <c r="W42" s="120"/>
      <c r="X42" s="120"/>
      <c r="Y42" s="120"/>
      <c r="Z42" s="120"/>
      <c r="AA42" s="120"/>
      <c r="AB42" s="121"/>
      <c r="AC42" s="11"/>
      <c r="AD42" s="119"/>
      <c r="AE42" s="120"/>
      <c r="AF42" s="121"/>
      <c r="AG42" s="119"/>
      <c r="AH42" s="120"/>
      <c r="AI42" s="121"/>
      <c r="AJ42" s="11"/>
      <c r="AK42" s="11"/>
      <c r="AL42" s="11"/>
      <c r="AM42" s="11"/>
      <c r="AN42" s="11"/>
      <c r="AO42" s="11"/>
    </row>
    <row r="43" spans="1:41" x14ac:dyDescent="0.35">
      <c r="A43" s="62" t="s">
        <v>23</v>
      </c>
      <c r="B43" s="63" t="s">
        <v>24</v>
      </c>
      <c r="C43" s="11"/>
      <c r="D43" s="11"/>
      <c r="E43" s="11"/>
      <c r="F43" s="11"/>
      <c r="G43" s="11"/>
      <c r="H43" s="88" t="s">
        <v>923</v>
      </c>
      <c r="I43" s="122" t="str">
        <f>IF(_epmOfflineCondition_,"N",_xll.EVPRO($B$1,$H43,"STYLE"))</f>
        <v>N</v>
      </c>
      <c r="J43" s="122" t="str">
        <f>IF(_epmOfflineCondition_,"N",_xll.EVPRO($B$1,$H43,"CALC"))</f>
        <v>N</v>
      </c>
      <c r="K43" s="179" t="str">
        <f t="shared" ref="K43:K48" si="12">IF(AND(I43&gt;="T4"),"&gt;","")</f>
        <v/>
      </c>
      <c r="L43" s="90" t="str">
        <f>IF(_epmOfflineCondition_,"692200",_xll.EVPRO($B$1,H43,"JDEID"))</f>
        <v>692200</v>
      </c>
      <c r="M43" s="90" t="str">
        <f>IF(_epmOfflineCondition_,"490116",IF(AND(I43="N",J43="N"),_xll.EVPRO($B$1,H43,"PSFTID"),""))</f>
        <v>490116</v>
      </c>
      <c r="N43" s="90" t="str">
        <f>IF(_epmOfflineCondition_,"Personal Days",IF(_xll.EVDES(H43,$B$1)="#NODATA","",_xll.EVDES(H43,$B$1)))</f>
        <v>Personal Days</v>
      </c>
      <c r="O43" s="143"/>
      <c r="P43" s="143"/>
      <c r="Q43" s="143">
        <v>119.57</v>
      </c>
      <c r="R43" s="143">
        <v>119.57</v>
      </c>
      <c r="S43" s="143"/>
      <c r="T43" s="143"/>
      <c r="U43" s="143"/>
      <c r="V43" s="143"/>
      <c r="W43" s="143"/>
      <c r="X43" s="143"/>
      <c r="Y43" s="143"/>
      <c r="Z43" s="143"/>
      <c r="AA43" s="143">
        <f t="shared" ref="AA43:AA48" si="13">IF($I43="B1","",SUM(O43:Z43))</f>
        <v>239.14</v>
      </c>
      <c r="AB43" s="144">
        <f t="shared" ref="AB43:AB48" si="14">IF(AA43=0,"",IFERROR(AA43/AA$19,""))</f>
        <v>2.0084786421661749E-5</v>
      </c>
      <c r="AC43" s="140"/>
      <c r="AD43" s="143"/>
      <c r="AE43" s="144" t="str">
        <f t="shared" ref="AE43:AE48" si="15">IF(AD43=0,"",IFERROR(AD43/AD$19,""))</f>
        <v/>
      </c>
      <c r="AF43" s="145">
        <f t="shared" ref="AF43:AF48" si="16">IF(AND($AA43="",AD43=""),"",$AA43-AD43)</f>
        <v>239.14</v>
      </c>
      <c r="AG43" s="143">
        <v>1360.61</v>
      </c>
      <c r="AH43" s="144">
        <f t="shared" ref="AH43:AH48" si="17">IF(AG43=0,"",IFERROR(AG43/AG$19,""))</f>
        <v>2.6098596531336335E-4</v>
      </c>
      <c r="AI43" s="145">
        <f t="shared" ref="AI43:AI48" si="18">IF(AND($AA43="",AG43=""),"",$AA43-AG43)</f>
        <v>-1121.4699999999998</v>
      </c>
      <c r="AJ43" s="440">
        <f t="shared" ref="AJ43:AJ48" si="19">IFERROR(AA43/AA$20,0)</f>
        <v>4.9634703196347026E-3</v>
      </c>
      <c r="AK43" s="441">
        <f t="shared" ref="AK43:AK48" si="20">IFERROR(AD43/AD$20,0)</f>
        <v>0</v>
      </c>
      <c r="AL43" s="442">
        <f t="shared" ref="AL43:AL48" si="21">IFERROR(AG43/AG$20,0)</f>
        <v>2.8162982281834739E-2</v>
      </c>
      <c r="AM43" s="443">
        <f t="shared" ref="AM43:AM48" si="22">+IFERROR(ROUND(($AB43-AE43)*100,2)&amp;" pts.",0)</f>
        <v>0</v>
      </c>
      <c r="AN43" s="444" t="str">
        <f t="shared" ref="AN43:AN48" si="23">+IFERROR(ROUND(($AB43-AH43)*100,2)&amp;" pts.",0)</f>
        <v>-0.02 pts.</v>
      </c>
      <c r="AO43" s="11"/>
    </row>
    <row r="44" spans="1:41" x14ac:dyDescent="0.35">
      <c r="A44" s="65" t="s">
        <v>25</v>
      </c>
      <c r="B44" s="66"/>
      <c r="C44" s="11"/>
      <c r="D44" s="11"/>
      <c r="E44" s="11"/>
      <c r="F44" s="11"/>
      <c r="G44" s="11"/>
      <c r="H44" s="88" t="s">
        <v>924</v>
      </c>
      <c r="I44" s="122" t="str">
        <f>IF(_epmOfflineCondition_,"N",_xll.EVPRO($B$1,$H44,"STYLE"))</f>
        <v>N</v>
      </c>
      <c r="J44" s="122" t="str">
        <f>IF(_epmOfflineCondition_,"N",_xll.EVPRO($B$1,$H44,"CALC"))</f>
        <v>N</v>
      </c>
      <c r="K44" s="179" t="str">
        <f t="shared" si="12"/>
        <v/>
      </c>
      <c r="L44" s="90" t="str">
        <f>IF(_epmOfflineCondition_,"692300",_xll.EVPRO($B$1,H44,"JDEID"))</f>
        <v>692300</v>
      </c>
      <c r="M44" s="90" t="str">
        <f>IF(_epmOfflineCondition_,"490111",IF(AND(I44="N",J44="N"),_xll.EVPRO($B$1,H44,"PSFTID"),""))</f>
        <v>490111</v>
      </c>
      <c r="N44" s="90" t="str">
        <f>IF(_epmOfflineCondition_,"Severance Pay",IF(_xll.EVDES(H44,$B$1)="#NODATA","",_xll.EVDES(H44,$B$1)))</f>
        <v>Severance Pay</v>
      </c>
      <c r="O44" s="143"/>
      <c r="P44" s="143"/>
      <c r="Q44" s="143"/>
      <c r="R44" s="143"/>
      <c r="S44" s="143"/>
      <c r="T44" s="143"/>
      <c r="U44" s="143"/>
      <c r="V44" s="143">
        <v>24285.68</v>
      </c>
      <c r="W44" s="143"/>
      <c r="X44" s="143"/>
      <c r="Y44" s="143"/>
      <c r="Z44" s="143"/>
      <c r="AA44" s="143">
        <f t="shared" si="13"/>
        <v>24285.68</v>
      </c>
      <c r="AB44" s="144">
        <f t="shared" si="14"/>
        <v>2.0396951405236359E-3</v>
      </c>
      <c r="AC44" s="140"/>
      <c r="AD44" s="143"/>
      <c r="AE44" s="144" t="str">
        <f t="shared" si="15"/>
        <v/>
      </c>
      <c r="AF44" s="145">
        <f t="shared" si="16"/>
        <v>24285.68</v>
      </c>
      <c r="AG44" s="143">
        <v>17391.150000000001</v>
      </c>
      <c r="AH44" s="144">
        <f t="shared" si="17"/>
        <v>3.3358905716255943E-3</v>
      </c>
      <c r="AI44" s="145">
        <f t="shared" si="18"/>
        <v>6894.5299999999988</v>
      </c>
      <c r="AJ44" s="440">
        <f t="shared" si="19"/>
        <v>0.50406143628061439</v>
      </c>
      <c r="AK44" s="441">
        <f t="shared" si="20"/>
        <v>0</v>
      </c>
      <c r="AL44" s="442">
        <f t="shared" si="21"/>
        <v>0.35997578241430706</v>
      </c>
      <c r="AM44" s="443">
        <f t="shared" si="22"/>
        <v>0</v>
      </c>
      <c r="AN44" s="444" t="str">
        <f t="shared" si="23"/>
        <v>-0.13 pts.</v>
      </c>
      <c r="AO44" s="11"/>
    </row>
    <row r="45" spans="1:41" x14ac:dyDescent="0.35">
      <c r="A45" s="65" t="s">
        <v>26</v>
      </c>
      <c r="B45" s="66"/>
      <c r="C45" s="11"/>
      <c r="D45" s="11"/>
      <c r="E45" s="11"/>
      <c r="F45" s="11"/>
      <c r="G45" s="11"/>
      <c r="H45" s="88" t="s">
        <v>925</v>
      </c>
      <c r="I45" s="122" t="str">
        <f>IF(_epmOfflineCondition_,"T4",_xll.EVPRO($B$1,$H45,"STYLE"))</f>
        <v>T4</v>
      </c>
      <c r="J45" s="122" t="str">
        <f>IF(_epmOfflineCondition_,"Y",_xll.EVPRO($B$1,$H45,"CALC"))</f>
        <v>Y</v>
      </c>
      <c r="K45" s="179" t="str">
        <f t="shared" si="12"/>
        <v>&gt;</v>
      </c>
      <c r="L45" s="90" t="str">
        <f>IF(_epmOfflineCondition_,"",_xll.EVPRO($B$1,H45,"JDEID"))</f>
        <v/>
      </c>
      <c r="M45" s="90" t="str">
        <f>IF(_epmOfflineCondition_,"",IF(AND(I45="N",J45="N"),_xll.EVPRO($B$1,H45,"PSFTID"),""))</f>
        <v/>
      </c>
      <c r="N45" s="90" t="str">
        <f>IF(_epmOfflineCondition_,"Wellness Pay",IF(_xll.EVDES(H45,$B$1)="#NODATA","",_xll.EVDES(H45,$B$1)))</f>
        <v>Wellness Pay</v>
      </c>
      <c r="O45" s="143">
        <v>1318.27</v>
      </c>
      <c r="P45" s="143">
        <v>1075.3800000000001</v>
      </c>
      <c r="Q45" s="143">
        <v>2065.19</v>
      </c>
      <c r="R45" s="143">
        <v>2082.6999999999998</v>
      </c>
      <c r="S45" s="143">
        <v>1840.63</v>
      </c>
      <c r="T45" s="143">
        <v>1289.79</v>
      </c>
      <c r="U45" s="143">
        <v>2000.75</v>
      </c>
      <c r="V45" s="143">
        <v>1361.59</v>
      </c>
      <c r="W45" s="143">
        <v>1584.09</v>
      </c>
      <c r="X45" s="143">
        <v>1932.61</v>
      </c>
      <c r="Y45" s="143">
        <v>1752.39</v>
      </c>
      <c r="Z45" s="143">
        <v>779.19</v>
      </c>
      <c r="AA45" s="143">
        <f t="shared" si="13"/>
        <v>19082.579999999998</v>
      </c>
      <c r="AB45" s="144">
        <f t="shared" si="14"/>
        <v>1.6026994382967051E-3</v>
      </c>
      <c r="AC45" s="140"/>
      <c r="AD45" s="143">
        <v>28774.110644307901</v>
      </c>
      <c r="AE45" s="144">
        <f t="shared" si="15"/>
        <v>3.4531689018517239E-3</v>
      </c>
      <c r="AF45" s="145">
        <f t="shared" si="16"/>
        <v>-9691.5306443079025</v>
      </c>
      <c r="AG45" s="143">
        <v>14704.48</v>
      </c>
      <c r="AH45" s="144">
        <f t="shared" si="17"/>
        <v>2.8205458634223217E-3</v>
      </c>
      <c r="AI45" s="145">
        <f t="shared" si="18"/>
        <v>4378.0999999999985</v>
      </c>
      <c r="AJ45" s="440">
        <f t="shared" si="19"/>
        <v>0.39606849315068487</v>
      </c>
      <c r="AK45" s="441">
        <f t="shared" si="20"/>
        <v>0.59722105945014325</v>
      </c>
      <c r="AL45" s="442">
        <f t="shared" si="21"/>
        <v>0.30436496108627253</v>
      </c>
      <c r="AM45" s="443" t="str">
        <f t="shared" si="22"/>
        <v>-0.19 pts.</v>
      </c>
      <c r="AN45" s="444" t="str">
        <f t="shared" si="23"/>
        <v>-0.12 pts.</v>
      </c>
      <c r="AO45" s="11"/>
    </row>
    <row r="46" spans="1:41" x14ac:dyDescent="0.35">
      <c r="A46" s="65" t="s">
        <v>27</v>
      </c>
      <c r="B46" s="66"/>
      <c r="C46" s="11"/>
      <c r="D46" s="11"/>
      <c r="E46" s="11"/>
      <c r="F46" s="11"/>
      <c r="G46" s="11"/>
      <c r="H46" s="88" t="s">
        <v>926</v>
      </c>
      <c r="I46" s="122" t="str">
        <f>IF(_epmOfflineCondition_,"N",_xll.EVPRO($B$1,$H46,"STYLE"))</f>
        <v>N</v>
      </c>
      <c r="J46" s="122" t="str">
        <f>IF(_epmOfflineCondition_,"N",_xll.EVPRO($B$1,$H46,"CALC"))</f>
        <v>N</v>
      </c>
      <c r="K46" s="179" t="str">
        <f t="shared" si="12"/>
        <v/>
      </c>
      <c r="L46" s="90" t="str">
        <f>IF(_epmOfflineCondition_,"692500",_xll.EVPRO($B$1,H46,"JDEID"))</f>
        <v>692500</v>
      </c>
      <c r="M46" s="90" t="str">
        <f>IF(_epmOfflineCondition_,"490500",IF(AND(I46="N",J46="N"),_xll.EVPRO($B$1,H46,"PSFTID"),""))</f>
        <v>490500</v>
      </c>
      <c r="N46" s="90" t="str">
        <f>IF(_epmOfflineCondition_,"Holiday Pay",IF(_xll.EVDES(H46,$B$1)="#NODATA","",_xll.EVDES(H46,$B$1)))</f>
        <v>Holiday Pay</v>
      </c>
      <c r="O46" s="143">
        <v>7985.83</v>
      </c>
      <c r="P46" s="143">
        <v>346.36</v>
      </c>
      <c r="Q46" s="143">
        <v>89.82</v>
      </c>
      <c r="R46" s="143">
        <v>108</v>
      </c>
      <c r="S46" s="143">
        <v>4216.67</v>
      </c>
      <c r="T46" s="143">
        <v>403.2</v>
      </c>
      <c r="U46" s="143">
        <v>4755.59</v>
      </c>
      <c r="V46" s="143"/>
      <c r="W46" s="143">
        <v>5071.3599999999997</v>
      </c>
      <c r="X46" s="143"/>
      <c r="Y46" s="143">
        <v>5676.84</v>
      </c>
      <c r="Z46" s="143">
        <v>9815.34</v>
      </c>
      <c r="AA46" s="143">
        <f t="shared" si="13"/>
        <v>38469.01</v>
      </c>
      <c r="AB46" s="144">
        <f t="shared" si="14"/>
        <v>3.2309184983807396E-3</v>
      </c>
      <c r="AC46" s="140"/>
      <c r="AD46" s="143">
        <v>60979.130878806303</v>
      </c>
      <c r="AE46" s="144">
        <f t="shared" si="15"/>
        <v>7.3180798188907832E-3</v>
      </c>
      <c r="AF46" s="145">
        <f t="shared" si="16"/>
        <v>-22510.120878806301</v>
      </c>
      <c r="AG46" s="143">
        <v>30013.18</v>
      </c>
      <c r="AH46" s="144">
        <f t="shared" si="17"/>
        <v>5.7569904340139576E-3</v>
      </c>
      <c r="AI46" s="145">
        <f t="shared" si="18"/>
        <v>8455.8300000000017</v>
      </c>
      <c r="AJ46" s="440">
        <f t="shared" si="19"/>
        <v>0.79844354503943549</v>
      </c>
      <c r="AK46" s="441">
        <f t="shared" si="20"/>
        <v>1.2656523636115879</v>
      </c>
      <c r="AL46" s="442">
        <f t="shared" si="21"/>
        <v>0.62123654578572607</v>
      </c>
      <c r="AM46" s="443" t="str">
        <f t="shared" si="22"/>
        <v>-0.41 pts.</v>
      </c>
      <c r="AN46" s="444" t="str">
        <f t="shared" si="23"/>
        <v>-0.25 pts.</v>
      </c>
      <c r="AO46" s="11"/>
    </row>
    <row r="47" spans="1:41" x14ac:dyDescent="0.35">
      <c r="A47" s="65" t="s">
        <v>28</v>
      </c>
      <c r="B47" s="66"/>
      <c r="C47" s="11"/>
      <c r="D47" s="11"/>
      <c r="E47" s="11"/>
      <c r="F47" s="11"/>
      <c r="G47" s="11"/>
      <c r="H47" s="88" t="s">
        <v>927</v>
      </c>
      <c r="I47" s="122" t="str">
        <f>IF(_epmOfflineCondition_,"T4",_xll.EVPRO($B$1,$H47,"STYLE"))</f>
        <v>T4</v>
      </c>
      <c r="J47" s="122" t="str">
        <f>IF(_epmOfflineCondition_,"Y",_xll.EVPRO($B$1,$H47,"CALC"))</f>
        <v>Y</v>
      </c>
      <c r="K47" s="179" t="str">
        <f t="shared" si="12"/>
        <v>&gt;</v>
      </c>
      <c r="L47" s="90" t="str">
        <f>IF(_epmOfflineCondition_,"",_xll.EVPRO($B$1,H47,"JDEID"))</f>
        <v/>
      </c>
      <c r="M47" s="90" t="str">
        <f>IF(_epmOfflineCondition_,"",IF(AND(I47="N",J47="N"),_xll.EVPRO($B$1,H47,"PSFTID"),""))</f>
        <v/>
      </c>
      <c r="N47" s="90" t="str">
        <f>IF(_epmOfflineCondition_,"Vacation Pay",IF(_xll.EVDES(H47,$B$1)="#NODATA","",_xll.EVDES(H47,$B$1)))</f>
        <v>Vacation Pay</v>
      </c>
      <c r="O47" s="217">
        <v>4894.51</v>
      </c>
      <c r="P47" s="217">
        <v>5271.85</v>
      </c>
      <c r="Q47" s="217">
        <v>8439.77</v>
      </c>
      <c r="R47" s="217">
        <v>6840.08</v>
      </c>
      <c r="S47" s="217">
        <v>7519.75</v>
      </c>
      <c r="T47" s="217">
        <v>7895.59</v>
      </c>
      <c r="U47" s="217">
        <v>4964.59</v>
      </c>
      <c r="V47" s="217">
        <v>6406.45</v>
      </c>
      <c r="W47" s="217">
        <v>4363.04</v>
      </c>
      <c r="X47" s="217">
        <v>11335</v>
      </c>
      <c r="Y47" s="217">
        <v>4229.53</v>
      </c>
      <c r="Z47" s="217">
        <v>8273.19</v>
      </c>
      <c r="AA47" s="217">
        <f t="shared" si="13"/>
        <v>80433.350000000006</v>
      </c>
      <c r="AB47" s="219">
        <f t="shared" si="14"/>
        <v>6.7554012541974039E-3</v>
      </c>
      <c r="AC47" s="140"/>
      <c r="AD47" s="217">
        <v>52892.628476146703</v>
      </c>
      <c r="AE47" s="219">
        <f t="shared" si="15"/>
        <v>6.347622070715782E-3</v>
      </c>
      <c r="AF47" s="220">
        <f t="shared" si="16"/>
        <v>27540.721523853303</v>
      </c>
      <c r="AG47" s="217">
        <v>49468.52</v>
      </c>
      <c r="AH47" s="219">
        <f t="shared" si="17"/>
        <v>9.4888244572827046E-3</v>
      </c>
      <c r="AI47" s="220">
        <f t="shared" si="18"/>
        <v>30964.830000000009</v>
      </c>
      <c r="AJ47" s="449">
        <f t="shared" si="19"/>
        <v>1.6694344126193443</v>
      </c>
      <c r="AK47" s="450">
        <f t="shared" si="20"/>
        <v>1.0978129613147924</v>
      </c>
      <c r="AL47" s="451">
        <f t="shared" si="21"/>
        <v>1.0239385659877462</v>
      </c>
      <c r="AM47" s="452" t="str">
        <f t="shared" si="22"/>
        <v>0.04 pts.</v>
      </c>
      <c r="AN47" s="453" t="str">
        <f t="shared" si="23"/>
        <v>-0.27 pts.</v>
      </c>
      <c r="AO47" s="11"/>
    </row>
    <row r="48" spans="1:41" x14ac:dyDescent="0.35">
      <c r="A48" s="65" t="s">
        <v>29</v>
      </c>
      <c r="B48" s="66"/>
      <c r="C48" s="11"/>
      <c r="D48" s="11"/>
      <c r="E48" s="11"/>
      <c r="F48" s="11"/>
      <c r="G48" s="11"/>
      <c r="H48" s="88" t="s">
        <v>852</v>
      </c>
      <c r="I48" s="188" t="str">
        <f>IF(_epmOfflineCondition_,"T3",_xll.EVPRO($B$1,$H48,"STYLE"))</f>
        <v>T3</v>
      </c>
      <c r="J48" s="188" t="str">
        <f>IF(_epmOfflineCondition_,"Y",_xll.EVPRO($B$1,$H48,"CALC"))</f>
        <v>Y</v>
      </c>
      <c r="K48" s="189" t="str">
        <f t="shared" si="12"/>
        <v/>
      </c>
      <c r="L48" s="190" t="str">
        <f>IF(_epmOfflineCondition_,"",_xll.EVPRO($B$1,H48,"JDEID"))</f>
        <v/>
      </c>
      <c r="M48" s="190" t="str">
        <f>IF(_epmOfflineCondition_,"",IF(AND(I48="N",J48="N"),_xll.EVPRO($B$1,H48,"PSFTID"),""))</f>
        <v/>
      </c>
      <c r="N48" s="190" t="str">
        <f>IF(_epmOfflineCondition_,"Supplemental Pay",IF(_xll.EVDES(H48,$B$1)="#NODATA","",_xll.EVDES(H48,$B$1)))</f>
        <v>Supplemental Pay</v>
      </c>
      <c r="O48" s="154">
        <v>14198.61</v>
      </c>
      <c r="P48" s="154">
        <v>6693.59</v>
      </c>
      <c r="Q48" s="154">
        <v>10714.35</v>
      </c>
      <c r="R48" s="154">
        <v>9150.35</v>
      </c>
      <c r="S48" s="154">
        <v>13577.05</v>
      </c>
      <c r="T48" s="154">
        <v>9588.58</v>
      </c>
      <c r="U48" s="154">
        <v>11720.93</v>
      </c>
      <c r="V48" s="154">
        <v>32053.72</v>
      </c>
      <c r="W48" s="154">
        <v>11018.49</v>
      </c>
      <c r="X48" s="154">
        <v>13267.61</v>
      </c>
      <c r="Y48" s="154">
        <v>11658.76</v>
      </c>
      <c r="Z48" s="154">
        <v>18867.72</v>
      </c>
      <c r="AA48" s="154">
        <f t="shared" si="13"/>
        <v>162509.76000000001</v>
      </c>
      <c r="AB48" s="155">
        <f t="shared" si="14"/>
        <v>1.3648799117820147E-2</v>
      </c>
      <c r="AC48" s="240"/>
      <c r="AD48" s="154">
        <v>142645.86999926099</v>
      </c>
      <c r="AE48" s="155">
        <f t="shared" si="15"/>
        <v>1.71188707914583E-2</v>
      </c>
      <c r="AF48" s="156">
        <f t="shared" si="16"/>
        <v>19863.890000739018</v>
      </c>
      <c r="AG48" s="154">
        <v>112937.94</v>
      </c>
      <c r="AH48" s="155">
        <f t="shared" si="17"/>
        <v>2.1663237291657943E-2</v>
      </c>
      <c r="AI48" s="156">
        <f t="shared" si="18"/>
        <v>49571.820000000007</v>
      </c>
      <c r="AJ48" s="246">
        <f t="shared" si="19"/>
        <v>3.372971357409714</v>
      </c>
      <c r="AK48" s="247">
        <f t="shared" si="20"/>
        <v>2.9606863843765252</v>
      </c>
      <c r="AL48" s="249">
        <f t="shared" si="21"/>
        <v>2.3376788375558868</v>
      </c>
      <c r="AM48" s="433" t="str">
        <f t="shared" si="22"/>
        <v>-0.35 pts.</v>
      </c>
      <c r="AN48" s="617" t="str">
        <f t="shared" si="23"/>
        <v>-0.8 pts.</v>
      </c>
      <c r="AO48" s="11"/>
    </row>
    <row r="49" spans="1:41" x14ac:dyDescent="0.35">
      <c r="A49" s="65" t="s">
        <v>30</v>
      </c>
      <c r="B49" s="66" t="s">
        <v>78</v>
      </c>
      <c r="C49" s="11"/>
      <c r="D49" s="11"/>
      <c r="E49" s="11"/>
      <c r="F49" s="11"/>
      <c r="G49" s="11"/>
      <c r="H49" s="11"/>
      <c r="I49" s="11"/>
      <c r="J49" s="11"/>
      <c r="K49" s="11"/>
      <c r="L49" s="11"/>
      <c r="M49" s="11"/>
      <c r="N49" s="90"/>
      <c r="O49" s="129"/>
      <c r="P49" s="130"/>
      <c r="Q49" s="130"/>
      <c r="R49" s="130"/>
      <c r="S49" s="130"/>
      <c r="T49" s="130"/>
      <c r="U49" s="130"/>
      <c r="V49" s="130"/>
      <c r="W49" s="130"/>
      <c r="X49" s="130"/>
      <c r="Y49" s="130"/>
      <c r="Z49" s="130"/>
      <c r="AA49" s="130"/>
      <c r="AB49" s="131"/>
      <c r="AC49" s="11"/>
      <c r="AD49" s="129"/>
      <c r="AE49" s="130"/>
      <c r="AF49" s="131"/>
      <c r="AG49" s="129"/>
      <c r="AH49" s="130"/>
      <c r="AI49" s="131"/>
      <c r="AJ49" s="11"/>
      <c r="AK49" s="11"/>
      <c r="AL49" s="11"/>
      <c r="AM49" s="11"/>
      <c r="AN49" s="11"/>
      <c r="AO49" s="11"/>
    </row>
    <row r="50" spans="1:41" x14ac:dyDescent="0.35">
      <c r="A50" s="65" t="s">
        <v>31</v>
      </c>
      <c r="B50" s="66" t="s">
        <v>78</v>
      </c>
      <c r="C50" s="11"/>
      <c r="D50" s="11"/>
      <c r="E50" s="11"/>
      <c r="F50" s="11"/>
      <c r="G50" s="11"/>
      <c r="H50" s="11"/>
      <c r="I50" s="59"/>
      <c r="J50" s="59"/>
      <c r="K50" s="11"/>
      <c r="L50" s="59"/>
      <c r="M50" s="59"/>
      <c r="N50" s="53" t="s">
        <v>562</v>
      </c>
      <c r="O50" s="119"/>
      <c r="P50" s="120"/>
      <c r="Q50" s="120"/>
      <c r="R50" s="120"/>
      <c r="S50" s="120"/>
      <c r="T50" s="120"/>
      <c r="U50" s="120"/>
      <c r="V50" s="120"/>
      <c r="W50" s="120"/>
      <c r="X50" s="120"/>
      <c r="Y50" s="120"/>
      <c r="Z50" s="120"/>
      <c r="AA50" s="120"/>
      <c r="AB50" s="121"/>
      <c r="AC50" s="11"/>
      <c r="AD50" s="119"/>
      <c r="AE50" s="120"/>
      <c r="AF50" s="121"/>
      <c r="AG50" s="119"/>
      <c r="AH50" s="120"/>
      <c r="AI50" s="121"/>
      <c r="AJ50" s="11"/>
      <c r="AK50" s="11"/>
      <c r="AL50" s="11"/>
      <c r="AM50" s="11"/>
      <c r="AN50" s="11"/>
      <c r="AO50" s="11"/>
    </row>
    <row r="51" spans="1:41" x14ac:dyDescent="0.35">
      <c r="A51" s="65" t="s">
        <v>32</v>
      </c>
      <c r="B51" s="66"/>
      <c r="C51" s="11"/>
      <c r="D51" s="11"/>
      <c r="E51" s="11"/>
      <c r="F51" s="11"/>
      <c r="G51" s="11"/>
      <c r="H51" s="88" t="s">
        <v>913</v>
      </c>
      <c r="I51" s="122" t="str">
        <f>IF(_epmOfflineCondition_,"N",_xll.EVPRO($B$1,$H51,"STYLE"))</f>
        <v>N</v>
      </c>
      <c r="J51" s="122" t="str">
        <f>IF(_epmOfflineCondition_,"N",_xll.EVPRO($B$1,$H51,"CALC"))</f>
        <v>N</v>
      </c>
      <c r="K51" s="179" t="str">
        <f t="shared" ref="K51:K61" si="24">IF(AND(I51&gt;="T4"),"&gt;","")</f>
        <v/>
      </c>
      <c r="L51" s="90" t="str">
        <f>IF(_epmOfflineCondition_,"693040",_xll.EVPRO($B$1,H51,"JDEID"))</f>
        <v>693040</v>
      </c>
      <c r="M51" s="90" t="str">
        <f>IF(_epmOfflineCondition_,"490120",IF(AND(I51="N",J51="N"),_xll.EVPRO($B$1,H51,"PSFTID"),""))</f>
        <v>490120</v>
      </c>
      <c r="N51" s="90" t="str">
        <f>IF(_epmOfflineCondition_,"Automobile Allowance",IF(_xll.EVDES(H51,$B$1)="#NODATA","",_xll.EVDES(H51,$B$1)))</f>
        <v>Automobile Allowance</v>
      </c>
      <c r="O51" s="143">
        <v>-50</v>
      </c>
      <c r="P51" s="143"/>
      <c r="Q51" s="143"/>
      <c r="R51" s="143"/>
      <c r="S51" s="143"/>
      <c r="T51" s="143"/>
      <c r="U51" s="143"/>
      <c r="V51" s="143"/>
      <c r="W51" s="143"/>
      <c r="X51" s="143"/>
      <c r="Y51" s="143"/>
      <c r="Z51" s="143"/>
      <c r="AA51" s="143">
        <f t="shared" ref="AA51:AA61" si="25">IF($I51="B1","",SUM(O51:Z51))</f>
        <v>-50</v>
      </c>
      <c r="AB51" s="144">
        <f t="shared" ref="AB51:AB61" si="26">IF(AA51=0,"",IFERROR(AA51/AA$19,""))</f>
        <v>-4.1993782766709352E-6</v>
      </c>
      <c r="AC51" s="140"/>
      <c r="AD51" s="143"/>
      <c r="AE51" s="144" t="str">
        <f t="shared" ref="AE51:AE61" si="27">IF(AD51=0,"",IFERROR(AD51/AD$19,""))</f>
        <v/>
      </c>
      <c r="AF51" s="145">
        <f t="shared" ref="AF51:AF61" si="28">IF(AND($AA51="",AD51=""),"",$AA51-AD51)</f>
        <v>-50</v>
      </c>
      <c r="AG51" s="143">
        <v>-659.18</v>
      </c>
      <c r="AH51" s="144">
        <f t="shared" ref="AH51:AH61" si="29">IF(AG51=0,"",IFERROR(AG51/AG$19,""))</f>
        <v>-1.2644088211556792E-4</v>
      </c>
      <c r="AI51" s="145">
        <f t="shared" ref="AI51:AI61" si="30">IF(AND($AA51="",AG51=""),"",$AA51-AG51)</f>
        <v>609.17999999999995</v>
      </c>
      <c r="AJ51" s="440">
        <f t="shared" ref="AJ51:AJ61" si="31">IFERROR(AA51/AA$20,0)</f>
        <v>-1.0377750103777502E-3</v>
      </c>
      <c r="AK51" s="441">
        <f t="shared" ref="AK51:AK61" si="32">IFERROR(AD51/AD$20,0)</f>
        <v>0</v>
      </c>
      <c r="AL51" s="442">
        <f t="shared" ref="AL51:AL61" si="33">IFERROR(AG51/AG$20,0)</f>
        <v>-1.3644229177016061E-2</v>
      </c>
      <c r="AM51" s="443">
        <f t="shared" ref="AM51:AM61" si="34">+IFERROR(ROUND(($AB51-AE51)*100,2)&amp;" pts.",0)</f>
        <v>0</v>
      </c>
      <c r="AN51" s="444" t="str">
        <f t="shared" ref="AN51:AN61" si="35">+IFERROR(ROUND(($AB51-AH51)*100,2)&amp;" pts.",0)</f>
        <v>0.01 pts.</v>
      </c>
      <c r="AO51" s="11"/>
    </row>
    <row r="52" spans="1:41" x14ac:dyDescent="0.35">
      <c r="A52" s="65" t="s">
        <v>33</v>
      </c>
      <c r="B52" s="66"/>
      <c r="C52" s="11"/>
      <c r="D52" s="11"/>
      <c r="E52" s="11"/>
      <c r="F52" s="11"/>
      <c r="G52" s="11"/>
      <c r="H52" s="88" t="s">
        <v>914</v>
      </c>
      <c r="I52" s="122" t="str">
        <f>IF(_epmOfflineCondition_,"T4",_xll.EVPRO($B$1,$H52,"STYLE"))</f>
        <v>T4</v>
      </c>
      <c r="J52" s="122" t="str">
        <f>IF(_epmOfflineCondition_,"Y",_xll.EVPRO($B$1,$H52,"CALC"))</f>
        <v>Y</v>
      </c>
      <c r="K52" s="179" t="str">
        <f t="shared" si="24"/>
        <v>&gt;</v>
      </c>
      <c r="L52" s="90" t="str">
        <f>IF(_epmOfflineCondition_,"",_xll.EVPRO($B$1,H52,"JDEID"))</f>
        <v/>
      </c>
      <c r="M52" s="90" t="str">
        <f>IF(_epmOfflineCondition_,"",IF(AND(I52="N",J52="N"),_xll.EVPRO($B$1,H52,"PSFTID"),""))</f>
        <v/>
      </c>
      <c r="N52" s="90" t="str">
        <f>IF(_epmOfflineCondition_,"Contributory Savings Plan",IF(_xll.EVDES(H52,$B$1)="#NODATA","",_xll.EVDES(H52,$B$1)))</f>
        <v>Contributory Savings Plan</v>
      </c>
      <c r="O52" s="143">
        <v>1862.84</v>
      </c>
      <c r="P52" s="143">
        <v>1167.4100000000001</v>
      </c>
      <c r="Q52" s="143">
        <v>1055.27</v>
      </c>
      <c r="R52" s="143">
        <v>1741.8</v>
      </c>
      <c r="S52" s="143">
        <v>1355.97</v>
      </c>
      <c r="T52" s="143">
        <v>1249.46</v>
      </c>
      <c r="U52" s="143">
        <v>790.35</v>
      </c>
      <c r="V52" s="143">
        <v>1221.03</v>
      </c>
      <c r="W52" s="143">
        <v>432.73</v>
      </c>
      <c r="X52" s="143">
        <v>865.99</v>
      </c>
      <c r="Y52" s="143">
        <v>994.3</v>
      </c>
      <c r="Z52" s="143">
        <v>2236.23</v>
      </c>
      <c r="AA52" s="143">
        <f t="shared" si="25"/>
        <v>14973.38</v>
      </c>
      <c r="AB52" s="144">
        <f t="shared" si="26"/>
        <v>1.2575777340067809E-3</v>
      </c>
      <c r="AC52" s="140"/>
      <c r="AD52" s="143">
        <v>9420.6287529779001</v>
      </c>
      <c r="AE52" s="144">
        <f t="shared" si="27"/>
        <v>1.1305656896856606E-3</v>
      </c>
      <c r="AF52" s="145">
        <f t="shared" si="28"/>
        <v>5552.7512470220991</v>
      </c>
      <c r="AG52" s="143">
        <v>4258.12</v>
      </c>
      <c r="AH52" s="144">
        <f t="shared" si="29"/>
        <v>8.1677303460957868E-4</v>
      </c>
      <c r="AI52" s="145">
        <f t="shared" si="30"/>
        <v>10715.259999999998</v>
      </c>
      <c r="AJ52" s="440">
        <f t="shared" si="31"/>
        <v>0.31077999169779991</v>
      </c>
      <c r="AK52" s="441">
        <f t="shared" si="32"/>
        <v>0.19552986203773143</v>
      </c>
      <c r="AL52" s="442">
        <f t="shared" si="33"/>
        <v>8.8137936744494119E-2</v>
      </c>
      <c r="AM52" s="443" t="str">
        <f t="shared" si="34"/>
        <v>0.01 pts.</v>
      </c>
      <c r="AN52" s="444" t="str">
        <f t="shared" si="35"/>
        <v>0.04 pts.</v>
      </c>
      <c r="AO52" s="11"/>
    </row>
    <row r="53" spans="1:41" x14ac:dyDescent="0.35">
      <c r="A53" s="65" t="s">
        <v>34</v>
      </c>
      <c r="B53" s="66"/>
      <c r="C53" s="11"/>
      <c r="D53" s="11"/>
      <c r="E53" s="11"/>
      <c r="F53" s="11"/>
      <c r="G53" s="11"/>
      <c r="H53" s="88" t="s">
        <v>915</v>
      </c>
      <c r="I53" s="122" t="str">
        <f>IF(_epmOfflineCondition_,"N",_xll.EVPRO($B$1,$H53,"STYLE"))</f>
        <v>N</v>
      </c>
      <c r="J53" s="122" t="str">
        <f>IF(_epmOfflineCondition_,"N",_xll.EVPRO($B$1,$H53,"CALC"))</f>
        <v>N</v>
      </c>
      <c r="K53" s="179" t="str">
        <f t="shared" si="24"/>
        <v/>
      </c>
      <c r="L53" s="90" t="str">
        <f>IF(_epmOfflineCondition_,"693160",_xll.EVPRO($B$1,H53,"JDEID"))</f>
        <v>693160</v>
      </c>
      <c r="M53" s="90" t="str">
        <f>IF(_epmOfflineCondition_,"490700",IF(AND(I53="N",J53="N"),_xll.EVPRO($B$1,H53,"PSFTID"),""))</f>
        <v>490700</v>
      </c>
      <c r="N53" s="90" t="str">
        <f>IF(_epmOfflineCondition_,"Dental Insurance",IF(_xll.EVDES(H53,$B$1)="#NODATA","",_xll.EVDES(H53,$B$1)))</f>
        <v>Dental Insurance</v>
      </c>
      <c r="O53" s="143">
        <v>382.38</v>
      </c>
      <c r="P53" s="143">
        <v>352.22</v>
      </c>
      <c r="Q53" s="143">
        <v>382</v>
      </c>
      <c r="R53" s="143">
        <v>429.17</v>
      </c>
      <c r="S53" s="143">
        <v>299.95</v>
      </c>
      <c r="T53" s="143">
        <v>291.07</v>
      </c>
      <c r="U53" s="143">
        <v>428.8</v>
      </c>
      <c r="V53" s="143">
        <v>357.58</v>
      </c>
      <c r="W53" s="143">
        <v>335</v>
      </c>
      <c r="X53" s="143">
        <v>395.04</v>
      </c>
      <c r="Y53" s="143">
        <v>397.74</v>
      </c>
      <c r="Z53" s="143">
        <v>397.74</v>
      </c>
      <c r="AA53" s="143">
        <f t="shared" si="25"/>
        <v>4448.6899999999996</v>
      </c>
      <c r="AB53" s="144">
        <f t="shared" si="26"/>
        <v>3.7363464291286446E-4</v>
      </c>
      <c r="AC53" s="140"/>
      <c r="AD53" s="143">
        <v>8870.76</v>
      </c>
      <c r="AE53" s="144">
        <f t="shared" si="27"/>
        <v>1.0645761721865719E-3</v>
      </c>
      <c r="AF53" s="145">
        <f t="shared" si="28"/>
        <v>-4422.0700000000006</v>
      </c>
      <c r="AG53" s="143">
        <v>4072.74</v>
      </c>
      <c r="AH53" s="144">
        <f t="shared" si="29"/>
        <v>7.8121429386109726E-4</v>
      </c>
      <c r="AI53" s="145">
        <f t="shared" si="30"/>
        <v>375.94999999999982</v>
      </c>
      <c r="AJ53" s="440">
        <f t="shared" si="31"/>
        <v>9.2334786218347856E-2</v>
      </c>
      <c r="AK53" s="441">
        <f t="shared" si="32"/>
        <v>0.18411706102117062</v>
      </c>
      <c r="AL53" s="442">
        <f t="shared" si="33"/>
        <v>8.4300794833581716E-2</v>
      </c>
      <c r="AM53" s="443" t="str">
        <f t="shared" si="34"/>
        <v>-0.07 pts.</v>
      </c>
      <c r="AN53" s="444" t="str">
        <f t="shared" si="35"/>
        <v>-0.04 pts.</v>
      </c>
      <c r="AO53" s="11"/>
    </row>
    <row r="54" spans="1:41" x14ac:dyDescent="0.35">
      <c r="A54" s="65" t="s">
        <v>35</v>
      </c>
      <c r="B54" s="66"/>
      <c r="C54" s="11"/>
      <c r="D54" s="11"/>
      <c r="E54" s="11"/>
      <c r="F54" s="11"/>
      <c r="G54" s="11"/>
      <c r="H54" s="88" t="s">
        <v>916</v>
      </c>
      <c r="I54" s="122" t="str">
        <f>IF(_epmOfflineCondition_,"N",_xll.EVPRO($B$1,$H54,"STYLE"))</f>
        <v>N</v>
      </c>
      <c r="J54" s="122" t="str">
        <f>IF(_epmOfflineCondition_,"N",_xll.EVPRO($B$1,$H54,"CALC"))</f>
        <v>N</v>
      </c>
      <c r="K54" s="179" t="str">
        <f t="shared" si="24"/>
        <v/>
      </c>
      <c r="L54" s="90" t="str">
        <f>IF(_epmOfflineCondition_,"693200",_xll.EVPRO($B$1,H54,"JDEID"))</f>
        <v>693200</v>
      </c>
      <c r="M54" s="90" t="str">
        <f>IF(_epmOfflineCondition_,"490046",IF(AND(I54="N",J54="N"),_xll.EVPRO($B$1,H54,"PSFTID"),""))</f>
        <v>490046</v>
      </c>
      <c r="N54" s="90" t="str">
        <f>IF(_epmOfflineCondition_,"Disability Insurance",IF(_xll.EVDES(H54,$B$1)="#NODATA","",_xll.EVDES(H54,$B$1)))</f>
        <v>Disability Insurance</v>
      </c>
      <c r="O54" s="143">
        <v>-0.06</v>
      </c>
      <c r="P54" s="143">
        <v>7.06</v>
      </c>
      <c r="Q54" s="143">
        <v>-7.0000000000000007E-2</v>
      </c>
      <c r="R54" s="143">
        <v>-7.0000000000000007E-2</v>
      </c>
      <c r="S54" s="143">
        <v>-7.0000000000000007E-2</v>
      </c>
      <c r="T54" s="143">
        <v>-7.0000000000000007E-2</v>
      </c>
      <c r="U54" s="143">
        <v>14.37</v>
      </c>
      <c r="V54" s="143">
        <v>-0.06</v>
      </c>
      <c r="W54" s="143">
        <v>-0.06</v>
      </c>
      <c r="X54" s="143">
        <v>4.3099999999999996</v>
      </c>
      <c r="Y54" s="143">
        <v>-5.41</v>
      </c>
      <c r="Z54" s="143">
        <v>-5.41</v>
      </c>
      <c r="AA54" s="143">
        <f t="shared" si="25"/>
        <v>14.459999999999997</v>
      </c>
      <c r="AB54" s="144">
        <f t="shared" si="26"/>
        <v>1.2144601976132342E-6</v>
      </c>
      <c r="AC54" s="140"/>
      <c r="AD54" s="143">
        <v>-508.08</v>
      </c>
      <c r="AE54" s="144">
        <f t="shared" si="27"/>
        <v>-6.0974466851155196E-5</v>
      </c>
      <c r="AF54" s="145">
        <f t="shared" si="28"/>
        <v>522.54</v>
      </c>
      <c r="AG54" s="143">
        <v>493.78</v>
      </c>
      <c r="AH54" s="144">
        <f t="shared" si="29"/>
        <v>9.4714613263486639E-5</v>
      </c>
      <c r="AI54" s="145">
        <f t="shared" si="30"/>
        <v>-479.32</v>
      </c>
      <c r="AJ54" s="440">
        <f t="shared" si="31"/>
        <v>3.0012453300124527E-4</v>
      </c>
      <c r="AK54" s="441">
        <f t="shared" si="32"/>
        <v>-1.0545454545454545E-2</v>
      </c>
      <c r="AL54" s="442">
        <f t="shared" si="33"/>
        <v>1.0220649114091736E-2</v>
      </c>
      <c r="AM54" s="443" t="str">
        <f t="shared" si="34"/>
        <v>0.01 pts.</v>
      </c>
      <c r="AN54" s="444" t="str">
        <f t="shared" si="35"/>
        <v>-0.01 pts.</v>
      </c>
      <c r="AO54" s="11"/>
    </row>
    <row r="55" spans="1:41" x14ac:dyDescent="0.35">
      <c r="A55" s="65" t="s">
        <v>36</v>
      </c>
      <c r="B55" s="66"/>
      <c r="C55" s="11"/>
      <c r="D55" s="11"/>
      <c r="E55" s="11"/>
      <c r="F55" s="11"/>
      <c r="G55" s="11"/>
      <c r="H55" s="88" t="s">
        <v>917</v>
      </c>
      <c r="I55" s="122" t="str">
        <f>IF(_epmOfflineCondition_,"N",_xll.EVPRO($B$1,$H55,"STYLE"))</f>
        <v>N</v>
      </c>
      <c r="J55" s="122" t="str">
        <f>IF(_epmOfflineCondition_,"N",_xll.EVPRO($B$1,$H55,"CALC"))</f>
        <v>N</v>
      </c>
      <c r="K55" s="179" t="str">
        <f t="shared" si="24"/>
        <v/>
      </c>
      <c r="L55" s="90" t="str">
        <f>IF(_epmOfflineCondition_,"693280",_xll.EVPRO($B$1,H55,"JDEID"))</f>
        <v>693280</v>
      </c>
      <c r="M55" s="90" t="str">
        <f>IF(_epmOfflineCondition_,"490043",IF(AND(I55="N",J55="N"),_xll.EVPRO($B$1,H55,"PSFTID"),""))</f>
        <v>490043</v>
      </c>
      <c r="N55" s="90" t="str">
        <f>IF(_epmOfflineCondition_,"Group Life Insurance",IF(_xll.EVDES(H55,$B$1)="#NODATA","",_xll.EVDES(H55,$B$1)))</f>
        <v>Group Life Insurance</v>
      </c>
      <c r="O55" s="143">
        <v>52.56</v>
      </c>
      <c r="P55" s="143">
        <v>52.56</v>
      </c>
      <c r="Q55" s="143">
        <v>53.7</v>
      </c>
      <c r="R55" s="143">
        <v>66.010000000000005</v>
      </c>
      <c r="S55" s="143">
        <v>48.09</v>
      </c>
      <c r="T55" s="143">
        <v>48.09</v>
      </c>
      <c r="U55" s="143">
        <v>61.35</v>
      </c>
      <c r="V55" s="143">
        <v>54.34</v>
      </c>
      <c r="W55" s="143">
        <v>50.7</v>
      </c>
      <c r="X55" s="143">
        <v>59.7</v>
      </c>
      <c r="Y55" s="143">
        <v>61.11</v>
      </c>
      <c r="Z55" s="143">
        <v>61.11</v>
      </c>
      <c r="AA55" s="143">
        <f t="shared" si="25"/>
        <v>669.32</v>
      </c>
      <c r="AB55" s="144">
        <f t="shared" si="26"/>
        <v>5.6214557362827814E-5</v>
      </c>
      <c r="AC55" s="140"/>
      <c r="AD55" s="143">
        <v>4013.64</v>
      </c>
      <c r="AE55" s="144">
        <f t="shared" si="27"/>
        <v>4.8167524628497585E-4</v>
      </c>
      <c r="AF55" s="145">
        <f t="shared" si="28"/>
        <v>-3344.3199999999997</v>
      </c>
      <c r="AG55" s="143">
        <v>711.28</v>
      </c>
      <c r="AH55" s="144">
        <f t="shared" si="29"/>
        <v>1.3643446498856328E-4</v>
      </c>
      <c r="AI55" s="145">
        <f t="shared" si="30"/>
        <v>-41.959999999999923</v>
      </c>
      <c r="AJ55" s="440">
        <f t="shared" si="31"/>
        <v>1.3892071398920715E-2</v>
      </c>
      <c r="AK55" s="441">
        <f t="shared" si="32"/>
        <v>8.3305105853051051E-2</v>
      </c>
      <c r="AL55" s="442">
        <f t="shared" si="33"/>
        <v>1.4722636198046033E-2</v>
      </c>
      <c r="AM55" s="443" t="str">
        <f t="shared" si="34"/>
        <v>-0.04 pts.</v>
      </c>
      <c r="AN55" s="444" t="str">
        <f t="shared" si="35"/>
        <v>-0.01 pts.</v>
      </c>
      <c r="AO55" s="11"/>
    </row>
    <row r="56" spans="1:41" x14ac:dyDescent="0.35">
      <c r="A56" s="65" t="s">
        <v>37</v>
      </c>
      <c r="B56" s="66"/>
      <c r="C56" s="11"/>
      <c r="D56" s="11"/>
      <c r="E56" s="11"/>
      <c r="F56" s="11"/>
      <c r="G56" s="11"/>
      <c r="H56" s="88" t="s">
        <v>918</v>
      </c>
      <c r="I56" s="122" t="str">
        <f>IF(_epmOfflineCondition_,"T4",_xll.EVPRO($B$1,$H56,"STYLE"))</f>
        <v>T4</v>
      </c>
      <c r="J56" s="122" t="str">
        <f>IF(_epmOfflineCondition_,"Y",_xll.EVPRO($B$1,$H56,"CALC"))</f>
        <v>Y</v>
      </c>
      <c r="K56" s="179" t="str">
        <f t="shared" si="24"/>
        <v>&gt;</v>
      </c>
      <c r="L56" s="90" t="str">
        <f>IF(_epmOfflineCondition_,"",_xll.EVPRO($B$1,H56,"JDEID"))</f>
        <v/>
      </c>
      <c r="M56" s="90" t="str">
        <f>IF(_epmOfflineCondition_,"",IF(AND(I56="N",J56="N"),_xll.EVPRO($B$1,H56,"PSFTID"),""))</f>
        <v/>
      </c>
      <c r="N56" s="90" t="str">
        <f>IF(_epmOfflineCondition_,"Health Insurance",IF(_xll.EVDES(H56,$B$1)="#NODATA","",_xll.EVDES(H56,$B$1)))</f>
        <v>Health Insurance</v>
      </c>
      <c r="O56" s="143">
        <v>13876.9</v>
      </c>
      <c r="P56" s="143">
        <v>13626.76</v>
      </c>
      <c r="Q56" s="143">
        <v>13929.46</v>
      </c>
      <c r="R56" s="143">
        <v>13986.68</v>
      </c>
      <c r="S56" s="143">
        <v>11172.44</v>
      </c>
      <c r="T56" s="143">
        <v>10676.1</v>
      </c>
      <c r="U56" s="143">
        <v>12328.09</v>
      </c>
      <c r="V56" s="143">
        <v>12725.49</v>
      </c>
      <c r="W56" s="143">
        <v>12064.13</v>
      </c>
      <c r="X56" s="143">
        <v>13707.62</v>
      </c>
      <c r="Y56" s="143">
        <v>14241.62</v>
      </c>
      <c r="Z56" s="143">
        <v>14241.29</v>
      </c>
      <c r="AA56" s="143">
        <f t="shared" si="25"/>
        <v>156576.58000000002</v>
      </c>
      <c r="AB56" s="144">
        <f t="shared" si="26"/>
        <v>1.3150485773748579E-2</v>
      </c>
      <c r="AC56" s="140"/>
      <c r="AD56" s="143">
        <v>-11465.88</v>
      </c>
      <c r="AE56" s="144">
        <f t="shared" si="27"/>
        <v>-1.3760154306001482E-3</v>
      </c>
      <c r="AF56" s="145">
        <f t="shared" si="28"/>
        <v>168042.46000000002</v>
      </c>
      <c r="AG56" s="143">
        <v>55736.93</v>
      </c>
      <c r="AH56" s="144">
        <f t="shared" si="29"/>
        <v>1.0691202092924028E-2</v>
      </c>
      <c r="AI56" s="145">
        <f t="shared" si="30"/>
        <v>100839.65000000002</v>
      </c>
      <c r="AJ56" s="440">
        <f t="shared" si="31"/>
        <v>3.2498252386882527</v>
      </c>
      <c r="AK56" s="441">
        <f t="shared" si="32"/>
        <v>-0.23798007471980073</v>
      </c>
      <c r="AL56" s="442">
        <f t="shared" si="33"/>
        <v>1.1536870756747806</v>
      </c>
      <c r="AM56" s="443" t="str">
        <f t="shared" si="34"/>
        <v>1.45 pts.</v>
      </c>
      <c r="AN56" s="444" t="str">
        <f t="shared" si="35"/>
        <v>0.25 pts.</v>
      </c>
      <c r="AO56" s="11"/>
    </row>
    <row r="57" spans="1:41" x14ac:dyDescent="0.35">
      <c r="A57" s="65" t="s">
        <v>38</v>
      </c>
      <c r="B57" s="66"/>
      <c r="C57" s="11"/>
      <c r="D57" s="11"/>
      <c r="E57" s="11"/>
      <c r="F57" s="11"/>
      <c r="G57" s="11"/>
      <c r="H57" s="88" t="s">
        <v>919</v>
      </c>
      <c r="I57" s="122" t="str">
        <f>IF(_epmOfflineCondition_,"N",_xll.EVPRO($B$1,$H57,"STYLE"))</f>
        <v>N</v>
      </c>
      <c r="J57" s="122" t="str">
        <f>IF(_epmOfflineCondition_,"N",_xll.EVPRO($B$1,$H57,"CALC"))</f>
        <v>N</v>
      </c>
      <c r="K57" s="179" t="str">
        <f t="shared" si="24"/>
        <v/>
      </c>
      <c r="L57" s="90" t="str">
        <f>IF(_epmOfflineCondition_,"693360",_xll.EVPRO($B$1,H57,"JDEID"))</f>
        <v>693360</v>
      </c>
      <c r="M57" s="90" t="str">
        <f>IF(_epmOfflineCondition_,"490130",IF(AND(I57="N",J57="N"),_xll.EVPRO($B$1,H57,"PSFTID"),""))</f>
        <v>490130</v>
      </c>
      <c r="N57" s="90" t="str">
        <f>IF(_epmOfflineCondition_,"Housing and Educational",IF(_xll.EVDES(H57,$B$1)="#NODATA","",_xll.EVDES(H57,$B$1)))</f>
        <v>Housing and Educational</v>
      </c>
      <c r="O57" s="143"/>
      <c r="P57" s="143">
        <v>600</v>
      </c>
      <c r="Q57" s="143"/>
      <c r="R57" s="143"/>
      <c r="S57" s="143"/>
      <c r="T57" s="143"/>
      <c r="U57" s="143"/>
      <c r="V57" s="143"/>
      <c r="W57" s="143"/>
      <c r="X57" s="143"/>
      <c r="Y57" s="143"/>
      <c r="Z57" s="143"/>
      <c r="AA57" s="143">
        <f t="shared" si="25"/>
        <v>600</v>
      </c>
      <c r="AB57" s="144">
        <f t="shared" si="26"/>
        <v>5.0392539320051225E-5</v>
      </c>
      <c r="AC57" s="140"/>
      <c r="AD57" s="143"/>
      <c r="AE57" s="144" t="str">
        <f t="shared" si="27"/>
        <v/>
      </c>
      <c r="AF57" s="145">
        <f t="shared" si="28"/>
        <v>600</v>
      </c>
      <c r="AG57" s="143"/>
      <c r="AH57" s="144" t="str">
        <f t="shared" si="29"/>
        <v/>
      </c>
      <c r="AI57" s="145">
        <f t="shared" si="30"/>
        <v>600</v>
      </c>
      <c r="AJ57" s="440">
        <f t="shared" si="31"/>
        <v>1.2453300124533001E-2</v>
      </c>
      <c r="AK57" s="441">
        <f t="shared" si="32"/>
        <v>0</v>
      </c>
      <c r="AL57" s="442">
        <f t="shared" si="33"/>
        <v>0</v>
      </c>
      <c r="AM57" s="443">
        <f t="shared" si="34"/>
        <v>0</v>
      </c>
      <c r="AN57" s="444">
        <f t="shared" si="35"/>
        <v>0</v>
      </c>
      <c r="AO57" s="11"/>
    </row>
    <row r="58" spans="1:41" x14ac:dyDescent="0.35">
      <c r="A58" s="65" t="s">
        <v>39</v>
      </c>
      <c r="B58" s="66"/>
      <c r="C58" s="11"/>
      <c r="D58" s="11"/>
      <c r="E58" s="11"/>
      <c r="F58" s="11"/>
      <c r="G58" s="11"/>
      <c r="H58" s="88" t="s">
        <v>920</v>
      </c>
      <c r="I58" s="122" t="str">
        <f>IF(_epmOfflineCondition_,"T4",_xll.EVPRO($B$1,$H58,"STYLE"))</f>
        <v>T4</v>
      </c>
      <c r="J58" s="122" t="str">
        <f>IF(_epmOfflineCondition_,"Y",_xll.EVPRO($B$1,$H58,"CALC"))</f>
        <v>Y</v>
      </c>
      <c r="K58" s="179" t="str">
        <f t="shared" si="24"/>
        <v>&gt;</v>
      </c>
      <c r="L58" s="90" t="str">
        <f>IF(_epmOfflineCondition_,"",_xll.EVPRO($B$1,H58,"JDEID"))</f>
        <v/>
      </c>
      <c r="M58" s="90" t="str">
        <f>IF(_epmOfflineCondition_,"",IF(AND(I58="N",J58="N"),_xll.EVPRO($B$1,H58,"PSFTID"),""))</f>
        <v/>
      </c>
      <c r="N58" s="90" t="str">
        <f>IF(_epmOfflineCondition_,"Meals",IF(_xll.EVDES(H58,$B$1)="#NODATA","",_xll.EVDES(H58,$B$1)))</f>
        <v>Meals</v>
      </c>
      <c r="O58" s="143">
        <v>1000</v>
      </c>
      <c r="P58" s="143">
        <v>1240</v>
      </c>
      <c r="Q58" s="143"/>
      <c r="R58" s="143">
        <v>3400</v>
      </c>
      <c r="S58" s="143">
        <v>2003.51</v>
      </c>
      <c r="T58" s="143">
        <v>2000</v>
      </c>
      <c r="U58" s="143">
        <v>2000</v>
      </c>
      <c r="V58" s="143">
        <v>2000</v>
      </c>
      <c r="W58" s="143">
        <v>2000</v>
      </c>
      <c r="X58" s="143">
        <v>2000</v>
      </c>
      <c r="Y58" s="143">
        <v>2000</v>
      </c>
      <c r="Z58" s="143">
        <v>2000</v>
      </c>
      <c r="AA58" s="143">
        <f t="shared" si="25"/>
        <v>21643.510000000002</v>
      </c>
      <c r="AB58" s="144">
        <f t="shared" si="26"/>
        <v>1.8177857144982034E-3</v>
      </c>
      <c r="AC58" s="140"/>
      <c r="AD58" s="143">
        <v>902.07361374310005</v>
      </c>
      <c r="AE58" s="144">
        <f t="shared" si="27"/>
        <v>1.0825747452857902E-4</v>
      </c>
      <c r="AF58" s="145">
        <f t="shared" si="28"/>
        <v>20741.436386256901</v>
      </c>
      <c r="AG58" s="143">
        <v>1561.32</v>
      </c>
      <c r="AH58" s="144">
        <f t="shared" si="29"/>
        <v>2.9948523630067434E-4</v>
      </c>
      <c r="AI58" s="145">
        <f t="shared" si="30"/>
        <v>20082.190000000002</v>
      </c>
      <c r="AJ58" s="440">
        <f t="shared" si="31"/>
        <v>0.44922187629721883</v>
      </c>
      <c r="AK58" s="441">
        <f t="shared" si="32"/>
        <v>1.8722989077274804E-2</v>
      </c>
      <c r="AL58" s="442">
        <f t="shared" si="33"/>
        <v>3.2317436661698958E-2</v>
      </c>
      <c r="AM58" s="443" t="str">
        <f t="shared" si="34"/>
        <v>0.17 pts.</v>
      </c>
      <c r="AN58" s="444" t="str">
        <f t="shared" si="35"/>
        <v>0.15 pts.</v>
      </c>
      <c r="AO58" s="11"/>
    </row>
    <row r="59" spans="1:41" x14ac:dyDescent="0.35">
      <c r="A59" s="65" t="s">
        <v>40</v>
      </c>
      <c r="B59" s="66"/>
      <c r="C59" s="11"/>
      <c r="D59" s="11"/>
      <c r="E59" s="11"/>
      <c r="F59" s="11"/>
      <c r="G59" s="11"/>
      <c r="H59" s="88" t="s">
        <v>921</v>
      </c>
      <c r="I59" s="122" t="str">
        <f>IF(_epmOfflineCondition_,"N",_xll.EVPRO($B$1,$H59,"STYLE"))</f>
        <v>N</v>
      </c>
      <c r="J59" s="122" t="str">
        <f>IF(_epmOfflineCondition_,"N",_xll.EVPRO($B$1,$H59,"CALC"))</f>
        <v>N</v>
      </c>
      <c r="K59" s="179" t="str">
        <f t="shared" si="24"/>
        <v/>
      </c>
      <c r="L59" s="90" t="str">
        <f>IF(_epmOfflineCondition_,"693480",_xll.EVPRO($B$1,H59,"JDEID"))</f>
        <v>693480</v>
      </c>
      <c r="M59" s="90" t="str">
        <f>IF(_epmOfflineCondition_,"490750",IF(AND(I59="N",J59="N"),_xll.EVPRO($B$1,H59,"PSFTID"),""))</f>
        <v>490750</v>
      </c>
      <c r="N59" s="90" t="str">
        <f>IF(_epmOfflineCondition_,"Nonunion Insurance",IF(_xll.EVDES(H59,$B$1)="#NODATA","",_xll.EVDES(H59,$B$1)))</f>
        <v>Nonunion Insurance</v>
      </c>
      <c r="O59" s="143">
        <v>-5450.46</v>
      </c>
      <c r="P59" s="143">
        <v>-5253.64</v>
      </c>
      <c r="Q59" s="143">
        <v>-5719.38</v>
      </c>
      <c r="R59" s="143">
        <v>-10721.32</v>
      </c>
      <c r="S59" s="143">
        <v>-4455.6099999999997</v>
      </c>
      <c r="T59" s="143">
        <v>-4690.75</v>
      </c>
      <c r="U59" s="143">
        <v>-4564.97</v>
      </c>
      <c r="V59" s="143">
        <v>-5843.04</v>
      </c>
      <c r="W59" s="143">
        <v>-4559.3500000000004</v>
      </c>
      <c r="X59" s="143">
        <v>-5147.47</v>
      </c>
      <c r="Y59" s="143">
        <v>-5098.53</v>
      </c>
      <c r="Z59" s="143">
        <v>-5970.2</v>
      </c>
      <c r="AA59" s="143">
        <f t="shared" si="25"/>
        <v>-67474.720000000001</v>
      </c>
      <c r="AB59" s="144">
        <f t="shared" si="26"/>
        <v>-5.6670374678490778E-3</v>
      </c>
      <c r="AC59" s="140"/>
      <c r="AD59" s="143">
        <v>108076.17</v>
      </c>
      <c r="AE59" s="144">
        <f t="shared" si="27"/>
        <v>1.2970175651599775E-2</v>
      </c>
      <c r="AF59" s="145">
        <f t="shared" si="28"/>
        <v>-175550.89</v>
      </c>
      <c r="AG59" s="143">
        <v>36054.25</v>
      </c>
      <c r="AH59" s="144">
        <f t="shared" si="29"/>
        <v>6.9157607542935382E-3</v>
      </c>
      <c r="AI59" s="145">
        <f t="shared" si="30"/>
        <v>-103528.97</v>
      </c>
      <c r="AJ59" s="440">
        <f t="shared" si="31"/>
        <v>-1.4004715649647157</v>
      </c>
      <c r="AK59" s="441">
        <f t="shared" si="32"/>
        <v>2.2431749688667497</v>
      </c>
      <c r="AL59" s="442">
        <f t="shared" si="33"/>
        <v>0.74627939228349061</v>
      </c>
      <c r="AM59" s="443" t="str">
        <f t="shared" si="34"/>
        <v>-1.86 pts.</v>
      </c>
      <c r="AN59" s="444" t="str">
        <f t="shared" si="35"/>
        <v>-1.26 pts.</v>
      </c>
      <c r="AO59" s="11"/>
    </row>
    <row r="60" spans="1:41" x14ac:dyDescent="0.35">
      <c r="A60" s="65" t="s">
        <v>41</v>
      </c>
      <c r="B60" s="66"/>
      <c r="C60" s="11"/>
      <c r="D60" s="11"/>
      <c r="E60" s="11"/>
      <c r="F60" s="11"/>
      <c r="G60" s="11"/>
      <c r="H60" s="88" t="s">
        <v>922</v>
      </c>
      <c r="I60" s="122" t="str">
        <f>IF(_epmOfflineCondition_,"T4",_xll.EVPRO($B$1,$H60,"STYLE"))</f>
        <v>T4</v>
      </c>
      <c r="J60" s="122" t="str">
        <f>IF(_epmOfflineCondition_,"Y",_xll.EVPRO($B$1,$H60,"CALC"))</f>
        <v>Y</v>
      </c>
      <c r="K60" s="179" t="str">
        <f t="shared" si="24"/>
        <v>&gt;</v>
      </c>
      <c r="L60" s="90" t="str">
        <f>IF(_epmOfflineCondition_,"",_xll.EVPRO($B$1,H60,"JDEID"))</f>
        <v/>
      </c>
      <c r="M60" s="90" t="str">
        <f>IF(_epmOfflineCondition_,"",IF(AND(I60="N",J60="N"),_xll.EVPRO($B$1,H60,"PSFTID"),""))</f>
        <v/>
      </c>
      <c r="N60" s="90" t="str">
        <f>IF(_epmOfflineCondition_,"Workers Comp Expense",IF(_xll.EVDES(H60,$B$1)="#NODATA","",_xll.EVDES(H60,$B$1)))</f>
        <v>Workers Comp Expense</v>
      </c>
      <c r="O60" s="217">
        <v>4.9800000000000004</v>
      </c>
      <c r="P60" s="217">
        <v>4.9800000000000004</v>
      </c>
      <c r="Q60" s="217">
        <v>2751.01</v>
      </c>
      <c r="R60" s="217">
        <v>2750.99</v>
      </c>
      <c r="S60" s="217">
        <v>2751</v>
      </c>
      <c r="T60" s="217">
        <v>2751</v>
      </c>
      <c r="U60" s="217">
        <v>2751</v>
      </c>
      <c r="V60" s="217">
        <v>1786.05</v>
      </c>
      <c r="W60" s="217">
        <v>2429.37</v>
      </c>
      <c r="X60" s="217">
        <v>2429.31</v>
      </c>
      <c r="Y60" s="217">
        <v>2429.37</v>
      </c>
      <c r="Z60" s="217">
        <v>2726.46</v>
      </c>
      <c r="AA60" s="217">
        <f t="shared" si="25"/>
        <v>25565.519999999997</v>
      </c>
      <c r="AB60" s="219">
        <f t="shared" si="26"/>
        <v>2.1471857863959265E-3</v>
      </c>
      <c r="AC60" s="140"/>
      <c r="AD60" s="217">
        <v>34689.9300122813</v>
      </c>
      <c r="AE60" s="219">
        <f t="shared" si="27"/>
        <v>4.1631238930930955E-3</v>
      </c>
      <c r="AF60" s="220">
        <f t="shared" si="28"/>
        <v>-9124.4100122813034</v>
      </c>
      <c r="AG60" s="217">
        <v>27354.21</v>
      </c>
      <c r="AH60" s="219">
        <f t="shared" si="29"/>
        <v>5.246959012674063E-3</v>
      </c>
      <c r="AI60" s="220">
        <f t="shared" si="30"/>
        <v>-1788.6900000000023</v>
      </c>
      <c r="AJ60" s="449">
        <f t="shared" si="31"/>
        <v>0.53062515566625146</v>
      </c>
      <c r="AK60" s="450">
        <f t="shared" si="32"/>
        <v>0.72000684956997307</v>
      </c>
      <c r="AL60" s="451">
        <f t="shared" si="33"/>
        <v>0.56619908097367111</v>
      </c>
      <c r="AM60" s="452" t="str">
        <f t="shared" si="34"/>
        <v>-0.2 pts.</v>
      </c>
      <c r="AN60" s="453" t="str">
        <f t="shared" si="35"/>
        <v>-0.31 pts.</v>
      </c>
      <c r="AO60" s="11"/>
    </row>
    <row r="61" spans="1:41" x14ac:dyDescent="0.35">
      <c r="A61" s="65" t="s">
        <v>42</v>
      </c>
      <c r="B61" s="66"/>
      <c r="C61" s="11"/>
      <c r="D61" s="11"/>
      <c r="E61" s="11"/>
      <c r="F61" s="11"/>
      <c r="G61" s="11"/>
      <c r="H61" s="88" t="s">
        <v>853</v>
      </c>
      <c r="I61" s="188" t="str">
        <f>IF(_epmOfflineCondition_,"T3",_xll.EVPRO($B$1,$H61,"STYLE"))</f>
        <v>T3</v>
      </c>
      <c r="J61" s="188" t="str">
        <f>IF(_epmOfflineCondition_,"Y",_xll.EVPRO($B$1,$H61,"CALC"))</f>
        <v>Y</v>
      </c>
      <c r="K61" s="189" t="str">
        <f t="shared" si="24"/>
        <v/>
      </c>
      <c r="L61" s="190" t="str">
        <f>IF(_epmOfflineCondition_,"",_xll.EVPRO($B$1,H61,"JDEID"))</f>
        <v/>
      </c>
      <c r="M61" s="190" t="str">
        <f>IF(_epmOfflineCondition_,"",IF(AND(I61="N",J61="N"),_xll.EVPRO($B$1,H61,"PSFTID"),""))</f>
        <v/>
      </c>
      <c r="N61" s="190" t="str">
        <f>IF(_epmOfflineCondition_,"Employee Benefits",IF(_xll.EVDES(H61,$B$1)="#NODATA","",_xll.EVDES(H61,$B$1)))</f>
        <v>Employee Benefits</v>
      </c>
      <c r="O61" s="154">
        <v>11679.14</v>
      </c>
      <c r="P61" s="154">
        <v>11797.35</v>
      </c>
      <c r="Q61" s="154">
        <v>12451.99</v>
      </c>
      <c r="R61" s="154">
        <v>11653.26</v>
      </c>
      <c r="S61" s="154">
        <v>13175.28</v>
      </c>
      <c r="T61" s="154">
        <v>12324.9</v>
      </c>
      <c r="U61" s="154">
        <v>13808.99</v>
      </c>
      <c r="V61" s="154">
        <v>12301.39</v>
      </c>
      <c r="W61" s="154">
        <v>12752.52</v>
      </c>
      <c r="X61" s="154">
        <v>14314.5</v>
      </c>
      <c r="Y61" s="154">
        <v>15020.2</v>
      </c>
      <c r="Z61" s="154">
        <v>15687.22</v>
      </c>
      <c r="AA61" s="154">
        <f t="shared" si="25"/>
        <v>156966.74000000002</v>
      </c>
      <c r="AB61" s="155">
        <f t="shared" si="26"/>
        <v>1.3183254362317097E-2</v>
      </c>
      <c r="AC61" s="240"/>
      <c r="AD61" s="154">
        <v>153999.24237900201</v>
      </c>
      <c r="AE61" s="155">
        <f t="shared" si="27"/>
        <v>1.848138422992732E-2</v>
      </c>
      <c r="AF61" s="156">
        <f t="shared" si="28"/>
        <v>2967.4976209980086</v>
      </c>
      <c r="AG61" s="154">
        <v>129583.45</v>
      </c>
      <c r="AH61" s="155">
        <f t="shared" si="29"/>
        <v>2.4856102620799462E-2</v>
      </c>
      <c r="AI61" s="156">
        <f t="shared" si="30"/>
        <v>27383.290000000023</v>
      </c>
      <c r="AJ61" s="246">
        <f t="shared" si="31"/>
        <v>3.2579232046492326</v>
      </c>
      <c r="AK61" s="247">
        <f t="shared" si="32"/>
        <v>3.1963313071606891</v>
      </c>
      <c r="AL61" s="249">
        <f t="shared" si="33"/>
        <v>2.6822207733068386</v>
      </c>
      <c r="AM61" s="433" t="str">
        <f t="shared" si="34"/>
        <v>-0.53 pts.</v>
      </c>
      <c r="AN61" s="617" t="str">
        <f t="shared" si="35"/>
        <v>-1.17 pts.</v>
      </c>
      <c r="AO61" s="11"/>
    </row>
    <row r="62" spans="1:41" x14ac:dyDescent="0.35">
      <c r="A62" s="65" t="s">
        <v>43</v>
      </c>
      <c r="B62" s="66"/>
      <c r="C62" s="11"/>
      <c r="D62" s="11"/>
      <c r="E62" s="11"/>
      <c r="F62" s="11"/>
      <c r="G62" s="11"/>
      <c r="H62" s="106"/>
      <c r="I62" s="106"/>
      <c r="J62" s="106"/>
      <c r="K62" s="106"/>
      <c r="L62" s="106"/>
      <c r="M62" s="106"/>
      <c r="N62" s="106"/>
      <c r="O62" s="203"/>
      <c r="P62" s="204"/>
      <c r="Q62" s="204"/>
      <c r="R62" s="204"/>
      <c r="S62" s="204"/>
      <c r="T62" s="204"/>
      <c r="U62" s="204"/>
      <c r="V62" s="204"/>
      <c r="W62" s="204"/>
      <c r="X62" s="204"/>
      <c r="Y62" s="204"/>
      <c r="Z62" s="204"/>
      <c r="AA62" s="204"/>
      <c r="AB62" s="118"/>
      <c r="AC62" s="11"/>
      <c r="AD62" s="203"/>
      <c r="AE62" s="204"/>
      <c r="AF62" s="118"/>
      <c r="AG62" s="203"/>
      <c r="AH62" s="204"/>
      <c r="AI62" s="118"/>
      <c r="AJ62" s="11"/>
      <c r="AK62" s="11"/>
      <c r="AL62" s="11"/>
      <c r="AM62" s="11"/>
      <c r="AN62" s="11"/>
      <c r="AO62" s="11"/>
    </row>
    <row r="63" spans="1:41" ht="15" thickBot="1" x14ac:dyDescent="0.4">
      <c r="A63" s="65" t="s">
        <v>44</v>
      </c>
      <c r="B63" s="66"/>
      <c r="C63" s="11"/>
      <c r="D63" s="11"/>
      <c r="E63" s="11"/>
      <c r="F63" s="11"/>
      <c r="G63" s="11"/>
      <c r="H63" s="88" t="s">
        <v>854</v>
      </c>
      <c r="I63" s="136" t="str">
        <f>IF(_epmOfflineCondition_,"T2",_xll.EVPRO($B$1,$H63,"STYLE"))</f>
        <v>T2</v>
      </c>
      <c r="J63" s="136" t="str">
        <f>IF(_epmOfflineCondition_,"Y",_xll.EVPRO($B$1,$H63,"CALC"))</f>
        <v>Y</v>
      </c>
      <c r="K63" s="106"/>
      <c r="L63" s="59"/>
      <c r="M63" s="59"/>
      <c r="N63" s="106" t="str">
        <f>IF(_epmOfflineCondition_,"Total Payroll Related",IF(_xll.EVDES(H63,$B$1)="#NODATA","",_xll.EVDES(H63,$B$1)))</f>
        <v>Total Payroll Related</v>
      </c>
      <c r="O63" s="169">
        <v>37539.480000000003</v>
      </c>
      <c r="P63" s="169">
        <v>31629.06</v>
      </c>
      <c r="Q63" s="169">
        <v>37638.870000000003</v>
      </c>
      <c r="R63" s="169">
        <v>35410.42</v>
      </c>
      <c r="S63" s="169">
        <v>40311.19</v>
      </c>
      <c r="T63" s="169">
        <v>34588.699999999997</v>
      </c>
      <c r="U63" s="169">
        <v>40291.599999999999</v>
      </c>
      <c r="V63" s="169">
        <v>57297.22</v>
      </c>
      <c r="W63" s="169">
        <v>36558.769999999997</v>
      </c>
      <c r="X63" s="169">
        <v>41463.379999999997</v>
      </c>
      <c r="Y63" s="169">
        <v>40756.050000000003</v>
      </c>
      <c r="Z63" s="169">
        <v>51197.05</v>
      </c>
      <c r="AA63" s="169">
        <f>IF($I63="B1","",SUM(O63:Z63))</f>
        <v>484681.79000000004</v>
      </c>
      <c r="AB63" s="170">
        <f>IF(AA63=0,"",IFERROR(AA63/AA$19,""))</f>
        <v>4.0707243600479684E-2</v>
      </c>
      <c r="AC63" s="140"/>
      <c r="AD63" s="169">
        <v>485989.106769751</v>
      </c>
      <c r="AE63" s="170">
        <f>IF(AD63=0,"",IFERROR(AD63/AD$19,""))</f>
        <v>5.8323348056909752E-2</v>
      </c>
      <c r="AF63" s="171">
        <f>IF(AND($AA63="",AD63=""),"",$AA63-AD63)</f>
        <v>-1307.3167697509634</v>
      </c>
      <c r="AG63" s="169">
        <v>356112.25</v>
      </c>
      <c r="AH63" s="170">
        <f>IF(AG63=0,"",IFERROR(AG63/AG$19,""))</f>
        <v>6.8307817321762873E-2</v>
      </c>
      <c r="AI63" s="171">
        <f>IF(AND($AA63="",AG63=""),"",$AA63-AG63)</f>
        <v>128569.54000000004</v>
      </c>
      <c r="AJ63" s="483">
        <f>IFERROR(AA63/AA$20,0)</f>
        <v>10.059812992943131</v>
      </c>
      <c r="AK63" s="484">
        <f>IFERROR(AD63/AD$20,0)</f>
        <v>10.086947006429037</v>
      </c>
      <c r="AL63" s="485">
        <f>IFERROR(AG63/AG$20,0)</f>
        <v>7.3710931031627753</v>
      </c>
      <c r="AM63" s="486" t="str">
        <f>+IFERROR(ROUND(($AB63-AE63)*100,2)&amp;" pts.",0)</f>
        <v>-1.76 pts.</v>
      </c>
      <c r="AN63" s="557" t="str">
        <f>+IFERROR(ROUND(($AB63-AH63)*100,2)&amp;" pts.",0)</f>
        <v>-2.76 pts.</v>
      </c>
      <c r="AO63" s="11"/>
    </row>
    <row r="64" spans="1:41" ht="15.5" hidden="1" thickTop="1" thickBot="1" x14ac:dyDescent="0.4">
      <c r="A64" s="65" t="s">
        <v>45</v>
      </c>
      <c r="B64" s="66"/>
      <c r="C64" s="11"/>
      <c r="D64" s="11"/>
      <c r="E64" s="11"/>
      <c r="F64" s="11"/>
      <c r="G64" s="11"/>
      <c r="H64" s="88"/>
      <c r="I64" s="136" t="str">
        <f>IF(_epmOfflineCondition_,"",_xll.EVPRO($B$1,$H64,"STYLE"))</f>
        <v/>
      </c>
      <c r="J64" s="136" t="str">
        <f>IF(_epmOfflineCondition_,"",_xll.EVPRO($B$1,$H64,"CALC"))</f>
        <v/>
      </c>
      <c r="K64" s="106"/>
      <c r="L64" s="59"/>
      <c r="M64" s="59"/>
      <c r="N64" s="106" t="str">
        <f>IF(_epmOfflineCondition_,"",IF(_xll.EVDES(H64,$B$1)="#NODATA","",_xll.EVDES(H64,$B$1)))</f>
        <v/>
      </c>
      <c r="O64" s="169"/>
      <c r="P64" s="169"/>
      <c r="Q64" s="169"/>
      <c r="R64" s="169"/>
      <c r="S64" s="169"/>
      <c r="T64" s="169"/>
      <c r="U64" s="169"/>
      <c r="V64" s="169"/>
      <c r="W64" s="169"/>
      <c r="X64" s="169"/>
      <c r="Y64" s="169"/>
      <c r="Z64" s="169"/>
      <c r="AA64" s="169">
        <f>IF($I64="B1","",SUM(O64:Z64))</f>
        <v>0</v>
      </c>
      <c r="AB64" s="170" t="str">
        <f>IF(AA64=0,"",IFERROR(AA64/AA$19,""))</f>
        <v/>
      </c>
      <c r="AC64" s="140"/>
      <c r="AD64" s="169"/>
      <c r="AE64" s="170" t="str">
        <f>IF(AD64=0,"",IFERROR(AD64/AD$19,""))</f>
        <v/>
      </c>
      <c r="AF64" s="171">
        <f>IF(AND($AA64="",AD64=""),"",$AA64-AD64)</f>
        <v>0</v>
      </c>
      <c r="AG64" s="169"/>
      <c r="AH64" s="170" t="str">
        <f>IF(AG64=0,"",IFERROR(AG64/AG$19,""))</f>
        <v/>
      </c>
      <c r="AI64" s="171">
        <f>IF(AND($AA64="",AG64=""),"",$AA64-AG64)</f>
        <v>0</v>
      </c>
      <c r="AJ64" s="483">
        <f>IFERROR(AA64/AA$20,0)</f>
        <v>0</v>
      </c>
      <c r="AK64" s="484">
        <f>IFERROR(AD64/AD$20,0)</f>
        <v>0</v>
      </c>
      <c r="AL64" s="485">
        <f>IFERROR(AG64/AG$20,0)</f>
        <v>0</v>
      </c>
      <c r="AM64" s="486">
        <f>+IFERROR(ROUND(($AB64-AE64)*100,2)&amp;" pts.",0)</f>
        <v>0</v>
      </c>
      <c r="AN64" s="557">
        <f>+IFERROR(ROUND(($AB64-AH64)*100,2)&amp;" pts.",0)</f>
        <v>0</v>
      </c>
      <c r="AO64" s="11"/>
    </row>
    <row r="65" spans="1:41" ht="15" thickTop="1" x14ac:dyDescent="0.35">
      <c r="A65" s="65" t="s">
        <v>46</v>
      </c>
      <c r="B65" s="66"/>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11"/>
      <c r="I66" s="59"/>
      <c r="J66" s="59"/>
      <c r="K66" s="11"/>
      <c r="L66" s="59"/>
      <c r="M66" s="59"/>
      <c r="N66" s="104" t="str">
        <f>N63&amp;" - Check"</f>
        <v>Total Payroll Related - Check</v>
      </c>
      <c r="O66" s="209">
        <f t="shared" ref="O66:AA66" si="36">SUMIF($H$35:$H$63,"PAY_TAXES",O$35:O$63)+SUMIF($H$35:$H$63,"SUP_PAY",O$35:O$63)+SUMIF($H$35:$H$63,"EMP_BEN",O$35:O$63)-SUMIF($H$35:$H$63,"PAY_RELATED",O$35:O$63)</f>
        <v>0</v>
      </c>
      <c r="P66" s="209">
        <f t="shared" si="36"/>
        <v>0</v>
      </c>
      <c r="Q66" s="209">
        <f t="shared" si="36"/>
        <v>0</v>
      </c>
      <c r="R66" s="209">
        <f t="shared" si="36"/>
        <v>0</v>
      </c>
      <c r="S66" s="209">
        <f t="shared" si="36"/>
        <v>0</v>
      </c>
      <c r="T66" s="209">
        <f t="shared" si="36"/>
        <v>0</v>
      </c>
      <c r="U66" s="209">
        <f t="shared" si="36"/>
        <v>0</v>
      </c>
      <c r="V66" s="209">
        <f t="shared" si="36"/>
        <v>0</v>
      </c>
      <c r="W66" s="209">
        <f t="shared" si="36"/>
        <v>0</v>
      </c>
      <c r="X66" s="209">
        <f t="shared" si="36"/>
        <v>0</v>
      </c>
      <c r="Y66" s="209">
        <f t="shared" si="36"/>
        <v>0</v>
      </c>
      <c r="Z66" s="209">
        <f t="shared" si="36"/>
        <v>0</v>
      </c>
      <c r="AA66" s="209">
        <f t="shared" si="36"/>
        <v>0</v>
      </c>
      <c r="AB66" s="100"/>
      <c r="AC66" s="11"/>
      <c r="AD66" s="209">
        <f>SUMIF($H$35:$H$63,"PAY_TAXES",AD$35:AD$63)+SUMIF($H$35:$H$63,"SUP_PAY",AD$35:AD$63)+SUMIF($H$35:$H$63,"EMP_BEN",AD$35:AD$63)-SUMIF($H$35:$H$63,"PAY_RELATED",AD$35:AD$63)</f>
        <v>0</v>
      </c>
      <c r="AE66" s="100"/>
      <c r="AF66" s="91"/>
      <c r="AG66" s="209">
        <f>SUMIF($H$35:$H$63,"PAY_TAXES",AG$35:AG$63)+SUMIF($H$35:$H$63,"SUP_PAY",AG$35:AG$63)+SUMIF($H$35:$H$63,"EMP_BEN",AG$35:AG$63)-SUMIF($H$35:$H$63,"PAY_RELATED",AG$35:AG$63)</f>
        <v>0</v>
      </c>
      <c r="AH66" s="100"/>
      <c r="AI66" s="91"/>
      <c r="AJ66" s="11"/>
      <c r="AK66" s="11"/>
      <c r="AL66" s="11"/>
      <c r="AM66" s="11"/>
      <c r="AN66" s="11"/>
      <c r="AO66" s="11"/>
    </row>
    <row r="67" spans="1:41" x14ac:dyDescent="0.35">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c r="B80" s="11"/>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sheetData>
  <sheetProtection algorithmName="SHA-512" hashValue="PQ9Htn+PsR4oWG67Kzm5tpuXEcwgrLwl7unaYoQZowr6wQxHDwnW/X1EgaIwg2lWp2ANxb8hQW91Lch1GBXqjA==" saltValue="H1cuLlFDNfm92U+EvjOKLw==" spinCount="100000" sheet="1" scenarios="1"/>
  <mergeCells count="2">
    <mergeCell ref="AD31:AE31"/>
    <mergeCell ref="AG31:AH31"/>
  </mergeCells>
  <dataValidations disablePrompts="1" count="2">
    <dataValidation type="list" allowBlank="1" sqref="B29" xr:uid="{00000000-0002-0000-3000-000000000000}">
      <formula1>"SELF,ALL,BAS,DEP,BASMEMBERS,MEMBERS,NOEXPAND,GDEP"</formula1>
    </dataValidation>
    <dataValidation type="list" allowBlank="1" sqref="B28" xr:uid="{00000000-0002-0000-3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758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7587"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95</vt:i4>
      </vt:variant>
    </vt:vector>
  </HeadingPairs>
  <TitlesOfParts>
    <vt:vector size="144" baseType="lpstr">
      <vt:lpstr>SetUp</vt:lpstr>
      <vt:lpstr>Summary</vt:lpstr>
      <vt:lpstr>Rooms</vt:lpstr>
      <vt:lpstr>MMA</vt:lpstr>
      <vt:lpstr>Resv</vt:lpstr>
      <vt:lpstr>FB_Cons</vt:lpstr>
      <vt:lpstr>FB_KPI</vt:lpstr>
      <vt:lpstr>Venue1</vt:lpstr>
      <vt:lpstr>Venue1_KPI</vt:lpstr>
      <vt:lpstr>Venue2</vt:lpstr>
      <vt:lpstr>Venue2_KPI</vt:lpstr>
      <vt:lpstr>Venue3</vt:lpstr>
      <vt:lpstr>Venue3_KPI</vt:lpstr>
      <vt:lpstr>Venue4</vt:lpstr>
      <vt:lpstr>Venue4_KPI</vt:lpstr>
      <vt:lpstr>Venue5</vt:lpstr>
      <vt:lpstr>Venue5_KPI</vt:lpstr>
      <vt:lpstr>Venue6</vt:lpstr>
      <vt:lpstr>Venue6_KPI</vt:lpstr>
      <vt:lpstr>VenueBar</vt:lpstr>
      <vt:lpstr>VenueBar_KPI</vt:lpstr>
      <vt:lpstr>IRD</vt:lpstr>
      <vt:lpstr>IRD_KPI</vt:lpstr>
      <vt:lpstr>BCC_CONS</vt:lpstr>
      <vt:lpstr>BCC_CONS_KPI</vt:lpstr>
      <vt:lpstr>BCC_Group</vt:lpstr>
      <vt:lpstr>BCC_KPI_Group</vt:lpstr>
      <vt:lpstr>BCC_Local</vt:lpstr>
      <vt:lpstr>BCC_KPI_Local</vt:lpstr>
      <vt:lpstr>Mini_Bar</vt:lpstr>
      <vt:lpstr>OTH_OP</vt:lpstr>
      <vt:lpstr>Telcom_Legacy</vt:lpstr>
      <vt:lpstr>HC_SPA</vt:lpstr>
      <vt:lpstr>Parking</vt:lpstr>
      <vt:lpstr>Retail</vt:lpstr>
      <vt:lpstr>FB_Retail</vt:lpstr>
      <vt:lpstr>Minor_Op</vt:lpstr>
      <vt:lpstr>MISC_INC</vt:lpstr>
      <vt:lpstr>AG</vt:lpstr>
      <vt:lpstr>HR_Detail</vt:lpstr>
      <vt:lpstr>IT</vt:lpstr>
      <vt:lpstr>SM</vt:lpstr>
      <vt:lpstr>POM</vt:lpstr>
      <vt:lpstr>EC</vt:lpstr>
      <vt:lpstr>Mgt_Fees</vt:lpstr>
      <vt:lpstr>Non_Op</vt:lpstr>
      <vt:lpstr>Laundry</vt:lpstr>
      <vt:lpstr>Dining</vt:lpstr>
      <vt:lpstr>PR_Related</vt:lpstr>
      <vt:lpstr>AG!Print_Area</vt:lpstr>
      <vt:lpstr>BCC_CONS!Print_Area</vt:lpstr>
      <vt:lpstr>BCC_CONS_KPI!Print_Area</vt:lpstr>
      <vt:lpstr>BCC_Group!Print_Area</vt:lpstr>
      <vt:lpstr>BCC_KPI_Group!Print_Area</vt:lpstr>
      <vt:lpstr>BCC_KPI_Local!Print_Area</vt:lpstr>
      <vt:lpstr>BCC_Local!Print_Area</vt:lpstr>
      <vt:lpstr>Dining!Print_Area</vt:lpstr>
      <vt:lpstr>EC!Print_Area</vt:lpstr>
      <vt:lpstr>FB_Cons!Print_Area</vt:lpstr>
      <vt:lpstr>FB_KPI!Print_Area</vt:lpstr>
      <vt:lpstr>FB_Retail!Print_Area</vt:lpstr>
      <vt:lpstr>HC_SPA!Print_Area</vt:lpstr>
      <vt:lpstr>HR_Detail!Print_Area</vt:lpstr>
      <vt:lpstr>IRD!Print_Area</vt:lpstr>
      <vt:lpstr>IRD_KPI!Print_Area</vt:lpstr>
      <vt:lpstr>IT!Print_Area</vt:lpstr>
      <vt:lpstr>Laundry!Print_Area</vt:lpstr>
      <vt:lpstr>Mgt_Fees!Print_Area</vt:lpstr>
      <vt:lpstr>Mini_Bar!Print_Area</vt:lpstr>
      <vt:lpstr>Minor_Op!Print_Area</vt:lpstr>
      <vt:lpstr>MISC_INC!Print_Area</vt:lpstr>
      <vt:lpstr>MMA!Print_Area</vt:lpstr>
      <vt:lpstr>Non_Op!Print_Area</vt:lpstr>
      <vt:lpstr>OTH_OP!Print_Area</vt:lpstr>
      <vt:lpstr>Parking!Print_Area</vt:lpstr>
      <vt:lpstr>POM!Print_Area</vt:lpstr>
      <vt:lpstr>PR_Related!Print_Area</vt:lpstr>
      <vt:lpstr>Resv!Print_Area</vt:lpstr>
      <vt:lpstr>Retail!Print_Area</vt:lpstr>
      <vt:lpstr>Rooms!Print_Area</vt:lpstr>
      <vt:lpstr>SM!Print_Area</vt:lpstr>
      <vt:lpstr>Summary!Print_Area</vt:lpstr>
      <vt:lpstr>Telcom_Legacy!Print_Area</vt:lpstr>
      <vt:lpstr>Venue1!Print_Area</vt:lpstr>
      <vt:lpstr>Venue1_KPI!Print_Area</vt:lpstr>
      <vt:lpstr>Venue2!Print_Area</vt:lpstr>
      <vt:lpstr>Venue2_KPI!Print_Area</vt:lpstr>
      <vt:lpstr>Venue3!Print_Area</vt:lpstr>
      <vt:lpstr>Venue3_KPI!Print_Area</vt:lpstr>
      <vt:lpstr>Venue4!Print_Area</vt:lpstr>
      <vt:lpstr>Venue4_KPI!Print_Area</vt:lpstr>
      <vt:lpstr>Venue5!Print_Area</vt:lpstr>
      <vt:lpstr>Venue5_KPI!Print_Area</vt:lpstr>
      <vt:lpstr>Venue6!Print_Area</vt:lpstr>
      <vt:lpstr>Venue6_KPI!Print_Area</vt:lpstr>
      <vt:lpstr>VenueBar!Print_Area</vt:lpstr>
      <vt:lpstr>VenueBar_KPI!Print_Area</vt:lpstr>
      <vt:lpstr>AG!Print_Titles</vt:lpstr>
      <vt:lpstr>BCC_CONS_KPI!Print_Titles</vt:lpstr>
      <vt:lpstr>BCC_Group!Print_Titles</vt:lpstr>
      <vt:lpstr>BCC_KPI_Group!Print_Titles</vt:lpstr>
      <vt:lpstr>BCC_KPI_Local!Print_Titles</vt:lpstr>
      <vt:lpstr>BCC_Local!Print_Titles</vt:lpstr>
      <vt:lpstr>Dining!Print_Titles</vt:lpstr>
      <vt:lpstr>EC!Print_Titles</vt:lpstr>
      <vt:lpstr>FB_Cons!Print_Titles</vt:lpstr>
      <vt:lpstr>FB_KPI!Print_Titles</vt:lpstr>
      <vt:lpstr>FB_Retail!Print_Titles</vt:lpstr>
      <vt:lpstr>HC_SPA!Print_Titles</vt:lpstr>
      <vt:lpstr>HR_Detail!Print_Titles</vt:lpstr>
      <vt:lpstr>IRD!Print_Titles</vt:lpstr>
      <vt:lpstr>IRD_KPI!Print_Titles</vt:lpstr>
      <vt:lpstr>IT!Print_Titles</vt:lpstr>
      <vt:lpstr>Laundry!Print_Titles</vt:lpstr>
      <vt:lpstr>Mgt_Fees!Print_Titles</vt:lpstr>
      <vt:lpstr>Mini_Bar!Print_Titles</vt:lpstr>
      <vt:lpstr>Minor_Op!Print_Titles</vt:lpstr>
      <vt:lpstr>MISC_INC!Print_Titles</vt:lpstr>
      <vt:lpstr>MMA!Print_Titles</vt:lpstr>
      <vt:lpstr>Non_Op!Print_Titles</vt:lpstr>
      <vt:lpstr>OTH_OP!Print_Titles</vt:lpstr>
      <vt:lpstr>Parking!Print_Titles</vt:lpstr>
      <vt:lpstr>POM!Print_Titles</vt:lpstr>
      <vt:lpstr>PR_Related!Print_Titles</vt:lpstr>
      <vt:lpstr>Resv!Print_Titles</vt:lpstr>
      <vt:lpstr>Retail!Print_Titles</vt:lpstr>
      <vt:lpstr>Rooms!Print_Titles</vt:lpstr>
      <vt:lpstr>SM!Print_Titles</vt:lpstr>
      <vt:lpstr>Summary!Print_Titles</vt:lpstr>
      <vt:lpstr>Telcom_Legacy!Print_Titles</vt:lpstr>
      <vt:lpstr>Venue1!Print_Titles</vt:lpstr>
      <vt:lpstr>Venue1_KPI!Print_Titles</vt:lpstr>
      <vt:lpstr>Venue2!Print_Titles</vt:lpstr>
      <vt:lpstr>Venue2_KPI!Print_Titles</vt:lpstr>
      <vt:lpstr>Venue3!Print_Titles</vt:lpstr>
      <vt:lpstr>Venue3_KPI!Print_Titles</vt:lpstr>
      <vt:lpstr>Venue4!Print_Titles</vt:lpstr>
      <vt:lpstr>Venue4_KPI!Print_Titles</vt:lpstr>
      <vt:lpstr>Venue5!Print_Titles</vt:lpstr>
      <vt:lpstr>Venue5_KPI!Print_Titles</vt:lpstr>
      <vt:lpstr>Venue6!Print_Titles</vt:lpstr>
      <vt:lpstr>Venue6_KPI!Print_Titles</vt:lpstr>
      <vt:lpstr>VenueBar!Print_Titles</vt:lpstr>
      <vt:lpstr>VenueBar_KPI!Print_Titles</vt:lpstr>
    </vt:vector>
  </TitlesOfParts>
  <Company>Kimpton Hotels &amp; Restaurants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Kaitlyn Pressley</dc:creator>
  <cp:lastModifiedBy>Hyun Lee</cp:lastModifiedBy>
  <cp:lastPrinted>2020-07-07T15:00:22Z</cp:lastPrinted>
  <dcterms:created xsi:type="dcterms:W3CDTF">2014-09-26T18:28:08Z</dcterms:created>
  <dcterms:modified xsi:type="dcterms:W3CDTF">2022-01-14T18:01:41Z</dcterms:modified>
</cp:coreProperties>
</file>